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d.docs.live.net/2e90cadf7dac5b36/Documents/"/>
    </mc:Choice>
  </mc:AlternateContent>
  <xr:revisionPtr revIDLastSave="766" documentId="8_{9C60EF75-153A-4350-A7E5-DE89FEEB8C5C}" xr6:coauthVersionLast="47" xr6:coauthVersionMax="47" xr10:uidLastSave="{E36709D6-0742-4F01-9BB7-5DAA7B22DFD1}"/>
  <bookViews>
    <workbookView xWindow="-108" yWindow="-108" windowWidth="23256" windowHeight="12576" tabRatio="905" firstSheet="3" activeTab="6"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9" i="4" l="1"/>
  <c r="E94" i="4"/>
  <c r="E93" i="4"/>
  <c r="E92" i="4"/>
  <c r="E91" i="4"/>
  <c r="E90" i="4"/>
  <c r="E89" i="4"/>
  <c r="E88" i="4"/>
  <c r="E86" i="4"/>
  <c r="E85" i="4"/>
  <c r="E84" i="4"/>
  <c r="E83" i="4"/>
  <c r="E80" i="4"/>
  <c r="E79" i="4"/>
  <c r="E75" i="4"/>
  <c r="E65" i="4"/>
  <c r="E57" i="4"/>
  <c r="E56" i="4"/>
  <c r="E53" i="4"/>
  <c r="E52" i="4"/>
  <c r="E51" i="4"/>
  <c r="E50" i="4"/>
  <c r="E47" i="4"/>
  <c r="E46" i="4"/>
  <c r="E45" i="4"/>
  <c r="E43" i="4"/>
  <c r="E40" i="4"/>
  <c r="E37" i="4"/>
  <c r="E35" i="4"/>
  <c r="E33" i="4"/>
  <c r="E32" i="4"/>
  <c r="E31" i="4"/>
  <c r="E29" i="4"/>
  <c r="E30" i="4"/>
  <c r="E10" i="4"/>
  <c r="S99" i="4" l="1"/>
  <c r="S93" i="4"/>
  <c r="S92" i="4"/>
  <c r="S91" i="4"/>
  <c r="S90" i="4"/>
  <c r="S89" i="4"/>
  <c r="S86" i="4"/>
  <c r="S85" i="4"/>
  <c r="S84" i="4"/>
  <c r="S80" i="4"/>
  <c r="S79" i="4"/>
  <c r="S53" i="4"/>
  <c r="S52" i="4"/>
  <c r="S51" i="4"/>
  <c r="S50" i="4"/>
  <c r="S47" i="4"/>
  <c r="S43" i="4"/>
  <c r="S40" i="4"/>
  <c r="S37" i="4"/>
  <c r="S35" i="4"/>
  <c r="S33" i="4"/>
  <c r="S32" i="4"/>
  <c r="S31" i="4"/>
  <c r="S30" i="4"/>
  <c r="S29" i="4"/>
  <c r="S10" i="4"/>
  <c r="G99" i="13"/>
  <c r="G93" i="13"/>
  <c r="G92" i="13"/>
  <c r="G91" i="13"/>
  <c r="G90" i="13"/>
  <c r="G89" i="13"/>
  <c r="G86" i="13"/>
  <c r="G85" i="13"/>
  <c r="G84" i="13"/>
  <c r="G80" i="13"/>
  <c r="G79" i="13"/>
  <c r="G53" i="13"/>
  <c r="G52" i="13"/>
  <c r="G51" i="13"/>
  <c r="G50" i="13"/>
  <c r="G47" i="13"/>
  <c r="G43" i="13"/>
  <c r="G40" i="13"/>
  <c r="G37" i="13"/>
  <c r="G35" i="13"/>
  <c r="G33" i="13"/>
  <c r="G32" i="13"/>
  <c r="G31" i="13"/>
  <c r="G30" i="13"/>
  <c r="G29" i="13"/>
  <c r="G10" i="13"/>
  <c r="D99" i="13"/>
  <c r="D94" i="13"/>
  <c r="D93" i="13"/>
  <c r="D92" i="13"/>
  <c r="D91" i="13"/>
  <c r="D90" i="13"/>
  <c r="D89" i="13"/>
  <c r="D88" i="13"/>
  <c r="D86" i="13"/>
  <c r="D85" i="13"/>
  <c r="D84" i="13"/>
  <c r="D83" i="13"/>
  <c r="D80" i="13"/>
  <c r="D79" i="13"/>
  <c r="D75" i="13"/>
  <c r="D65" i="13"/>
  <c r="D57" i="13"/>
  <c r="D56" i="13"/>
  <c r="D53" i="13"/>
  <c r="D52" i="13"/>
  <c r="D51" i="13"/>
  <c r="D50" i="13"/>
  <c r="D47" i="13"/>
  <c r="D46" i="13"/>
  <c r="D45" i="13"/>
  <c r="D43" i="13"/>
  <c r="D40" i="13"/>
  <c r="D37" i="13"/>
  <c r="D35" i="13"/>
  <c r="D33" i="13"/>
  <c r="D32" i="13"/>
  <c r="D31" i="13"/>
  <c r="D30" i="13"/>
  <c r="D29" i="1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D89" i="11" s="1"/>
  <c r="C90" i="11"/>
  <c r="C91" i="11"/>
  <c r="C92" i="11"/>
  <c r="D92" i="11" s="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9" i="11" s="1"/>
  <c r="B34" i="11"/>
  <c r="B35" i="11"/>
  <c r="B36" i="11"/>
  <c r="B37" i="11"/>
  <c r="B38" i="11"/>
  <c r="C24" i="11"/>
  <c r="C25" i="11"/>
  <c r="D25" i="11" s="1"/>
  <c r="C26" i="11"/>
  <c r="D26" i="11" s="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s="1"/>
  <c r="M53" i="7" s="1"/>
  <c r="O53" i="7" s="1"/>
  <c r="Q53" i="7" s="1"/>
  <c r="S53" i="7" s="1"/>
  <c r="U53" i="7" s="1"/>
  <c r="W53" i="7" s="1"/>
  <c r="Y53" i="7" s="1"/>
  <c r="AA53" i="7" s="1"/>
  <c r="AC53" i="7" s="1"/>
  <c r="AE53" i="7" s="1"/>
  <c r="AG53"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K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K551" i="20" s="1"/>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T789" i="20"/>
  <c r="T788" i="20"/>
  <c r="AF788" i="20"/>
  <c r="T794" i="20"/>
  <c r="AF794" i="20"/>
  <c r="AO32" i="20"/>
  <c r="AK51" i="20"/>
  <c r="AK72" i="20"/>
  <c r="T784" i="20"/>
  <c r="AF784" i="20"/>
  <c r="T785" i="20"/>
  <c r="AF785" i="20"/>
  <c r="AK174" i="20"/>
  <c r="T791" i="20"/>
  <c r="AF791" i="20"/>
  <c r="W860" i="3"/>
  <c r="A3" i="15"/>
  <c r="BA1000" i="3"/>
  <c r="AD64" i="15"/>
  <c r="T11" i="4"/>
  <c r="R10" i="4"/>
  <c r="R91" i="4"/>
  <c r="R84" i="4"/>
  <c r="T25" i="15"/>
  <c r="AI7" i="15" s="1"/>
  <c r="AG440" i="3"/>
  <c r="AG443" i="3"/>
  <c r="B59" i="4"/>
  <c r="C80" i="11"/>
  <c r="C81" i="11"/>
  <c r="C82" i="11" s="1"/>
  <c r="D82" i="11" s="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c r="B10" i="8"/>
  <c r="F10" i="8" s="1"/>
  <c r="B11" i="8"/>
  <c r="F11" i="8"/>
  <c r="B12" i="8"/>
  <c r="F12" i="8" s="1"/>
  <c r="B13" i="8"/>
  <c r="F13" i="8"/>
  <c r="B14" i="8"/>
  <c r="F14" i="8" s="1"/>
  <c r="B15" i="8"/>
  <c r="F15" i="8" s="1"/>
  <c r="B16" i="8"/>
  <c r="F16" i="8"/>
  <c r="B17" i="8"/>
  <c r="F17" i="8" s="1"/>
  <c r="B18" i="8"/>
  <c r="F18" i="8" s="1"/>
  <c r="B19" i="8"/>
  <c r="F19" i="8" s="1"/>
  <c r="B20" i="8"/>
  <c r="F20" i="8" s="1"/>
  <c r="B21" i="8"/>
  <c r="F21" i="8" s="1"/>
  <c r="B22" i="8"/>
  <c r="F22" i="8" s="1"/>
  <c r="B23" i="8"/>
  <c r="F23" i="8" s="1"/>
  <c r="B24" i="8"/>
  <c r="F24" i="8"/>
  <c r="B25" i="8"/>
  <c r="F25" i="8" s="1"/>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c r="R103" i="4"/>
  <c r="R102" i="4"/>
  <c r="R101" i="4"/>
  <c r="R99" i="4"/>
  <c r="R104" i="4" s="1"/>
  <c r="R95" i="4"/>
  <c r="R94" i="4"/>
  <c r="R93" i="4"/>
  <c r="R92" i="4"/>
  <c r="R90" i="4"/>
  <c r="R89" i="4"/>
  <c r="R88" i="4"/>
  <c r="R87" i="4"/>
  <c r="R86" i="4"/>
  <c r="R85" i="4"/>
  <c r="R83" i="4"/>
  <c r="R96" i="4" s="1"/>
  <c r="R76" i="4"/>
  <c r="R75" i="4"/>
  <c r="R72" i="4"/>
  <c r="R73" i="4"/>
  <c r="R74" i="4"/>
  <c r="R69" i="4"/>
  <c r="R65" i="4"/>
  <c r="R61" i="4"/>
  <c r="R60" i="4"/>
  <c r="R59" i="4"/>
  <c r="R58" i="4"/>
  <c r="R57" i="4"/>
  <c r="R62" i="4" s="1"/>
  <c r="R56" i="4"/>
  <c r="R53" i="4"/>
  <c r="R52" i="4"/>
  <c r="R51" i="4"/>
  <c r="R50" i="4"/>
  <c r="R49" i="4"/>
  <c r="R48" i="4"/>
  <c r="R47" i="4"/>
  <c r="R54" i="4" s="1"/>
  <c r="R46" i="4"/>
  <c r="R45" i="4"/>
  <c r="R43" i="4"/>
  <c r="R41" i="4"/>
  <c r="R40" i="4"/>
  <c r="R37" i="4"/>
  <c r="R35" i="4"/>
  <c r="R34" i="4"/>
  <c r="R33" i="4"/>
  <c r="R32" i="4"/>
  <c r="R31" i="4"/>
  <c r="R30" i="4"/>
  <c r="R38" i="4" s="1"/>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D20" i="11" s="1"/>
  <c r="B21" i="11"/>
  <c r="D21" i="11" s="1"/>
  <c r="C21" i="11"/>
  <c r="B22" i="11"/>
  <c r="C22" i="11"/>
  <c r="B23" i="11"/>
  <c r="D23" i="11" s="1"/>
  <c r="C23" i="11"/>
  <c r="B24" i="11"/>
  <c r="B28" i="11"/>
  <c r="C28" i="11"/>
  <c r="B30" i="11"/>
  <c r="C30" i="11"/>
  <c r="D30" i="11"/>
  <c r="D33" i="11"/>
  <c r="D34" i="11"/>
  <c r="B41" i="11"/>
  <c r="C41" i="11"/>
  <c r="D41" i="11" s="1"/>
  <c r="C42" i="11"/>
  <c r="B42" i="11"/>
  <c r="B44" i="11"/>
  <c r="C44" i="11"/>
  <c r="B46" i="11"/>
  <c r="D46" i="11" s="1"/>
  <c r="C46" i="11"/>
  <c r="B47" i="11"/>
  <c r="C47" i="11"/>
  <c r="B48" i="11"/>
  <c r="D48" i="11" s="1"/>
  <c r="B49" i="11"/>
  <c r="B50" i="11"/>
  <c r="B51" i="11"/>
  <c r="D51" i="11"/>
  <c r="B52" i="11"/>
  <c r="B53" i="11"/>
  <c r="C48" i="11"/>
  <c r="C49" i="11"/>
  <c r="C50" i="11"/>
  <c r="C51" i="11"/>
  <c r="C52" i="11"/>
  <c r="C53" i="11"/>
  <c r="C55" i="11" s="1"/>
  <c r="B57" i="11"/>
  <c r="C57" i="11"/>
  <c r="B58" i="11"/>
  <c r="C58" i="11"/>
  <c r="C63" i="11" s="1"/>
  <c r="D63" i="11" s="1"/>
  <c r="B59" i="11"/>
  <c r="C59" i="11"/>
  <c r="B60" i="11"/>
  <c r="C60" i="11"/>
  <c r="B61" i="11"/>
  <c r="C61" i="11"/>
  <c r="B62" i="11"/>
  <c r="C62" i="11"/>
  <c r="B66" i="11"/>
  <c r="C66" i="11"/>
  <c r="B73" i="11"/>
  <c r="C73" i="11"/>
  <c r="B74" i="11"/>
  <c r="C74" i="11"/>
  <c r="B75" i="11"/>
  <c r="C75" i="11"/>
  <c r="B76" i="11"/>
  <c r="B78" i="11" s="1"/>
  <c r="D78" i="11" s="1"/>
  <c r="C76" i="11"/>
  <c r="B77" i="11"/>
  <c r="C77" i="11"/>
  <c r="B84" i="11"/>
  <c r="C84" i="11"/>
  <c r="D84" i="11" s="1"/>
  <c r="B100" i="11"/>
  <c r="D100" i="11" s="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76" i="3" s="1"/>
  <c r="AC786" i="3"/>
  <c r="AC787" i="3"/>
  <c r="AC788" i="3"/>
  <c r="AC789" i="3"/>
  <c r="AC790" i="3"/>
  <c r="AC791" i="3"/>
  <c r="AC792" i="3"/>
  <c r="AC793" i="3"/>
  <c r="AC794" i="3"/>
  <c r="AC795" i="3"/>
  <c r="Z815" i="3"/>
  <c r="E8" i="7" s="1"/>
  <c r="W845" i="3"/>
  <c r="E14" i="7" s="1"/>
  <c r="G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c r="M25" i="7" s="1"/>
  <c r="O25" i="7" s="1"/>
  <c r="Q25" i="7"/>
  <c r="S25" i="7" s="1"/>
  <c r="U25" i="7" s="1"/>
  <c r="W25" i="7" s="1"/>
  <c r="Y25" i="7" s="1"/>
  <c r="AA25" i="7" s="1"/>
  <c r="AC25" i="7" s="1"/>
  <c r="AE25" i="7" s="1"/>
  <c r="AG25" i="7" s="1"/>
  <c r="E26" i="7"/>
  <c r="E27" i="7"/>
  <c r="AE27" i="7"/>
  <c r="A31" i="7"/>
  <c r="E31" i="7"/>
  <c r="G31" i="7"/>
  <c r="I31" i="7"/>
  <c r="K31" i="7" s="1"/>
  <c r="M31" i="7" s="1"/>
  <c r="O31" i="7" s="1"/>
  <c r="Q31" i="7" s="1"/>
  <c r="S31" i="7" s="1"/>
  <c r="U31" i="7" s="1"/>
  <c r="W31" i="7" s="1"/>
  <c r="Y31" i="7" s="1"/>
  <c r="AA31" i="7" s="1"/>
  <c r="AC31" i="7" s="1"/>
  <c r="AE31" i="7" s="1"/>
  <c r="AG31" i="7" s="1"/>
  <c r="A32" i="7"/>
  <c r="E32" i="7"/>
  <c r="G32" i="7"/>
  <c r="I32" i="7" s="1"/>
  <c r="K32" i="7" s="1"/>
  <c r="M32" i="7" s="1"/>
  <c r="O32" i="7" s="1"/>
  <c r="Q32" i="7" s="1"/>
  <c r="S32" i="7" s="1"/>
  <c r="U32" i="7" s="1"/>
  <c r="W32" i="7" s="1"/>
  <c r="Y32" i="7" s="1"/>
  <c r="AA32" i="7" s="1"/>
  <c r="AC32" i="7" s="1"/>
  <c r="AE32" i="7" s="1"/>
  <c r="AG32" i="7" s="1"/>
  <c r="A39" i="7"/>
  <c r="E39" i="7"/>
  <c r="M39" i="7"/>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BN610" i="3"/>
  <c r="DX610" i="3" s="1"/>
  <c r="BN611" i="3"/>
  <c r="DX611" i="3"/>
  <c r="BN612" i="3"/>
  <c r="DX612" i="3" s="1"/>
  <c r="BN613" i="3"/>
  <c r="DX613" i="3" s="1"/>
  <c r="BN614" i="3"/>
  <c r="DX614" i="3"/>
  <c r="BN615" i="3"/>
  <c r="DX615" i="3" s="1"/>
  <c r="BN616" i="3"/>
  <c r="DX616" i="3" s="1"/>
  <c r="BN617" i="3"/>
  <c r="DX617" i="3"/>
  <c r="BN618" i="3"/>
  <c r="DX618" i="3" s="1"/>
  <c r="BN619" i="3"/>
  <c r="DX619" i="3" s="1"/>
  <c r="BN620" i="3"/>
  <c r="DX620" i="3"/>
  <c r="BN621" i="3"/>
  <c r="DX621" i="3" s="1"/>
  <c r="BN622" i="3"/>
  <c r="DX622" i="3"/>
  <c r="BN623" i="3"/>
  <c r="DX623" i="3" s="1"/>
  <c r="BN624" i="3"/>
  <c r="DX624" i="3"/>
  <c r="BN625" i="3"/>
  <c r="DX625" i="3" s="1"/>
  <c r="BN626" i="3"/>
  <c r="DX626" i="3"/>
  <c r="BN627" i="3"/>
  <c r="DX627" i="3" s="1"/>
  <c r="BN628" i="3"/>
  <c r="DX628" i="3"/>
  <c r="BN629" i="3"/>
  <c r="DX629" i="3" s="1"/>
  <c r="BN630" i="3"/>
  <c r="DX630" i="3"/>
  <c r="BN631" i="3"/>
  <c r="DX631" i="3" s="1"/>
  <c r="BN632" i="3"/>
  <c r="DX632" i="3"/>
  <c r="BN633" i="3"/>
  <c r="DX633" i="3" s="1"/>
  <c r="BN634" i="3"/>
  <c r="DX634" i="3"/>
  <c r="BN640" i="3"/>
  <c r="BN641" i="3"/>
  <c r="BN642" i="3"/>
  <c r="BN643" i="3"/>
  <c r="BN648" i="3"/>
  <c r="CS648" i="3" s="1"/>
  <c r="BN649" i="3"/>
  <c r="CS649" i="3"/>
  <c r="BN650" i="3"/>
  <c r="CS650" i="3" s="1"/>
  <c r="BN651" i="3"/>
  <c r="CS651" i="3"/>
  <c r="CS658" i="3" s="1"/>
  <c r="BN652" i="3"/>
  <c r="CS652" i="3" s="1"/>
  <c r="BN653" i="3"/>
  <c r="CS653" i="3"/>
  <c r="BN654" i="3"/>
  <c r="CS654" i="3" s="1"/>
  <c r="BN655" i="3"/>
  <c r="CS655" i="3"/>
  <c r="BN656" i="3"/>
  <c r="CS656" i="3" s="1"/>
  <c r="BN657" i="3"/>
  <c r="CS657" i="3"/>
  <c r="BS610" i="3"/>
  <c r="EC610" i="3" s="1"/>
  <c r="BS611" i="3"/>
  <c r="EC611" i="3" s="1"/>
  <c r="BS612" i="3"/>
  <c r="EC612" i="3" s="1"/>
  <c r="BS613" i="3"/>
  <c r="EC613" i="3" s="1"/>
  <c r="BS614" i="3"/>
  <c r="EC614" i="3"/>
  <c r="BS615" i="3"/>
  <c r="EC615" i="3" s="1"/>
  <c r="BS616" i="3"/>
  <c r="EC616" i="3" s="1"/>
  <c r="BS617" i="3"/>
  <c r="EC617" i="3" s="1"/>
  <c r="BS618" i="3"/>
  <c r="EC618" i="3" s="1"/>
  <c r="BS619" i="3"/>
  <c r="EC619" i="3" s="1"/>
  <c r="BS620" i="3"/>
  <c r="EC620" i="3" s="1"/>
  <c r="BS621" i="3"/>
  <c r="EC621" i="3"/>
  <c r="BS622" i="3"/>
  <c r="EC622" i="3" s="1"/>
  <c r="BS623" i="3"/>
  <c r="EC623" i="3"/>
  <c r="BS624" i="3"/>
  <c r="EC624" i="3" s="1"/>
  <c r="BS625" i="3"/>
  <c r="EC625" i="3"/>
  <c r="BS626" i="3"/>
  <c r="EC626" i="3" s="1"/>
  <c r="BS627" i="3"/>
  <c r="EC627" i="3"/>
  <c r="BS628" i="3"/>
  <c r="EC628" i="3" s="1"/>
  <c r="BS629" i="3"/>
  <c r="EC629" i="3"/>
  <c r="BS630" i="3"/>
  <c r="EC630" i="3" s="1"/>
  <c r="BS631" i="3"/>
  <c r="EC631" i="3"/>
  <c r="BS632" i="3"/>
  <c r="EC632" i="3" s="1"/>
  <c r="BS633" i="3"/>
  <c r="EC633" i="3"/>
  <c r="BS634" i="3"/>
  <c r="EC634" i="3" s="1"/>
  <c r="BS640" i="3"/>
  <c r="BS641" i="3"/>
  <c r="BS642" i="3"/>
  <c r="BS643" i="3"/>
  <c r="BS648" i="3"/>
  <c r="CX648" i="3"/>
  <c r="BS649" i="3"/>
  <c r="CX649" i="3" s="1"/>
  <c r="BS650" i="3"/>
  <c r="CX650" i="3"/>
  <c r="BS651" i="3"/>
  <c r="CX651" i="3" s="1"/>
  <c r="BS652" i="3"/>
  <c r="CX652" i="3"/>
  <c r="BS653" i="3"/>
  <c r="CX653" i="3" s="1"/>
  <c r="BS654" i="3"/>
  <c r="CX654" i="3"/>
  <c r="BS655" i="3"/>
  <c r="CX655" i="3" s="1"/>
  <c r="BS656" i="3"/>
  <c r="CX656" i="3"/>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4" i="3" s="1"/>
  <c r="CB645" i="3" s="1"/>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c r="CC613" i="3"/>
  <c r="EM613" i="3" s="1"/>
  <c r="CC614" i="3"/>
  <c r="EM614" i="3" s="1"/>
  <c r="CC615" i="3"/>
  <c r="EM615" i="3"/>
  <c r="CC616" i="3"/>
  <c r="EM616" i="3" s="1"/>
  <c r="CC617" i="3"/>
  <c r="EM617" i="3" s="1"/>
  <c r="CC618" i="3"/>
  <c r="EM618" i="3"/>
  <c r="CC619" i="3"/>
  <c r="EM619" i="3" s="1"/>
  <c r="CC620" i="3"/>
  <c r="EM620" i="3"/>
  <c r="CC621" i="3"/>
  <c r="EM621" i="3" s="1"/>
  <c r="CC622" i="3"/>
  <c r="EM622" i="3"/>
  <c r="CC623" i="3"/>
  <c r="EM623" i="3" s="1"/>
  <c r="CC624" i="3"/>
  <c r="EM624" i="3"/>
  <c r="CC625" i="3"/>
  <c r="EM625" i="3" s="1"/>
  <c r="CC626" i="3"/>
  <c r="EM626" i="3"/>
  <c r="CC627" i="3"/>
  <c r="EM627" i="3" s="1"/>
  <c r="CC628" i="3"/>
  <c r="EM628" i="3"/>
  <c r="CC629" i="3"/>
  <c r="EM629" i="3" s="1"/>
  <c r="CC630" i="3"/>
  <c r="EM630" i="3"/>
  <c r="CC631" i="3"/>
  <c r="EM631" i="3" s="1"/>
  <c r="CC632" i="3"/>
  <c r="EM632" i="3"/>
  <c r="CC633" i="3"/>
  <c r="EM633" i="3" s="1"/>
  <c r="CC634" i="3"/>
  <c r="EM634" i="3"/>
  <c r="CC640" i="3"/>
  <c r="CC644" i="3" s="1"/>
  <c r="CG645" i="3" s="1"/>
  <c r="CC641" i="3"/>
  <c r="CC642" i="3"/>
  <c r="CC643" i="3"/>
  <c r="CC648" i="3"/>
  <c r="DH648" i="3" s="1"/>
  <c r="CC649" i="3"/>
  <c r="DH649" i="3"/>
  <c r="CC650" i="3"/>
  <c r="DH650" i="3" s="1"/>
  <c r="CC651" i="3"/>
  <c r="DH651" i="3"/>
  <c r="DH658" i="3" s="1"/>
  <c r="CC652" i="3"/>
  <c r="DH652" i="3" s="1"/>
  <c r="CC653" i="3"/>
  <c r="DH653" i="3"/>
  <c r="CC654" i="3"/>
  <c r="DH654" i="3" s="1"/>
  <c r="CC655" i="3"/>
  <c r="DH655" i="3"/>
  <c r="CC656" i="3"/>
  <c r="DH656" i="3" s="1"/>
  <c r="CC657" i="3"/>
  <c r="DH657" i="3"/>
  <c r="CM648" i="3"/>
  <c r="DR648" i="3" s="1"/>
  <c r="CM649" i="3"/>
  <c r="DR649" i="3"/>
  <c r="CM650" i="3"/>
  <c r="DR650" i="3" s="1"/>
  <c r="CM651" i="3"/>
  <c r="DR651" i="3"/>
  <c r="CM652" i="3"/>
  <c r="DR652" i="3" s="1"/>
  <c r="CM653" i="3"/>
  <c r="DR653" i="3"/>
  <c r="CM654" i="3"/>
  <c r="DR654" i="3" s="1"/>
  <c r="CM655" i="3"/>
  <c r="DR655" i="3"/>
  <c r="CM656" i="3"/>
  <c r="DR656" i="3" s="1"/>
  <c r="CM657" i="3"/>
  <c r="DR657" i="3"/>
  <c r="CM640" i="3"/>
  <c r="CM641" i="3"/>
  <c r="CM642" i="3"/>
  <c r="CM643" i="3"/>
  <c r="CM610" i="3"/>
  <c r="EW610" i="3" s="1"/>
  <c r="CM611" i="3"/>
  <c r="EW611" i="3" s="1"/>
  <c r="CM612" i="3"/>
  <c r="EW612" i="3" s="1"/>
  <c r="CM613" i="3"/>
  <c r="EW613" i="3" s="1"/>
  <c r="CM614" i="3"/>
  <c r="EW614" i="3" s="1"/>
  <c r="CM615" i="3"/>
  <c r="EW615" i="3" s="1"/>
  <c r="CM616" i="3"/>
  <c r="EW616" i="3"/>
  <c r="CM617" i="3"/>
  <c r="EW617" i="3" s="1"/>
  <c r="CM618" i="3"/>
  <c r="EW618" i="3"/>
  <c r="CM619" i="3"/>
  <c r="EW619" i="3" s="1"/>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CH611" i="3"/>
  <c r="ER611" i="3" s="1"/>
  <c r="CH612" i="3"/>
  <c r="ER612" i="3" s="1"/>
  <c r="CH613" i="3"/>
  <c r="ER613" i="3" s="1"/>
  <c r="CH614" i="3"/>
  <c r="ER614" i="3" s="1"/>
  <c r="CH615" i="3"/>
  <c r="ER615" i="3"/>
  <c r="CH616" i="3"/>
  <c r="ER616" i="3" s="1"/>
  <c r="CH617" i="3"/>
  <c r="ER617" i="3" s="1"/>
  <c r="CH618" i="3"/>
  <c r="ER618" i="3" s="1"/>
  <c r="CH619" i="3"/>
  <c r="ER619" i="3" s="1"/>
  <c r="CH620" i="3"/>
  <c r="ER620" i="3" s="1"/>
  <c r="CH621" i="3"/>
  <c r="ER621" i="3" s="1"/>
  <c r="CH622" i="3"/>
  <c r="ER622" i="3"/>
  <c r="CH623" i="3"/>
  <c r="ER623" i="3" s="1"/>
  <c r="CH624" i="3"/>
  <c r="ER624" i="3"/>
  <c r="CH625" i="3"/>
  <c r="ER625" i="3" s="1"/>
  <c r="CH626" i="3"/>
  <c r="ER626" i="3"/>
  <c r="CH627" i="3"/>
  <c r="ER627" i="3" s="1"/>
  <c r="CH628" i="3"/>
  <c r="ER628" i="3"/>
  <c r="CH629" i="3"/>
  <c r="ER629" i="3" s="1"/>
  <c r="CH630" i="3"/>
  <c r="ER630" i="3"/>
  <c r="CH631" i="3"/>
  <c r="ER631" i="3" s="1"/>
  <c r="CH632" i="3"/>
  <c r="ER632" i="3"/>
  <c r="CH633" i="3"/>
  <c r="ER633" i="3" s="1"/>
  <c r="CH634" i="3"/>
  <c r="ER634" i="3"/>
  <c r="CH640" i="3"/>
  <c r="CH644" i="3" s="1"/>
  <c r="CL645" i="3" s="1"/>
  <c r="CH641" i="3"/>
  <c r="CH642" i="3"/>
  <c r="CH643" i="3"/>
  <c r="CH648" i="3"/>
  <c r="DM648" i="3" s="1"/>
  <c r="CH649" i="3"/>
  <c r="DM649" i="3"/>
  <c r="CH650" i="3"/>
  <c r="DM650" i="3" s="1"/>
  <c r="CH651" i="3"/>
  <c r="DM651" i="3"/>
  <c r="CH652" i="3"/>
  <c r="DM652" i="3" s="1"/>
  <c r="CH653" i="3"/>
  <c r="DM653" i="3"/>
  <c r="CH654" i="3"/>
  <c r="DM654" i="3" s="1"/>
  <c r="CH655" i="3"/>
  <c r="DM655" i="3"/>
  <c r="CH656" i="3"/>
  <c r="DM656" i="3" s="1"/>
  <c r="CH657" i="3"/>
  <c r="DM657" i="3"/>
  <c r="AJ980" i="3"/>
  <c r="AJ990" i="3"/>
  <c r="BE610" i="3"/>
  <c r="BG610" i="3" s="1"/>
  <c r="BE611" i="3"/>
  <c r="BG611" i="3"/>
  <c r="BE612" i="3"/>
  <c r="BG612" i="3" s="1"/>
  <c r="BE613" i="3"/>
  <c r="BG613" i="3"/>
  <c r="BE614" i="3"/>
  <c r="BG614" i="3" s="1"/>
  <c r="BE615" i="3"/>
  <c r="BG615" i="3" s="1"/>
  <c r="BE616" i="3"/>
  <c r="BG616" i="3" s="1"/>
  <c r="BE617" i="3"/>
  <c r="BG617" i="3" s="1"/>
  <c r="BE618" i="3"/>
  <c r="BG618" i="3" s="1"/>
  <c r="BE619" i="3"/>
  <c r="BG619" i="3" s="1"/>
  <c r="BE620" i="3"/>
  <c r="BG620" i="3" s="1"/>
  <c r="BE621" i="3"/>
  <c r="BG621" i="3"/>
  <c r="BE622" i="3"/>
  <c r="BG622" i="3" s="1"/>
  <c r="BE623" i="3"/>
  <c r="BG623" i="3"/>
  <c r="BE624" i="3"/>
  <c r="BG624" i="3" s="1"/>
  <c r="BE625" i="3"/>
  <c r="BG625" i="3"/>
  <c r="BE626" i="3"/>
  <c r="BG626" i="3" s="1"/>
  <c r="BE627" i="3"/>
  <c r="BG627" i="3"/>
  <c r="BE628" i="3"/>
  <c r="BG628" i="3" s="1"/>
  <c r="BE629" i="3"/>
  <c r="BG629" i="3"/>
  <c r="BE630" i="3"/>
  <c r="BG630" i="3" s="1"/>
  <c r="BE631" i="3"/>
  <c r="BG631" i="3"/>
  <c r="BE632" i="3"/>
  <c r="BG632" i="3" s="1"/>
  <c r="BE633" i="3"/>
  <c r="BG633" i="3"/>
  <c r="BE634" i="3"/>
  <c r="BG634" i="3" s="1"/>
  <c r="BI610" i="3"/>
  <c r="BK610" i="3" s="1"/>
  <c r="BI611" i="3"/>
  <c r="BK611" i="3" s="1"/>
  <c r="BI612" i="3"/>
  <c r="BK612" i="3" s="1"/>
  <c r="BI613" i="3"/>
  <c r="BK613" i="3"/>
  <c r="BI614" i="3"/>
  <c r="BK614" i="3" s="1"/>
  <c r="BI615" i="3"/>
  <c r="BK615" i="3" s="1"/>
  <c r="BI616" i="3"/>
  <c r="BK616" i="3" s="1"/>
  <c r="BI617" i="3"/>
  <c r="BK617" i="3"/>
  <c r="BI618" i="3"/>
  <c r="BK618" i="3" s="1"/>
  <c r="BI619" i="3"/>
  <c r="BK619" i="3" s="1"/>
  <c r="BI620" i="3"/>
  <c r="BK620" i="3" s="1"/>
  <c r="BI621" i="3"/>
  <c r="BK621" i="3"/>
  <c r="BI622" i="3"/>
  <c r="BK622" i="3" s="1"/>
  <c r="BI623" i="3"/>
  <c r="BK623" i="3"/>
  <c r="BI624" i="3"/>
  <c r="BK624" i="3" s="1"/>
  <c r="BI625" i="3"/>
  <c r="BK625" i="3"/>
  <c r="BI626" i="3"/>
  <c r="BK626" i="3" s="1"/>
  <c r="BI627" i="3"/>
  <c r="BK627" i="3"/>
  <c r="BI628" i="3"/>
  <c r="BK628" i="3" s="1"/>
  <c r="BI629" i="3"/>
  <c r="BK629" i="3"/>
  <c r="BI630" i="3"/>
  <c r="BK630" i="3" s="1"/>
  <c r="BI631" i="3"/>
  <c r="BK631" i="3"/>
  <c r="BI632" i="3"/>
  <c r="BK632" i="3" s="1"/>
  <c r="BI633" i="3"/>
  <c r="BK633" i="3"/>
  <c r="BI634" i="3"/>
  <c r="BK634" i="3" s="1"/>
  <c r="C11" i="4"/>
  <c r="B11" i="13" s="1"/>
  <c r="C26" i="4"/>
  <c r="B26" i="13" s="1"/>
  <c r="C38" i="4"/>
  <c r="B38" i="13" s="1"/>
  <c r="C54" i="4"/>
  <c r="B54" i="4" s="1"/>
  <c r="C62" i="4"/>
  <c r="B62" i="13"/>
  <c r="C77" i="4"/>
  <c r="B77" i="13" s="1"/>
  <c r="C96" i="4"/>
  <c r="B96" i="13" s="1"/>
  <c r="B104" i="13"/>
  <c r="D8" i="4"/>
  <c r="D11" i="4"/>
  <c r="D26" i="4"/>
  <c r="D38" i="4"/>
  <c r="D42" i="4"/>
  <c r="D54" i="4"/>
  <c r="D62" i="4"/>
  <c r="D77" i="4"/>
  <c r="D96" i="4"/>
  <c r="D104" i="4"/>
  <c r="B104" i="4"/>
  <c r="AO649" i="3"/>
  <c r="AO651" i="3" s="1"/>
  <c r="S26" i="4"/>
  <c r="E26" i="13"/>
  <c r="S38" i="4"/>
  <c r="E38" i="13"/>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63" i="4" s="1"/>
  <c r="I97" i="4" s="1"/>
  <c r="I105" i="4" s="1"/>
  <c r="I11" i="4"/>
  <c r="J8" i="4"/>
  <c r="J11" i="4"/>
  <c r="J12" i="4" s="1"/>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s="1"/>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M731" i="3" s="1"/>
  <c r="AC732" i="3"/>
  <c r="AC733" i="3"/>
  <c r="AC734" i="3"/>
  <c r="AM734" i="3" s="1"/>
  <c r="AC735" i="3"/>
  <c r="AC736" i="3"/>
  <c r="AC737" i="3"/>
  <c r="AM737" i="3"/>
  <c r="AC738" i="3"/>
  <c r="AM738"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DM658" i="3"/>
  <c r="D49" i="11"/>
  <c r="D50" i="11"/>
  <c r="I63" i="13"/>
  <c r="I97" i="13"/>
  <c r="I105" i="13"/>
  <c r="I107" i="13"/>
  <c r="B81" i="13"/>
  <c r="D54" i="11"/>
  <c r="J63" i="13"/>
  <c r="J97" i="13"/>
  <c r="J105" i="13"/>
  <c r="J107" i="13"/>
  <c r="L12" i="4"/>
  <c r="R970" i="3"/>
  <c r="R971" i="3"/>
  <c r="AD1035" i="3" s="1"/>
  <c r="AD1037" i="3" s="1"/>
  <c r="E4" i="21" s="1"/>
  <c r="R972" i="3"/>
  <c r="AM729" i="3"/>
  <c r="D5" i="11"/>
  <c r="D70" i="11"/>
  <c r="D80" i="11"/>
  <c r="D52" i="11"/>
  <c r="I12" i="4"/>
  <c r="G12" i="4"/>
  <c r="D6" i="11"/>
  <c r="L63" i="4"/>
  <c r="L97" i="4"/>
  <c r="L105" i="4"/>
  <c r="Q12" i="4"/>
  <c r="B11" i="4"/>
  <c r="O63" i="4"/>
  <c r="O97" i="4"/>
  <c r="O105" i="4"/>
  <c r="D18" i="11"/>
  <c r="R70" i="4"/>
  <c r="B8" i="4"/>
  <c r="D10" i="11"/>
  <c r="D36" i="11"/>
  <c r="D61" i="11"/>
  <c r="D57" i="11"/>
  <c r="D8" i="11"/>
  <c r="D85" i="11"/>
  <c r="B43" i="11"/>
  <c r="D102" i="11"/>
  <c r="D94" i="11"/>
  <c r="K12" i="4"/>
  <c r="C43" i="11"/>
  <c r="C12" i="13"/>
  <c r="D63" i="4"/>
  <c r="D97" i="4"/>
  <c r="D105" i="4"/>
  <c r="D7" i="11"/>
  <c r="D22" i="11"/>
  <c r="O12" i="4"/>
  <c r="D95" i="11"/>
  <c r="B82" i="11"/>
  <c r="D12" i="4"/>
  <c r="R77" i="4"/>
  <c r="H12" i="4"/>
  <c r="C39" i="11"/>
  <c r="D73" i="11"/>
  <c r="D44" i="11"/>
  <c r="D35" i="11"/>
  <c r="D76" i="11"/>
  <c r="D31" i="11"/>
  <c r="D32" i="11"/>
  <c r="D15" i="11"/>
  <c r="D14" i="11"/>
  <c r="Q63" i="4"/>
  <c r="Q97" i="4"/>
  <c r="Q105" i="4"/>
  <c r="C105" i="11"/>
  <c r="D87" i="11"/>
  <c r="N63" i="4"/>
  <c r="N97" i="4"/>
  <c r="N105" i="4"/>
  <c r="N12" i="4"/>
  <c r="H63" i="4"/>
  <c r="H97" i="4"/>
  <c r="H105" i="4" s="1"/>
  <c r="F12" i="4"/>
  <c r="D60" i="11"/>
  <c r="M12" i="4"/>
  <c r="D74" i="11"/>
  <c r="D59" i="11"/>
  <c r="D38" i="11"/>
  <c r="R42" i="4"/>
  <c r="P63" i="4"/>
  <c r="P97" i="4"/>
  <c r="P105" i="4"/>
  <c r="B38" i="4"/>
  <c r="B63" i="11"/>
  <c r="C9" i="11"/>
  <c r="D62" i="11"/>
  <c r="D24" i="11"/>
  <c r="D101" i="11"/>
  <c r="D90" i="11"/>
  <c r="D66" i="11"/>
  <c r="C63" i="13"/>
  <c r="C97" i="13"/>
  <c r="C105" i="13"/>
  <c r="D75" i="11"/>
  <c r="B71" i="11"/>
  <c r="D71" i="11" s="1"/>
  <c r="D28" i="11"/>
  <c r="D103" i="11"/>
  <c r="D88" i="11"/>
  <c r="C78" i="11"/>
  <c r="D42" i="11"/>
  <c r="D16" i="11"/>
  <c r="B12" i="11"/>
  <c r="D12" i="11" s="1"/>
  <c r="R26" i="4"/>
  <c r="D86" i="11"/>
  <c r="F63" i="13"/>
  <c r="F97" i="13"/>
  <c r="F105" i="13"/>
  <c r="F107" i="13"/>
  <c r="AM733" i="3"/>
  <c r="AB48" i="15"/>
  <c r="AD193" i="20"/>
  <c r="AD194" i="20"/>
  <c r="B42" i="4"/>
  <c r="D77" i="11"/>
  <c r="D47" i="11"/>
  <c r="C71" i="11"/>
  <c r="M63" i="4"/>
  <c r="M97" i="4"/>
  <c r="M105" i="4"/>
  <c r="G63" i="4"/>
  <c r="G97" i="4" s="1"/>
  <c r="G105" i="4" s="1"/>
  <c r="D91" i="11"/>
  <c r="J63" i="4"/>
  <c r="J97" i="4"/>
  <c r="J105" i="4" s="1"/>
  <c r="C12" i="11"/>
  <c r="K63" i="4"/>
  <c r="K97" i="4"/>
  <c r="K105" i="4"/>
  <c r="B62" i="4"/>
  <c r="B105" i="11"/>
  <c r="U39" i="7"/>
  <c r="U42" i="7" s="1"/>
  <c r="S39" i="7"/>
  <c r="S42" i="7" s="1"/>
  <c r="E42" i="7"/>
  <c r="I39" i="7"/>
  <c r="I42" i="7" s="1"/>
  <c r="K39" i="7"/>
  <c r="K42" i="7"/>
  <c r="W39" i="7"/>
  <c r="W42" i="7" s="1"/>
  <c r="Y39" i="7"/>
  <c r="Y42" i="7" s="1"/>
  <c r="AD7" i="15"/>
  <c r="E63" i="4"/>
  <c r="G39" i="7"/>
  <c r="G42" i="7" s="1"/>
  <c r="O39" i="7"/>
  <c r="O42" i="7" s="1"/>
  <c r="BN644" i="3"/>
  <c r="BR645" i="3" s="1"/>
  <c r="AE39" i="7"/>
  <c r="AE42" i="7" s="1"/>
  <c r="AA39" i="7"/>
  <c r="AA42" i="7" s="1"/>
  <c r="AG39" i="7"/>
  <c r="AG42" i="7" s="1"/>
  <c r="Q39" i="7"/>
  <c r="Q42" i="7" s="1"/>
  <c r="AC39" i="7"/>
  <c r="AC42" i="7"/>
  <c r="Y7" i="15"/>
  <c r="Y11" i="15" s="1"/>
  <c r="Y23" i="15" s="1"/>
  <c r="Y26" i="15" s="1"/>
  <c r="AI11" i="15"/>
  <c r="AI23" i="15" s="1"/>
  <c r="AI26" i="15" s="1"/>
  <c r="T7" i="15"/>
  <c r="K27" i="7"/>
  <c r="O27" i="7"/>
  <c r="S27" i="7"/>
  <c r="M27" i="7"/>
  <c r="G27" i="7"/>
  <c r="U27" i="7"/>
  <c r="BX658" i="3"/>
  <c r="CB659" i="3" s="1"/>
  <c r="AC881" i="3"/>
  <c r="BA995" i="3"/>
  <c r="AC796" i="3"/>
  <c r="BS658" i="3"/>
  <c r="BW659" i="3" s="1"/>
  <c r="D104" i="11"/>
  <c r="E12" i="4"/>
  <c r="T63" i="4"/>
  <c r="T97" i="4"/>
  <c r="D11" i="11"/>
  <c r="D43" i="11"/>
  <c r="D105" i="11"/>
  <c r="C13" i="11"/>
  <c r="H63" i="13"/>
  <c r="T105" i="4"/>
  <c r="H97" i="13"/>
  <c r="D96" i="11"/>
  <c r="T107" i="4"/>
  <c r="H105" i="13"/>
  <c r="H107" i="13"/>
  <c r="AD11" i="15"/>
  <c r="AD23" i="15"/>
  <c r="AD26" i="15"/>
  <c r="AP94" i="20"/>
  <c r="AJ1015" i="3"/>
  <c r="AJ1011" i="3"/>
  <c r="AJ1008" i="3"/>
  <c r="AZ846" i="3" s="1"/>
  <c r="AJ1020" i="3"/>
  <c r="AJ986" i="3"/>
  <c r="AJ995" i="3"/>
  <c r="AJ992" i="3"/>
  <c r="M52" i="7" l="1"/>
  <c r="K57" i="7"/>
  <c r="I57" i="7"/>
  <c r="Q28" i="7"/>
  <c r="G28" i="7"/>
  <c r="AA28" i="7"/>
  <c r="G26" i="7"/>
  <c r="I26" i="7" s="1"/>
  <c r="K26" i="7" s="1"/>
  <c r="M26" i="7" s="1"/>
  <c r="O26" i="7" s="1"/>
  <c r="Q26" i="7" s="1"/>
  <c r="S26" i="7" s="1"/>
  <c r="U26" i="7" s="1"/>
  <c r="W26" i="7" s="1"/>
  <c r="Y26" i="7" s="1"/>
  <c r="AA26" i="7" s="1"/>
  <c r="AC26" i="7" s="1"/>
  <c r="AE26" i="7" s="1"/>
  <c r="AG26" i="7" s="1"/>
  <c r="E97" i="4"/>
  <c r="E105" i="4" s="1"/>
  <c r="R8" i="4"/>
  <c r="R12" i="4" s="1"/>
  <c r="R63" i="4"/>
  <c r="R97" i="4" s="1"/>
  <c r="R105" i="4" s="1"/>
  <c r="BG243" i="3"/>
  <c r="BO245" i="3" s="1"/>
  <c r="T266" i="3" s="1"/>
  <c r="CX658" i="3"/>
  <c r="E21" i="7"/>
  <c r="E34" i="7" s="1"/>
  <c r="I14" i="7"/>
  <c r="K14" i="7" s="1"/>
  <c r="G21" i="7"/>
  <c r="G34" i="7" s="1"/>
  <c r="DC658" i="3"/>
  <c r="DR660" i="3" s="1"/>
  <c r="J28" i="25"/>
  <c r="CC658" i="3"/>
  <c r="CG659" i="3" s="1"/>
  <c r="CH658" i="3"/>
  <c r="CL659" i="3" s="1"/>
  <c r="E9" i="7"/>
  <c r="G8" i="7"/>
  <c r="G9" i="7" s="1"/>
  <c r="BN658" i="3"/>
  <c r="DR658" i="3"/>
  <c r="R973" i="3"/>
  <c r="R969" i="3"/>
  <c r="CM658" i="3"/>
  <c r="CQ659" i="3" s="1"/>
  <c r="AM730" i="3"/>
  <c r="CM644" i="3"/>
  <c r="CQ645" i="3" s="1"/>
  <c r="CS645" i="3" s="1"/>
  <c r="AG444" i="3"/>
  <c r="O28" i="7"/>
  <c r="I28" i="7"/>
  <c r="U28" i="7"/>
  <c r="AG28" i="7"/>
  <c r="Y28" i="7"/>
  <c r="BS644" i="3"/>
  <c r="BW645" i="3" s="1"/>
  <c r="I27" i="7"/>
  <c r="AC27" i="7"/>
  <c r="AA27" i="7"/>
  <c r="W27" i="7"/>
  <c r="AG27" i="7"/>
  <c r="Q27" i="7"/>
  <c r="I8" i="7"/>
  <c r="Y27" i="7"/>
  <c r="AM736" i="3"/>
  <c r="AM732" i="3"/>
  <c r="AC28" i="7"/>
  <c r="AE28" i="7"/>
  <c r="M28" i="7"/>
  <c r="AM735" i="3"/>
  <c r="S28" i="7"/>
  <c r="W28" i="7"/>
  <c r="S63" i="4"/>
  <c r="E63" i="13" s="1"/>
  <c r="S97" i="4"/>
  <c r="E97" i="13" s="1"/>
  <c r="S105" i="4"/>
  <c r="D63" i="13"/>
  <c r="D97" i="13" s="1"/>
  <c r="D105" i="13" s="1"/>
  <c r="B97" i="11"/>
  <c r="B96" i="4"/>
  <c r="C97" i="11"/>
  <c r="D97" i="11" s="1"/>
  <c r="D81" i="11"/>
  <c r="B77" i="4"/>
  <c r="B70" i="4"/>
  <c r="D58" i="11"/>
  <c r="D53" i="11"/>
  <c r="B54" i="13"/>
  <c r="B55" i="11"/>
  <c r="D55" i="11" s="1"/>
  <c r="D39" i="11"/>
  <c r="C27" i="11"/>
  <c r="C64" i="11"/>
  <c r="B27" i="11"/>
  <c r="D19" i="11"/>
  <c r="D27" i="11" s="1"/>
  <c r="B26" i="4"/>
  <c r="B63" i="4" s="1"/>
  <c r="B12" i="4"/>
  <c r="B9" i="11"/>
  <c r="N158" i="25"/>
  <c r="N164" i="25" s="1"/>
  <c r="C12" i="4"/>
  <c r="B12" i="13" s="1"/>
  <c r="C63" i="4"/>
  <c r="C97" i="4" s="1"/>
  <c r="B97" i="4" s="1"/>
  <c r="D9" i="11"/>
  <c r="B64" i="11"/>
  <c r="B98" i="11" s="1"/>
  <c r="B106" i="11" s="1"/>
  <c r="B13" i="11"/>
  <c r="D13" i="11" s="1"/>
  <c r="AP581" i="20"/>
  <c r="AQ581" i="20" s="1"/>
  <c r="AS577" i="20"/>
  <c r="AS573" i="20" s="1"/>
  <c r="AK684" i="20" s="1"/>
  <c r="T798" i="20" s="1"/>
  <c r="AF798" i="20" s="1"/>
  <c r="AS575" i="20"/>
  <c r="AK553" i="20"/>
  <c r="T795" i="20" s="1"/>
  <c r="AF795" i="20" s="1"/>
  <c r="T797" i="20"/>
  <c r="CS644" i="3"/>
  <c r="BK635" i="3"/>
  <c r="X1031" i="3" s="1"/>
  <c r="I30" i="8"/>
  <c r="Z807" i="3" s="1"/>
  <c r="E6" i="7" s="1"/>
  <c r="E7" i="7" s="1"/>
  <c r="T753" i="3"/>
  <c r="Y798" i="3" s="1"/>
  <c r="BG635" i="3"/>
  <c r="X1027" i="3" s="1"/>
  <c r="BG728" i="3"/>
  <c r="BH714" i="3" s="1"/>
  <c r="BI714" i="3" s="1"/>
  <c r="F30" i="8"/>
  <c r="BG696" i="3"/>
  <c r="BH694" i="3" s="1"/>
  <c r="BI694" i="3" s="1"/>
  <c r="C30" i="8"/>
  <c r="BH688" i="3"/>
  <c r="BI688" i="3" s="1"/>
  <c r="E93" i="20"/>
  <c r="E6" i="21"/>
  <c r="BA987" i="3"/>
  <c r="E92" i="20"/>
  <c r="AC882" i="3"/>
  <c r="AC883" i="3" s="1"/>
  <c r="DM635" i="3"/>
  <c r="CX635" i="3"/>
  <c r="BS635" i="3"/>
  <c r="EC642" i="3" s="1"/>
  <c r="BX635" i="3"/>
  <c r="EH638" i="3" s="1"/>
  <c r="DR635" i="3"/>
  <c r="CM635" i="3"/>
  <c r="EW654" i="3" s="1"/>
  <c r="DC635" i="3"/>
  <c r="CS635" i="3"/>
  <c r="DH635" i="3"/>
  <c r="AZ849" i="3"/>
  <c r="AZ854" i="3" s="1"/>
  <c r="EC651" i="3"/>
  <c r="BN635" i="3"/>
  <c r="DX641" i="3" s="1"/>
  <c r="CH635" i="3"/>
  <c r="ER643" i="3" s="1"/>
  <c r="EM635" i="3"/>
  <c r="AV110" i="20"/>
  <c r="AW107" i="20" s="1"/>
  <c r="CC635" i="3"/>
  <c r="EM639" i="3" s="1"/>
  <c r="DX635" i="3"/>
  <c r="EW635" i="3"/>
  <c r="EC635" i="3"/>
  <c r="J27" i="25"/>
  <c r="J20" i="25"/>
  <c r="J21" i="25"/>
  <c r="EH635" i="3"/>
  <c r="J22" i="25"/>
  <c r="J25" i="25"/>
  <c r="V29" i="25"/>
  <c r="J19" i="25"/>
  <c r="AN29" i="25"/>
  <c r="J24" i="25"/>
  <c r="J23" i="25"/>
  <c r="BS663" i="3"/>
  <c r="AB970" i="3" s="1"/>
  <c r="P29" i="25"/>
  <c r="AH29" i="25"/>
  <c r="J26" i="25"/>
  <c r="AB29" i="25"/>
  <c r="ER610" i="3"/>
  <c r="T27" i="15"/>
  <c r="AI27" i="15"/>
  <c r="AI28" i="15" s="1"/>
  <c r="Y27" i="15"/>
  <c r="Y28" i="15" s="1"/>
  <c r="AD27" i="15"/>
  <c r="AD28" i="15" s="1"/>
  <c r="O52" i="7" l="1"/>
  <c r="M57" i="7"/>
  <c r="I21" i="7"/>
  <c r="I34" i="7" s="1"/>
  <c r="BR659" i="3"/>
  <c r="CS661" i="3" s="1"/>
  <c r="CS660" i="3"/>
  <c r="K8" i="7"/>
  <c r="I9" i="7"/>
  <c r="K21" i="7"/>
  <c r="K34" i="7" s="1"/>
  <c r="M14" i="7"/>
  <c r="E105" i="13"/>
  <c r="S107" i="4"/>
  <c r="C98" i="11"/>
  <c r="D98" i="11" s="1"/>
  <c r="D64" i="11"/>
  <c r="C105" i="4"/>
  <c r="B105" i="4" s="1"/>
  <c r="B97" i="13"/>
  <c r="B63" i="13"/>
  <c r="C106" i="11"/>
  <c r="D106" i="11" s="1"/>
  <c r="Y799" i="3"/>
  <c r="E4" i="7" s="1"/>
  <c r="AG1028" i="3"/>
  <c r="BH691" i="3"/>
  <c r="BI691" i="3" s="1"/>
  <c r="G6" i="7"/>
  <c r="G7" i="7" s="1"/>
  <c r="BH687" i="3"/>
  <c r="BI687" i="3" s="1"/>
  <c r="BH719" i="3"/>
  <c r="BI719" i="3" s="1"/>
  <c r="BH706" i="3"/>
  <c r="BI706" i="3" s="1"/>
  <c r="AG1024" i="3"/>
  <c r="BH690" i="3"/>
  <c r="BI690" i="3" s="1"/>
  <c r="EC653" i="3"/>
  <c r="EC644" i="3"/>
  <c r="BH722" i="3"/>
  <c r="BI722" i="3" s="1"/>
  <c r="EC659" i="3"/>
  <c r="BH709" i="3"/>
  <c r="BI709" i="3" s="1"/>
  <c r="EC648" i="3"/>
  <c r="EC646" i="3"/>
  <c r="BH717" i="3"/>
  <c r="BI717" i="3" s="1"/>
  <c r="BH675" i="3"/>
  <c r="BI675" i="3" s="1"/>
  <c r="BH724" i="3"/>
  <c r="BI724" i="3" s="1"/>
  <c r="BH725" i="3"/>
  <c r="BI725" i="3" s="1"/>
  <c r="BH708" i="3"/>
  <c r="BI708" i="3" s="1"/>
  <c r="BH707" i="3"/>
  <c r="BI707" i="3" s="1"/>
  <c r="BH689" i="3"/>
  <c r="BI689" i="3" s="1"/>
  <c r="BH681" i="3"/>
  <c r="BI681" i="3" s="1"/>
  <c r="BH680" i="3"/>
  <c r="BI680" i="3" s="1"/>
  <c r="BH673" i="3"/>
  <c r="BI673" i="3" s="1"/>
  <c r="BH711" i="3"/>
  <c r="BI711" i="3" s="1"/>
  <c r="BH672" i="3"/>
  <c r="BI672" i="3" s="1"/>
  <c r="BH704" i="3"/>
  <c r="BH726" i="3"/>
  <c r="BI726" i="3" s="1"/>
  <c r="BH715" i="3"/>
  <c r="BI715" i="3" s="1"/>
  <c r="BH720" i="3"/>
  <c r="BI720" i="3" s="1"/>
  <c r="BH682" i="3"/>
  <c r="BI682" i="3" s="1"/>
  <c r="BH695" i="3"/>
  <c r="BI695" i="3" s="1"/>
  <c r="BH678" i="3"/>
  <c r="BI678" i="3" s="1"/>
  <c r="BH721" i="3"/>
  <c r="BI721" i="3" s="1"/>
  <c r="BH727" i="3"/>
  <c r="BI727" i="3" s="1"/>
  <c r="BH705" i="3"/>
  <c r="BI705" i="3" s="1"/>
  <c r="BH710" i="3"/>
  <c r="BI710" i="3" s="1"/>
  <c r="BH723" i="3"/>
  <c r="BI723" i="3" s="1"/>
  <c r="BH671" i="3"/>
  <c r="BI671" i="3" s="1"/>
  <c r="BH684" i="3"/>
  <c r="BI684" i="3" s="1"/>
  <c r="BH676" i="3"/>
  <c r="BI676" i="3" s="1"/>
  <c r="BH683" i="3"/>
  <c r="BI683" i="3" s="1"/>
  <c r="BH703" i="3"/>
  <c r="BI703" i="3" s="1"/>
  <c r="BH713" i="3"/>
  <c r="BI713" i="3" s="1"/>
  <c r="BH712" i="3"/>
  <c r="BI712" i="3" s="1"/>
  <c r="BH718" i="3"/>
  <c r="BI718" i="3" s="1"/>
  <c r="BH716" i="3"/>
  <c r="BI716" i="3" s="1"/>
  <c r="CL637" i="3"/>
  <c r="ER642" i="3"/>
  <c r="BH692" i="3"/>
  <c r="BI692" i="3" s="1"/>
  <c r="BH685" i="3"/>
  <c r="BI685" i="3" s="1"/>
  <c r="BH674" i="3"/>
  <c r="BI674" i="3" s="1"/>
  <c r="BH693" i="3"/>
  <c r="BI693" i="3" s="1"/>
  <c r="BH686" i="3"/>
  <c r="BI686" i="3" s="1"/>
  <c r="BH679" i="3"/>
  <c r="BI679" i="3" s="1"/>
  <c r="BH677" i="3"/>
  <c r="BI677" i="3" s="1"/>
  <c r="EC643" i="3"/>
  <c r="EC652" i="3"/>
  <c r="EC639" i="3"/>
  <c r="EC638" i="3"/>
  <c r="BI704" i="3"/>
  <c r="I1027" i="3"/>
  <c r="BA989" i="3" s="1"/>
  <c r="I1031" i="3"/>
  <c r="BA990" i="3" s="1"/>
  <c r="EC657" i="3"/>
  <c r="EC655" i="3"/>
  <c r="EC658" i="3"/>
  <c r="EH651" i="3"/>
  <c r="EH648" i="3"/>
  <c r="EC649" i="3"/>
  <c r="EC662" i="3"/>
  <c r="EC650" i="3"/>
  <c r="BW637" i="3"/>
  <c r="EC647" i="3"/>
  <c r="EC640" i="3"/>
  <c r="EC654" i="3"/>
  <c r="EW661" i="3"/>
  <c r="EC661" i="3"/>
  <c r="EC645" i="3"/>
  <c r="E12" i="21"/>
  <c r="I12" i="21" s="1"/>
  <c r="EC641" i="3"/>
  <c r="EC656" i="3"/>
  <c r="E13" i="21"/>
  <c r="I13" i="21" s="1"/>
  <c r="EH647" i="3"/>
  <c r="ER644" i="3"/>
  <c r="ER645" i="3"/>
  <c r="AW105" i="20"/>
  <c r="ER654" i="3"/>
  <c r="EH656" i="3"/>
  <c r="ER639" i="3"/>
  <c r="EH649" i="3"/>
  <c r="EH639" i="3"/>
  <c r="EH662" i="3"/>
  <c r="ER649" i="3"/>
  <c r="ER647" i="3"/>
  <c r="ER655" i="3"/>
  <c r="EH655" i="3"/>
  <c r="EH646" i="3"/>
  <c r="ER659" i="3"/>
  <c r="CH663" i="3"/>
  <c r="EH659" i="3"/>
  <c r="EH652" i="3"/>
  <c r="BX663" i="3"/>
  <c r="AB971" i="3" s="1"/>
  <c r="AJ971" i="3" s="1"/>
  <c r="EH640" i="3"/>
  <c r="ER662" i="3"/>
  <c r="ER660" i="3"/>
  <c r="ER656" i="3"/>
  <c r="ER650" i="3"/>
  <c r="ER648" i="3"/>
  <c r="EH650" i="3"/>
  <c r="EH654" i="3"/>
  <c r="EH661" i="3"/>
  <c r="CB637" i="3"/>
  <c r="EH642" i="3"/>
  <c r="EH657" i="3"/>
  <c r="ER646" i="3"/>
  <c r="ER661" i="3"/>
  <c r="ER653" i="3"/>
  <c r="ER657" i="3"/>
  <c r="ER651" i="3"/>
  <c r="ER641" i="3"/>
  <c r="EH658" i="3"/>
  <c r="EH644" i="3"/>
  <c r="EC660" i="3"/>
  <c r="EH643" i="3"/>
  <c r="EH641" i="3"/>
  <c r="EH653" i="3"/>
  <c r="EW641" i="3"/>
  <c r="EW651" i="3"/>
  <c r="DX658" i="3"/>
  <c r="EW639" i="3"/>
  <c r="EW660" i="3"/>
  <c r="EW648" i="3"/>
  <c r="EH645" i="3"/>
  <c r="E11" i="21"/>
  <c r="I11" i="21" s="1"/>
  <c r="DX645" i="3"/>
  <c r="CM663" i="3"/>
  <c r="EW647" i="3"/>
  <c r="DX638" i="3"/>
  <c r="EW657" i="3"/>
  <c r="EW659" i="3"/>
  <c r="EH660" i="3"/>
  <c r="DX651" i="3"/>
  <c r="EW653" i="3"/>
  <c r="EW649" i="3"/>
  <c r="DX649" i="3"/>
  <c r="EW655" i="3"/>
  <c r="EW646" i="3"/>
  <c r="DX642" i="3"/>
  <c r="DX662" i="3"/>
  <c r="EW638" i="3"/>
  <c r="CQ637" i="3"/>
  <c r="EM649" i="3"/>
  <c r="E15" i="21"/>
  <c r="AW109" i="20"/>
  <c r="EW656" i="3"/>
  <c r="EW640" i="3"/>
  <c r="EW662" i="3"/>
  <c r="EW650" i="3"/>
  <c r="EW658" i="3"/>
  <c r="EW642" i="3"/>
  <c r="AW104" i="20"/>
  <c r="AW106" i="20"/>
  <c r="EW644" i="3"/>
  <c r="EW652" i="3"/>
  <c r="EW643" i="3"/>
  <c r="EW645" i="3"/>
  <c r="DX643" i="3"/>
  <c r="DX661" i="3"/>
  <c r="DX660" i="3"/>
  <c r="BN663" i="3"/>
  <c r="AB969" i="3" s="1"/>
  <c r="AJ969" i="3" s="1"/>
  <c r="DX656" i="3"/>
  <c r="DX655" i="3"/>
  <c r="EM645" i="3"/>
  <c r="DX648" i="3"/>
  <c r="CM636" i="3"/>
  <c r="DX644" i="3"/>
  <c r="DX646" i="3"/>
  <c r="DX639" i="3"/>
  <c r="DX654" i="3"/>
  <c r="DX657" i="3"/>
  <c r="DX647" i="3"/>
  <c r="EM661" i="3"/>
  <c r="DX652" i="3"/>
  <c r="DX650" i="3"/>
  <c r="DX659" i="3"/>
  <c r="DX640" i="3"/>
  <c r="DX653" i="3"/>
  <c r="BR637" i="3"/>
  <c r="ER658" i="3"/>
  <c r="ER652" i="3"/>
  <c r="ER640" i="3"/>
  <c r="EM656" i="3"/>
  <c r="EM653" i="3"/>
  <c r="E14" i="21"/>
  <c r="EM662" i="3"/>
  <c r="EM657" i="3"/>
  <c r="EM638" i="3"/>
  <c r="EM655" i="3"/>
  <c r="EM658" i="3"/>
  <c r="CC663" i="3"/>
  <c r="AB972" i="3" s="1"/>
  <c r="AJ972" i="3" s="1"/>
  <c r="EM654" i="3"/>
  <c r="EM644" i="3"/>
  <c r="EM651" i="3"/>
  <c r="EM659" i="3"/>
  <c r="EM646" i="3"/>
  <c r="EM640" i="3"/>
  <c r="EM648" i="3"/>
  <c r="EM643" i="3"/>
  <c r="EM660" i="3"/>
  <c r="EM642" i="3"/>
  <c r="EM647" i="3"/>
  <c r="EM650" i="3"/>
  <c r="EM641" i="3"/>
  <c r="EM652" i="3"/>
  <c r="CG637" i="3"/>
  <c r="AW108" i="20"/>
  <c r="J29" i="25"/>
  <c r="AT25" i="25" s="1"/>
  <c r="ER635" i="3"/>
  <c r="ER638" i="3"/>
  <c r="AJ970" i="3"/>
  <c r="O57" i="7" l="1"/>
  <c r="Q52" i="7"/>
  <c r="Z816" i="3"/>
  <c r="O14" i="7"/>
  <c r="M21" i="7"/>
  <c r="M34" i="7" s="1"/>
  <c r="M8" i="7"/>
  <c r="K9" i="7"/>
  <c r="E107" i="13"/>
  <c r="T11" i="15" s="1"/>
  <c r="T23" i="15" s="1"/>
  <c r="AC455" i="3"/>
  <c r="AF766" i="20"/>
  <c r="AG252" i="20"/>
  <c r="AC454" i="3"/>
  <c r="B105" i="13"/>
  <c r="AB249" i="20"/>
  <c r="AG251" i="20" s="1"/>
  <c r="AG253" i="20" s="1"/>
  <c r="AK256" i="20" s="1"/>
  <c r="T792" i="20" s="1"/>
  <c r="AF792" i="20" s="1"/>
  <c r="AC453" i="3"/>
  <c r="N154" i="25"/>
  <c r="AB47" i="15"/>
  <c r="AB49" i="15" s="1"/>
  <c r="AB54" i="15" s="1"/>
  <c r="AB55" i="15" s="1"/>
  <c r="I6" i="7"/>
  <c r="I7" i="7" s="1"/>
  <c r="BI728" i="3"/>
  <c r="AM753" i="3" s="1"/>
  <c r="BI696" i="3"/>
  <c r="AH753" i="3" s="1"/>
  <c r="E81" i="20" s="1"/>
  <c r="E82" i="20" s="1"/>
  <c r="E83" i="20" s="1"/>
  <c r="AP83" i="20" s="1"/>
  <c r="AK97" i="20" s="1"/>
  <c r="T786" i="20" s="1"/>
  <c r="AF786" i="20" s="1"/>
  <c r="BH728" i="3"/>
  <c r="BH696" i="3"/>
  <c r="AW110" i="20"/>
  <c r="E91" i="20"/>
  <c r="E94" i="20" s="1"/>
  <c r="E5" i="7"/>
  <c r="E10" i="7" s="1"/>
  <c r="E36" i="7" s="1"/>
  <c r="G4" i="7"/>
  <c r="EC663" i="3"/>
  <c r="J118" i="20" s="1"/>
  <c r="J121" i="20" s="1"/>
  <c r="J124" i="20" s="1"/>
  <c r="AB973" i="3"/>
  <c r="AJ973" i="3" s="1"/>
  <c r="AJ975" i="3" s="1"/>
  <c r="EH663" i="3"/>
  <c r="O118" i="20" s="1"/>
  <c r="O121" i="20" s="1"/>
  <c r="O124" i="20" s="1"/>
  <c r="CS637" i="3"/>
  <c r="O756" i="3" s="1"/>
  <c r="E16" i="21"/>
  <c r="I15" i="21" s="1"/>
  <c r="EW663" i="3"/>
  <c r="AD118" i="20" s="1"/>
  <c r="AD121" i="20" s="1"/>
  <c r="AD124" i="20" s="1"/>
  <c r="AT24" i="25"/>
  <c r="AT23" i="25"/>
  <c r="ER663" i="3"/>
  <c r="Y118" i="20" s="1"/>
  <c r="Y121" i="20" s="1"/>
  <c r="Y124" i="20" s="1"/>
  <c r="AT26" i="25"/>
  <c r="AT22" i="25"/>
  <c r="DX663" i="3"/>
  <c r="E118" i="20" s="1"/>
  <c r="E121" i="20" s="1"/>
  <c r="E124" i="20" s="1"/>
  <c r="EM663" i="3"/>
  <c r="T118" i="20" s="1"/>
  <c r="T121" i="20" s="1"/>
  <c r="T124" i="20" s="1"/>
  <c r="AT29" i="25"/>
  <c r="AU38" i="25"/>
  <c r="N165" i="25"/>
  <c r="AU43" i="25"/>
  <c r="AU36" i="25"/>
  <c r="AU37" i="25"/>
  <c r="AU40" i="25"/>
  <c r="N155" i="25"/>
  <c r="AU41" i="25"/>
  <c r="AU47" i="25"/>
  <c r="AU42" i="25"/>
  <c r="AU46" i="25"/>
  <c r="AU45" i="25"/>
  <c r="AU39" i="25"/>
  <c r="AU44" i="25"/>
  <c r="AT28" i="25"/>
  <c r="AT20" i="25"/>
  <c r="AT21" i="25"/>
  <c r="AT27" i="25"/>
  <c r="AT19" i="25"/>
  <c r="S52" i="7" l="1"/>
  <c r="Q57" i="7"/>
  <c r="B1039" i="3"/>
  <c r="AJ977" i="3"/>
  <c r="K6" i="7"/>
  <c r="O8" i="7"/>
  <c r="M9" i="7"/>
  <c r="O21" i="7"/>
  <c r="O34" i="7" s="1"/>
  <c r="Q14" i="7"/>
  <c r="T26" i="15"/>
  <c r="T28" i="15" s="1"/>
  <c r="T29" i="15" s="1"/>
  <c r="Y64" i="15"/>
  <c r="Y68" i="15" s="1"/>
  <c r="I14" i="21"/>
  <c r="AJ1028" i="3"/>
  <c r="AP768" i="20" s="1"/>
  <c r="AJ1024" i="3"/>
  <c r="AP767" i="20" s="1"/>
  <c r="AB974" i="3"/>
  <c r="E44" i="7"/>
  <c r="E48" i="7"/>
  <c r="G5" i="7"/>
  <c r="G10" i="7" s="1"/>
  <c r="G36" i="7" s="1"/>
  <c r="I4" i="7"/>
  <c r="I16" i="21"/>
  <c r="K7" i="7"/>
  <c r="M6" i="7"/>
  <c r="P420" i="3"/>
  <c r="CS663" i="3"/>
  <c r="U588" i="20" s="1"/>
  <c r="E126" i="20"/>
  <c r="E127" i="20" s="1"/>
  <c r="AK131" i="20" s="1"/>
  <c r="T787" i="20" s="1"/>
  <c r="AF787" i="20" s="1"/>
  <c r="AP765" i="20"/>
  <c r="U52" i="7" l="1"/>
  <c r="S57" i="7"/>
  <c r="AJ1032" i="3"/>
  <c r="T24" i="15" s="1"/>
  <c r="AD38" i="15" s="1"/>
  <c r="AD40" i="15" s="1"/>
  <c r="Q21" i="7"/>
  <c r="Q34" i="7" s="1"/>
  <c r="S14" i="7"/>
  <c r="AP769" i="20"/>
  <c r="O9" i="7"/>
  <c r="Q8" i="7"/>
  <c r="G44" i="7"/>
  <c r="G48" i="7"/>
  <c r="O6" i="7"/>
  <c r="M7" i="7"/>
  <c r="I5" i="7"/>
  <c r="K4" i="7"/>
  <c r="I10" i="7"/>
  <c r="I36" i="7" s="1"/>
  <c r="E59" i="7"/>
  <c r="E47" i="7"/>
  <c r="E46" i="7"/>
  <c r="W52" i="7" l="1"/>
  <c r="U57" i="7"/>
  <c r="AP772" i="20"/>
  <c r="AP771" i="20" s="1"/>
  <c r="AP774" i="20" s="1"/>
  <c r="AF767" i="20" s="1"/>
  <c r="AF768" i="20" s="1"/>
  <c r="AK774" i="20" s="1"/>
  <c r="T799" i="20" s="1"/>
  <c r="AF799" i="20" s="1"/>
  <c r="AF801" i="20" s="1"/>
  <c r="Y38" i="15"/>
  <c r="Y40" i="15" s="1"/>
  <c r="S21" i="7"/>
  <c r="S34" i="7" s="1"/>
  <c r="U14" i="7"/>
  <c r="Q9" i="7"/>
  <c r="S8" i="7"/>
  <c r="E65" i="7"/>
  <c r="E61" i="7"/>
  <c r="E66" i="7"/>
  <c r="I48" i="7"/>
  <c r="I44" i="7"/>
  <c r="Q6" i="7"/>
  <c r="O7" i="7"/>
  <c r="M4" i="7"/>
  <c r="K5" i="7"/>
  <c r="K10" i="7" s="1"/>
  <c r="K36" i="7" s="1"/>
  <c r="Y41" i="15"/>
  <c r="AB56" i="15" s="1"/>
  <c r="AB57" i="15" s="1"/>
  <c r="AB59" i="15" s="1"/>
  <c r="AB76" i="15" s="1"/>
  <c r="AB77" i="15" s="1"/>
  <c r="G47" i="7"/>
  <c r="G59" i="7"/>
  <c r="G46" i="7"/>
  <c r="W57" i="7" l="1"/>
  <c r="Y52" i="7"/>
  <c r="U8" i="7"/>
  <c r="S9" i="7"/>
  <c r="U21" i="7"/>
  <c r="U34" i="7" s="1"/>
  <c r="W14" i="7"/>
  <c r="K48" i="7"/>
  <c r="K44" i="7"/>
  <c r="Q7" i="7"/>
  <c r="S6" i="7"/>
  <c r="M26" i="3"/>
  <c r="P203" i="3" s="1"/>
  <c r="G61" i="7"/>
  <c r="G65" i="7"/>
  <c r="G66" i="7"/>
  <c r="M5" i="7"/>
  <c r="M10" i="7" s="1"/>
  <c r="M36" i="7" s="1"/>
  <c r="O4" i="7"/>
  <c r="I46" i="7"/>
  <c r="I59" i="7"/>
  <c r="I47" i="7"/>
  <c r="E69" i="7"/>
  <c r="E71" i="7" s="1"/>
  <c r="M27" i="3"/>
  <c r="P204" i="3" s="1"/>
  <c r="AB78" i="15"/>
  <c r="AB80" i="15" s="1"/>
  <c r="J81" i="15" s="1"/>
  <c r="E3" i="21"/>
  <c r="E7" i="21" s="1"/>
  <c r="E18" i="21" s="1"/>
  <c r="AA52" i="7" l="1"/>
  <c r="Y57" i="7"/>
  <c r="W21" i="7"/>
  <c r="W34" i="7" s="1"/>
  <c r="Y14" i="7"/>
  <c r="U9" i="7"/>
  <c r="W8" i="7"/>
  <c r="G69" i="7"/>
  <c r="G71" i="7" s="1"/>
  <c r="O5" i="7"/>
  <c r="O10" i="7" s="1"/>
  <c r="O36" i="7" s="1"/>
  <c r="Q4" i="7"/>
  <c r="U6" i="7"/>
  <c r="S7" i="7"/>
  <c r="I65" i="7"/>
  <c r="I61" i="7"/>
  <c r="I66" i="7"/>
  <c r="K47" i="7"/>
  <c r="K59" i="7"/>
  <c r="K46" i="7"/>
  <c r="M48" i="7"/>
  <c r="M44" i="7"/>
  <c r="AC52" i="7" l="1"/>
  <c r="AA57" i="7"/>
  <c r="Y8" i="7"/>
  <c r="W9" i="7"/>
  <c r="AA14" i="7"/>
  <c r="Y21" i="7"/>
  <c r="Y34" i="7" s="1"/>
  <c r="O44" i="7"/>
  <c r="O48" i="7"/>
  <c r="K65" i="7"/>
  <c r="K66" i="7"/>
  <c r="K61" i="7"/>
  <c r="S4" i="7"/>
  <c r="Q5" i="7"/>
  <c r="Q10" i="7" s="1"/>
  <c r="Q36" i="7" s="1"/>
  <c r="U7" i="7"/>
  <c r="W6" i="7"/>
  <c r="I69" i="7"/>
  <c r="I71" i="7" s="1"/>
  <c r="M46" i="7"/>
  <c r="M47" i="7"/>
  <c r="M59" i="7"/>
  <c r="AE52" i="7" l="1"/>
  <c r="AC57" i="7"/>
  <c r="AC14" i="7"/>
  <c r="AA21" i="7"/>
  <c r="AA34" i="7" s="1"/>
  <c r="Y9" i="7"/>
  <c r="AA8" i="7"/>
  <c r="K69" i="7"/>
  <c r="K71" i="7" s="1"/>
  <c r="Q48" i="7"/>
  <c r="Q44" i="7"/>
  <c r="O46" i="7"/>
  <c r="O47" i="7"/>
  <c r="O59" i="7"/>
  <c r="M66" i="7"/>
  <c r="M61" i="7"/>
  <c r="M65" i="7"/>
  <c r="Y6" i="7"/>
  <c r="W7" i="7"/>
  <c r="U4" i="7"/>
  <c r="S5" i="7"/>
  <c r="S10" i="7" s="1"/>
  <c r="S36" i="7" s="1"/>
  <c r="AG52" i="7" l="1"/>
  <c r="AG57" i="7" s="1"/>
  <c r="AE57" i="7"/>
  <c r="AC8" i="7"/>
  <c r="AA9" i="7"/>
  <c r="AC21" i="7"/>
  <c r="AC34" i="7" s="1"/>
  <c r="AE14" i="7"/>
  <c r="M69" i="7"/>
  <c r="M71" i="7" s="1"/>
  <c r="S48" i="7"/>
  <c r="S44" i="7"/>
  <c r="W4" i="7"/>
  <c r="U5" i="7"/>
  <c r="U10" i="7" s="1"/>
  <c r="U36" i="7" s="1"/>
  <c r="AA6" i="7"/>
  <c r="Y7" i="7"/>
  <c r="Q46" i="7"/>
  <c r="Q59" i="7"/>
  <c r="Q47" i="7"/>
  <c r="O61" i="7"/>
  <c r="O65" i="7"/>
  <c r="O66" i="7"/>
  <c r="AE21" i="7" l="1"/>
  <c r="AE34" i="7" s="1"/>
  <c r="AG14" i="7"/>
  <c r="AG21" i="7" s="1"/>
  <c r="AG34" i="7" s="1"/>
  <c r="AE8" i="7"/>
  <c r="AC9" i="7"/>
  <c r="O69" i="7"/>
  <c r="O71" i="7" s="1"/>
  <c r="U44" i="7"/>
  <c r="U48" i="7"/>
  <c r="W5" i="7"/>
  <c r="W10" i="7" s="1"/>
  <c r="W36" i="7" s="1"/>
  <c r="Y4" i="7"/>
  <c r="AC6" i="7"/>
  <c r="AA7" i="7"/>
  <c r="S47" i="7"/>
  <c r="S46" i="7"/>
  <c r="S59" i="7"/>
  <c r="Q66" i="7"/>
  <c r="Q65" i="7"/>
  <c r="Q61" i="7"/>
  <c r="AG8" i="7" l="1"/>
  <c r="AG9" i="7" s="1"/>
  <c r="AE9" i="7"/>
  <c r="W48" i="7"/>
  <c r="W44" i="7"/>
  <c r="S61" i="7"/>
  <c r="S65" i="7"/>
  <c r="S66" i="7"/>
  <c r="AE6" i="7"/>
  <c r="AC7" i="7"/>
  <c r="Q69" i="7"/>
  <c r="Q71" i="7" s="1"/>
  <c r="Y5" i="7"/>
  <c r="Y10" i="7" s="1"/>
  <c r="Y36" i="7" s="1"/>
  <c r="AA4" i="7"/>
  <c r="U46" i="7"/>
  <c r="U59" i="7"/>
  <c r="U47" i="7"/>
  <c r="S69" i="7" l="1"/>
  <c r="S71" i="7" s="1"/>
  <c r="Y44" i="7"/>
  <c r="Y48" i="7"/>
  <c r="AC4" i="7"/>
  <c r="AA5" i="7"/>
  <c r="AA10" i="7" s="1"/>
  <c r="AA36" i="7" s="1"/>
  <c r="AE7" i="7"/>
  <c r="AG6" i="7"/>
  <c r="AG7" i="7" s="1"/>
  <c r="U61" i="7"/>
  <c r="U65" i="7"/>
  <c r="U66" i="7"/>
  <c r="W59" i="7"/>
  <c r="W46" i="7"/>
  <c r="W47" i="7"/>
  <c r="AA48" i="7" l="1"/>
  <c r="AA44" i="7"/>
  <c r="AE4" i="7"/>
  <c r="AC5" i="7"/>
  <c r="AC10" i="7" s="1"/>
  <c r="AC36" i="7" s="1"/>
  <c r="W65" i="7"/>
  <c r="W66" i="7"/>
  <c r="W61" i="7"/>
  <c r="U69" i="7"/>
  <c r="U71" i="7" s="1"/>
  <c r="Y59" i="7"/>
  <c r="Y47" i="7"/>
  <c r="Y46" i="7"/>
  <c r="Y66" i="7" l="1"/>
  <c r="Y61" i="7"/>
  <c r="Y65" i="7"/>
  <c r="AE5" i="7"/>
  <c r="AE10" i="7" s="1"/>
  <c r="AE36" i="7" s="1"/>
  <c r="AG4" i="7"/>
  <c r="AC48" i="7"/>
  <c r="AC44" i="7"/>
  <c r="W69" i="7"/>
  <c r="W71" i="7" s="1"/>
  <c r="AA59" i="7"/>
  <c r="AA47" i="7"/>
  <c r="AA46" i="7"/>
  <c r="Y69" i="7" l="1"/>
  <c r="Y71" i="7" s="1"/>
  <c r="AG5" i="7"/>
  <c r="AG10" i="7" s="1"/>
  <c r="AG36" i="7" s="1"/>
  <c r="AA65" i="7"/>
  <c r="AA61" i="7"/>
  <c r="AA66" i="7"/>
  <c r="AE44" i="7"/>
  <c r="AE48" i="7"/>
  <c r="AC46" i="7"/>
  <c r="AC47" i="7"/>
  <c r="AC59" i="7"/>
  <c r="AA69" i="7" l="1"/>
  <c r="AA71" i="7" s="1"/>
  <c r="AG48" i="7"/>
  <c r="AG44" i="7"/>
  <c r="AC61" i="7"/>
  <c r="AC65" i="7"/>
  <c r="AC66" i="7"/>
  <c r="AE46" i="7"/>
  <c r="AE47" i="7"/>
  <c r="AE59" i="7"/>
  <c r="AC69" i="7" l="1"/>
  <c r="AC71" i="7" s="1"/>
  <c r="AG47" i="7"/>
  <c r="AG46" i="7"/>
  <c r="AG59" i="7"/>
  <c r="AE66" i="7"/>
  <c r="AE61" i="7"/>
  <c r="AE65" i="7"/>
  <c r="AG66" i="7" l="1"/>
  <c r="AG65" i="7"/>
  <c r="AG61"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71" authorId="0" shapeId="0" xr:uid="{EE565447-602A-4C93-BD0B-2682A39AFB56}">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<sst xmlns="http://schemas.openxmlformats.org/spreadsheetml/2006/main" count="5036" uniqueCount="2651">
  <si>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</si>
  <si>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</si>
  <si>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</si>
  <si>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</si>
  <si>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</si>
  <si>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</si>
  <si>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</si>
  <si>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</si>
  <si>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</si>
  <si>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</si>
  <si>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</si>
  <si>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</si>
  <si>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</si>
  <si>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</si>
  <si>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</si>
  <si>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</si>
  <si>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</si>
  <si>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</si>
  <si>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</si>
  <si>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</si>
  <si>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</si>
  <si>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</si>
  <si>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</si>
  <si>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</si>
  <si>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</si>
  <si>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</si>
  <si>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</si>
  <si>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</si>
  <si>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</si>
  <si>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</si>
  <si>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</si>
  <si>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</si>
  <si>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</si>
  <si>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</si>
  <si>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</si>
  <si>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</si>
  <si>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</si>
  <si>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</si>
  <si>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</si>
  <si>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</si>
  <si>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</si>
  <si>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</si>
  <si>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</si>
  <si>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</si>
  <si>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</si>
  <si>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</si>
  <si>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</si>
  <si>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</si>
  <si>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</si>
  <si>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</si>
  <si>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</si>
  <si>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</si>
  <si>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</si>
  <si>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</si>
  <si>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</si>
  <si>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</si>
  <si>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</si>
  <si>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</si>
  <si>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</si>
  <si>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</si>
  <si>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</si>
  <si>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</si>
  <si>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</si>
  <si>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</si>
  <si>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</si>
  <si>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</si>
  <si>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</si>
  <si>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</si>
  <si>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</si>
  <si>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</si>
  <si>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</si>
  <si>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</si>
  <si>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</si>
  <si>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</si>
  <si>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</si>
  <si>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</si>
  <si>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</si>
  <si>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</si>
  <si>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</si>
  <si>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</si>
  <si>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</si>
  <si>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</si>
  <si>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</si>
  <si>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</si>
  <si>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</si>
  <si>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</si>
  <si>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</si>
  <si>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</si>
  <si>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</si>
  <si>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</si>
  <si>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</si>
  <si>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</si>
  <si>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</si>
  <si>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</si>
  <si>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</si>
  <si>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</si>
  <si>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</si>
  <si>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</si>
  <si>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</si>
  <si>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</si>
  <si>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</si>
  <si>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</si>
  <si>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</si>
  <si>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</si>
  <si>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</si>
  <si>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</si>
  <si>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</si>
  <si>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</si>
  <si>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</si>
  <si>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</si>
  <si>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</si>
  <si>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</si>
  <si>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</si>
  <si>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</si>
  <si>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</si>
  <si>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</si>
  <si>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</si>
  <si>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</si>
  <si>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</si>
  <si>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</si>
  <si>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</si>
  <si>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</si>
  <si>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</si>
  <si>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</si>
  <si>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</si>
  <si>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</si>
  <si>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</si>
  <si>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</si>
  <si>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</si>
  <si>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</si>
  <si>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</si>
  <si>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</si>
  <si>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</si>
  <si>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</si>
  <si>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</si>
  <si>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</si>
  <si>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</si>
  <si>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</si>
  <si>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</si>
  <si>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</si>
  <si>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</si>
  <si>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</si>
  <si>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</si>
  <si>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</si>
  <si>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</si>
  <si>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</si>
  <si>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</si>
  <si>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</si>
  <si>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</si>
  <si>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</si>
  <si>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</si>
  <si>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</si>
  <si>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</si>
  <si>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</si>
  <si>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</si>
  <si>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</si>
  <si>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</si>
  <si>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</si>
  <si>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</si>
  <si>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</si>
  <si>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</si>
  <si>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</si>
  <si>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</si>
  <si>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</si>
  <si>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</si>
  <si>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</si>
  <si>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</si>
  <si>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</si>
  <si>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</si>
  <si>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</si>
  <si>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</si>
  <si>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</si>
  <si>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</si>
  <si>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</si>
  <si>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</si>
  <si>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</si>
  <si>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</si>
  <si>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</si>
  <si>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</si>
  <si>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</si>
  <si>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</si>
  <si>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</si>
  <si>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</si>
  <si>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</si>
  <si>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</si>
  <si>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</si>
  <si>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</si>
  <si>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</si>
  <si>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</si>
  <si>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</si>
  <si>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</si>
  <si>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</si>
  <si>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</si>
  <si>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</si>
  <si>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</si>
  <si>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</si>
  <si>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</si>
  <si>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</si>
  <si>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</si>
  <si>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</si>
  <si>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</si>
  <si>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</si>
  <si>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</si>
  <si>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</si>
  <si>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</si>
  <si>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</si>
  <si>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</si>
  <si>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</si>
  <si>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</si>
  <si>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</si>
  <si>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</si>
  <si>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</si>
  <si>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</si>
  <si>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</si>
  <si>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</si>
  <si>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</si>
  <si>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</si>
  <si>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</si>
  <si>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</si>
  <si>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</si>
  <si>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</si>
  <si>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</si>
  <si>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</si>
  <si>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</si>
  <si>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</si>
  <si>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</si>
  <si>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</si>
  <si>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</si>
  <si>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</si>
  <si>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</si>
  <si>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</si>
  <si>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</si>
  <si>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</si>
  <si>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</si>
  <si>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</si>
  <si>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</si>
  <si>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</si>
  <si>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</si>
  <si>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</si>
  <si>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</si>
  <si>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</si>
  <si>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</si>
  <si>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</si>
  <si>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</si>
  <si>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</si>
  <si>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</si>
  <si>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</si>
  <si>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</si>
  <si>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</si>
  <si>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</si>
  <si>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</si>
  <si>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</si>
  <si>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</si>
  <si>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</si>
  <si>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</si>
  <si>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</si>
  <si>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</si>
  <si>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</si>
  <si>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</si>
  <si>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</si>
  <si>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</si>
  <si>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</si>
  <si>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</si>
  <si>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</si>
  <si>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</si>
  <si>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</si>
  <si>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</si>
  <si>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</si>
  <si>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</si>
  <si>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</si>
  <si>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</si>
  <si>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</si>
  <si>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</si>
  <si>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</si>
  <si>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</si>
  <si>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</si>
  <si>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</si>
  <si>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</si>
  <si>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</si>
  <si>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</si>
  <si>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</si>
  <si>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</si>
  <si>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</si>
  <si>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</si>
  <si>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</si>
  <si>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</si>
  <si>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</si>
  <si>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</si>
  <si>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</si>
  <si>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</si>
  <si>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</si>
  <si>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</si>
  <si>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</si>
  <si>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</si>
  <si>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</si>
  <si>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</si>
  <si>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</si>
  <si>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</si>
  <si>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</si>
  <si>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</si>
  <si>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</si>
  <si>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</si>
  <si>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</si>
  <si>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</si>
  <si>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</si>
  <si>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</si>
  <si>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</si>
  <si>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</si>
  <si>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</si>
  <si>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</si>
  <si>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</si>
  <si>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</si>
  <si>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</si>
  <si>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</si>
  <si>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</si>
  <si>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</si>
  <si>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</si>
  <si>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</si>
  <si>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</si>
  <si>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</si>
  <si>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</si>
  <si>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</si>
  <si>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</si>
  <si>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</si>
  <si>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</si>
  <si>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</si>
  <si>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</si>
  <si>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</si>
  <si>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</si>
  <si>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</si>
  <si>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</si>
  <si>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</si>
  <si>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</si>
  <si>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</si>
  <si>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</si>
  <si>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</si>
  <si>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</si>
  <si>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</si>
  <si>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</si>
  <si>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</si>
  <si>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</si>
  <si>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</si>
  <si>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</si>
  <si>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</si>
  <si>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</si>
  <si>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</si>
  <si>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</si>
  <si>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</si>
  <si>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</si>
  <si>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</si>
  <si>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</si>
  <si>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</si>
  <si>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</si>
  <si>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</si>
  <si>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</si>
  <si>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</si>
  <si>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</si>
  <si>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</si>
  <si>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</si>
  <si>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</si>
  <si>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</si>
  <si>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</si>
  <si>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</si>
  <si>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</si>
  <si>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</si>
  <si>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</si>
  <si>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</si>
  <si>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</si>
  <si>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</si>
  <si>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</si>
  <si>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</si>
  <si>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</si>
  <si>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</si>
  <si>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</si>
  <si>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</si>
  <si>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</si>
  <si>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</si>
  <si>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</si>
  <si>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</si>
  <si>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</si>
  <si>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</si>
  <si>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</si>
  <si>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</si>
  <si>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</si>
  <si>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</si>
  <si>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</si>
  <si>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</si>
  <si>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</si>
  <si>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</si>
  <si>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</si>
  <si>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</si>
  <si>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</si>
  <si>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</si>
  <si>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</si>
  <si>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</si>
  <si>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</si>
  <si>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</si>
  <si>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</si>
  <si>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</si>
  <si>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</si>
  <si>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</si>
  <si>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</si>
  <si>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</si>
  <si>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</si>
  <si>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</si>
  <si>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</si>
  <si>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</si>
  <si>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</si>
  <si>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</si>
  <si>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</si>
  <si>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</si>
  <si>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</si>
  <si>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</si>
  <si>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</si>
  <si>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</si>
  <si>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</si>
  <si>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</si>
  <si>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</si>
  <si>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</si>
  <si>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</si>
  <si>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</si>
  <si>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</si>
  <si>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</si>
  <si>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</si>
  <si>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</si>
  <si>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</si>
  <si>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</si>
  <si>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</si>
  <si>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</si>
  <si>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</si>
  <si>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</si>
  <si>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</si>
  <si>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</si>
  <si>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</si>
  <si>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</si>
  <si>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</si>
  <si>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</si>
  <si>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</si>
  <si>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</si>
  <si>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</si>
  <si>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</si>
  <si>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</si>
  <si>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</si>
  <si>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</si>
  <si>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</si>
  <si>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</si>
  <si>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</si>
  <si>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</si>
  <si>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</si>
  <si>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</si>
  <si>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</si>
  <si>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</si>
  <si>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</si>
  <si>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</si>
  <si>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</si>
  <si>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</si>
  <si>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</si>
  <si>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</si>
  <si>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</si>
  <si>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</si>
  <si>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</si>
  <si>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</si>
  <si>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</si>
  <si>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</si>
  <si>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</si>
  <si>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</si>
  <si>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</si>
  <si>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</si>
  <si>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</si>
  <si>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</si>
  <si>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</si>
  <si>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</si>
  <si>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</si>
  <si>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</si>
  <si>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</si>
  <si>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</si>
  <si>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</si>
  <si>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</si>
  <si>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</si>
  <si>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</si>
  <si>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</si>
  <si>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</si>
  <si>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</si>
  <si>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</si>
  <si>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</si>
  <si>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</si>
  <si>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</si>
  <si>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</si>
  <si>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</si>
  <si>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</si>
  <si>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</si>
  <si>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</si>
  <si>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</si>
  <si>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</si>
  <si>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</si>
  <si>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</si>
  <si>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</si>
  <si>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</si>
  <si>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</si>
  <si>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</si>
  <si>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</si>
  <si>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</si>
  <si>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</si>
  <si>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</si>
  <si>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</si>
  <si>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</si>
  <si>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</si>
  <si>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</si>
  <si>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</si>
  <si>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</si>
  <si>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</si>
  <si>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</si>
  <si>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</si>
  <si>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</si>
  <si>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</si>
  <si>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</si>
  <si>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</si>
  <si>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</si>
  <si>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</si>
  <si>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</si>
  <si>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</si>
  <si>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</si>
  <si>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</si>
  <si>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</si>
  <si>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</si>
  <si>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</si>
  <si>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</si>
  <si>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</si>
  <si>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</si>
  <si>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</si>
  <si>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</si>
  <si>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</si>
  <si>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</si>
  <si>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</si>
  <si>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</si>
  <si>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</si>
  <si>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</si>
  <si>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</si>
  <si>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</si>
  <si>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</si>
  <si>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</si>
  <si>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</si>
  <si>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</si>
  <si>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</si>
  <si>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</si>
  <si>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</si>
  <si>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</si>
  <si>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</si>
  <si>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</si>
  <si>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</si>
  <si>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</si>
  <si>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</si>
  <si>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</si>
  <si>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</si>
  <si>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</si>
  <si>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</si>
  <si>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</si>
  <si>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</si>
  <si>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</si>
  <si>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</si>
  <si>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</si>
  <si>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</si>
  <si>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</si>
  <si>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</si>
  <si>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</si>
  <si>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</si>
  <si>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</si>
  <si>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</si>
  <si>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</si>
  <si>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</si>
  <si>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</si>
  <si>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</si>
  <si>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</si>
  <si>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</si>
  <si>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</si>
  <si>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</si>
  <si>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</si>
  <si>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</si>
  <si>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</si>
  <si>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</si>
  <si>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</si>
  <si>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</si>
  <si>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</si>
  <si>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</si>
  <si>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</si>
  <si>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</si>
  <si>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</si>
  <si>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</si>
  <si>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</si>
  <si>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</si>
  <si>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</si>
  <si>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</si>
  <si>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</si>
  <si>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</si>
  <si>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</si>
  <si>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</si>
  <si>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</si>
  <si>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</si>
  <si>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</si>
  <si>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</si>
  <si>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</si>
  <si>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</si>
  <si>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</si>
  <si>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</si>
  <si>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</si>
  <si>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</si>
  <si>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</si>
  <si>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</si>
  <si>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</si>
  <si>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</si>
  <si>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</si>
  <si>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</si>
  <si>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</si>
  <si>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</si>
  <si>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</si>
  <si>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</si>
  <si>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</si>
  <si>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</si>
  <si>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</si>
  <si>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</si>
  <si>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</si>
  <si>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</si>
  <si>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</si>
  <si>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</si>
  <si>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</si>
  <si>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</si>
  <si>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</si>
  <si>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</si>
  <si>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</si>
  <si>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</si>
  <si>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</si>
  <si>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</si>
  <si>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</si>
  <si>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</si>
  <si>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</si>
  <si>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</si>
  <si>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</si>
  <si>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</si>
  <si>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</si>
  <si>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</si>
  <si>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</si>
  <si>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</si>
  <si>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</si>
  <si>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</si>
  <si>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</si>
  <si>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</si>
  <si>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</si>
  <si>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</si>
  <si>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</si>
  <si>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</si>
  <si>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</si>
  <si>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</si>
  <si>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</si>
  <si>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</si>
  <si>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</si>
  <si>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</si>
  <si>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</si>
  <si>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</si>
  <si>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</si>
  <si>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</si>
  <si>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</si>
  <si>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</si>
  <si>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</si>
  <si>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</si>
  <si>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</si>
  <si>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</si>
  <si>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</si>
  <si>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</si>
  <si>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</si>
  <si>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</si>
  <si>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</si>
  <si>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</si>
  <si>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</si>
  <si>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</si>
  <si>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</si>
  <si>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</si>
  <si>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</si>
  <si>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</si>
  <si>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</si>
  <si>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</si>
  <si>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</si>
  <si>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</si>
  <si>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</si>
  <si>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</si>
  <si>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</si>
  <si>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</si>
  <si>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</si>
  <si>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</si>
  <si>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</si>
  <si>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</si>
  <si>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</si>
  <si>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</si>
  <si>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</si>
  <si>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</si>
  <si>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</si>
  <si>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</si>
  <si>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</si>
  <si>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</si>
  <si>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</si>
  <si>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</si>
  <si>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</si>
  <si>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</si>
  <si>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</si>
  <si>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</si>
  <si>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</si>
  <si>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</si>
  <si>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</si>
  <si>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</si>
  <si>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</si>
  <si>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</si>
  <si>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</si>
  <si>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</si>
  <si>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</si>
  <si>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</si>
  <si>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</si>
  <si>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</si>
  <si>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</si>
  <si>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</si>
  <si>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</si>
  <si>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</si>
  <si>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</si>
  <si>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</si>
  <si>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</si>
  <si>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</si>
  <si>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</si>
  <si>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</si>
  <si>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</si>
  <si>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</si>
  <si>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</si>
  <si>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</si>
  <si>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</si>
  <si>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</si>
  <si>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</si>
  <si>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</si>
  <si>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</si>
  <si>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</si>
  <si>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</si>
  <si>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</si>
  <si>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</si>
  <si>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</si>
  <si>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</si>
  <si>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</si>
  <si>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</si>
  <si>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</si>
  <si>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</si>
  <si>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</si>
  <si>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</si>
  <si>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</si>
  <si>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</si>
  <si>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</si>
  <si>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</si>
  <si>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</si>
  <si>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</si>
  <si>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</si>
  <si>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</si>
  <si>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</si>
  <si>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</si>
  <si>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</si>
  <si>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</si>
  <si>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</si>
  <si>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</si>
  <si>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</si>
  <si>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</si>
  <si>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</si>
  <si>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</si>
  <si>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</si>
  <si>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</si>
  <si>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</si>
  <si>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</si>
  <si>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</si>
  <si>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</si>
  <si>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</si>
  <si>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</si>
  <si>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</si>
  <si>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</si>
  <si>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</si>
  <si>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</si>
  <si>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</si>
  <si>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</si>
  <si>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</si>
  <si>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</si>
  <si>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</si>
  <si>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</si>
  <si>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</si>
  <si>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</si>
  <si>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</si>
  <si>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</si>
  <si>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</si>
  <si>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</si>
  <si>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</si>
  <si>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</si>
  <si>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</si>
  <si>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</si>
  <si>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</si>
  <si>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</si>
  <si>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</si>
  <si>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</si>
  <si>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</si>
  <si>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</si>
  <si>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</si>
  <si>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</si>
  <si>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</si>
  <si>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</si>
  <si>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</si>
  <si>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</si>
  <si>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</si>
  <si>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</si>
  <si>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</si>
  <si>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</si>
  <si>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</si>
  <si>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</si>
  <si>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</si>
  <si>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</si>
  <si>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</si>
  <si>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</si>
  <si>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</si>
  <si>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</si>
  <si>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</si>
  <si>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</si>
  <si>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</si>
  <si>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</si>
  <si>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</si>
  <si>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</si>
  <si>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</si>
  <si>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</si>
  <si>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</si>
  <si>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</si>
  <si>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</si>
  <si>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</si>
  <si>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</si>
  <si>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</si>
  <si>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</si>
  <si>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</si>
  <si>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</si>
  <si>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</si>
  <si>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</si>
  <si>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</si>
  <si>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</si>
  <si>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</si>
  <si>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</si>
  <si>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</si>
  <si>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</si>
  <si>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</si>
  <si>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</si>
  <si>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</si>
  <si>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</si>
  <si>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</si>
  <si>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</si>
  <si>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</si>
  <si>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</si>
  <si>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</si>
  <si>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</si>
  <si>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</si>
  <si>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</si>
  <si>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</si>
  <si>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</si>
  <si>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</si>
  <si>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</si>
  <si>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</si>
  <si>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</si>
  <si>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</si>
  <si>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</si>
  <si>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</si>
  <si>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</si>
  <si>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</si>
  <si>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</si>
  <si>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</si>
  <si>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</si>
  <si>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</si>
  <si>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</si>
  <si>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</si>
  <si>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</si>
  <si>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</si>
  <si>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</si>
  <si>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</si>
  <si>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</si>
  <si>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</si>
  <si>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</si>
  <si>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</si>
  <si>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</si>
  <si>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</si>
  <si>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</si>
  <si>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</si>
  <si>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</si>
  <si>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</si>
  <si>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</si>
  <si>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</si>
  <si>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</si>
  <si>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</si>
  <si>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</si>
  <si>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</si>
  <si>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</si>
  <si>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</si>
  <si>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</si>
  <si>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</si>
  <si>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</si>
  <si>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</si>
  <si>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</si>
  <si>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</si>
  <si>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</si>
  <si>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</si>
  <si>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</si>
  <si>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</si>
  <si>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</si>
  <si>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</si>
  <si>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</si>
  <si>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</si>
  <si>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</si>
  <si>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</si>
  <si>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</si>
  <si>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</si>
  <si>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</si>
  <si>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</si>
  <si>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</si>
  <si>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</si>
  <si>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</si>
  <si>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</si>
  <si>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</si>
  <si>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</si>
  <si>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</si>
  <si>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</si>
  <si>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</si>
  <si>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</si>
  <si>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</si>
  <si>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</si>
  <si>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</si>
  <si>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</si>
  <si>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</si>
  <si>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</si>
  <si>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</si>
  <si>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</si>
  <si>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</si>
  <si>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</si>
  <si>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</si>
  <si>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</si>
  <si>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</si>
  <si>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</si>
  <si>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</si>
  <si>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</si>
  <si>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</si>
  <si>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</si>
  <si>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</si>
  <si>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</si>
  <si>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</si>
  <si>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</si>
  <si>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</si>
  <si>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</si>
  <si>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</si>
  <si>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</si>
  <si>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</si>
  <si>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</si>
  <si>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</si>
  <si>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</si>
  <si>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</si>
  <si>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</si>
  <si>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</si>
  <si>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</si>
  <si>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</si>
  <si>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</si>
  <si>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</si>
  <si>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</si>
  <si>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</si>
  <si>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</si>
  <si>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</si>
  <si>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</si>
  <si>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</si>
  <si>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</si>
  <si>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</si>
  <si>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</si>
  <si>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</si>
  <si>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</si>
  <si>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</si>
  <si>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</si>
  <si>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</si>
  <si>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</si>
  <si>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</si>
  <si>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</si>
  <si>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</si>
  <si>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</si>
  <si>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</si>
  <si>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</si>
  <si>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</si>
  <si>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</si>
  <si>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</si>
  <si>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</si>
  <si>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</si>
  <si>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</si>
  <si>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</si>
  <si>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</si>
  <si>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</si>
  <si>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</si>
  <si>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</si>
  <si>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</si>
  <si>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</si>
  <si>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</si>
  <si>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</si>
  <si>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</si>
  <si>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</si>
  <si>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</si>
  <si>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</si>
  <si>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</si>
  <si>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</si>
  <si>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</si>
  <si>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</si>
  <si>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</si>
  <si>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</si>
  <si>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</si>
  <si>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</si>
  <si>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</si>
  <si>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</si>
  <si>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</si>
  <si>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</si>
  <si>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</si>
  <si>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</si>
  <si>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</si>
  <si>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</si>
  <si>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</si>
  <si>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</si>
  <si>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</si>
  <si>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</si>
  <si>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</si>
  <si>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</si>
  <si>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</si>
  <si>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</si>
  <si>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</si>
  <si>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</si>
  <si>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</si>
  <si>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</si>
  <si>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</si>
  <si>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</si>
  <si>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</si>
  <si>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</si>
  <si>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</si>
  <si>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</si>
  <si>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</si>
  <si>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</si>
  <si>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</si>
  <si>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</si>
  <si>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</si>
  <si>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</si>
  <si>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</si>
  <si>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</si>
  <si>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</si>
  <si>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</si>
  <si>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</si>
  <si>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</si>
  <si>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</si>
  <si>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</si>
  <si>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</si>
  <si>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</si>
  <si>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</si>
  <si>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</si>
  <si>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</si>
  <si>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</si>
  <si>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</si>
  <si>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</si>
  <si>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</si>
  <si>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</si>
  <si>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</si>
  <si>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</si>
  <si>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</si>
  <si>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</si>
  <si>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</si>
  <si>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</si>
  <si>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</si>
  <si>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</si>
  <si>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</si>
  <si>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</si>
  <si>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</si>
  <si>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</si>
  <si>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</si>
  <si>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</si>
  <si>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</si>
  <si>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</si>
  <si>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</si>
  <si>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</si>
  <si>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</si>
  <si>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</si>
  <si>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</si>
  <si>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</si>
  <si>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</si>
  <si>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</si>
  <si>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</si>
  <si>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</si>
  <si>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</si>
  <si>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</si>
  <si>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</si>
  <si>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</si>
  <si>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</si>
  <si>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</si>
  <si>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</si>
  <si>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</si>
  <si>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</si>
  <si>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</si>
  <si>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</si>
  <si>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</si>
  <si>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</si>
  <si>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</si>
  <si>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</si>
  <si>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</si>
  <si>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</si>
  <si>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</si>
  <si>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</si>
  <si>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</si>
  <si>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</si>
  <si>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</si>
  <si>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</si>
  <si>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</si>
  <si>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</si>
  <si>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</si>
  <si>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</si>
  <si>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</si>
  <si>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</si>
  <si>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</si>
  <si>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</si>
  <si>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</si>
  <si>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</si>
  <si>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</si>
  <si>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</si>
  <si>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</si>
  <si>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</si>
  <si>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</si>
  <si>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</si>
  <si>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</si>
  <si>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</si>
  <si>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</si>
  <si>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</si>
  <si>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</si>
  <si>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</si>
  <si>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</si>
  <si>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</si>
  <si>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</si>
  <si>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</si>
  <si>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</si>
  <si>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</si>
  <si>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</si>
  <si>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</si>
  <si>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</si>
  <si>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</si>
  <si>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</si>
  <si>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</si>
  <si>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</si>
  <si>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</si>
  <si>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</si>
  <si>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</si>
  <si>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</si>
  <si>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</si>
  <si>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</si>
  <si>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</si>
  <si>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</si>
  <si>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</si>
  <si>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</si>
  <si>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</si>
  <si>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</si>
  <si>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</si>
  <si>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</si>
  <si>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</si>
  <si>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</si>
  <si>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</si>
  <si>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</si>
  <si>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</si>
  <si>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</si>
  <si>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</si>
  <si>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</si>
  <si>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</si>
  <si>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</si>
  <si>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</si>
  <si>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</si>
  <si>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</si>
  <si>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</si>
  <si>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</si>
  <si>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</si>
  <si>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</si>
  <si>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</si>
  <si>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</si>
  <si>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</si>
  <si>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</si>
  <si>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</si>
  <si>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</si>
  <si>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</si>
  <si>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</si>
  <si>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</si>
  <si>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</si>
  <si>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</si>
  <si>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</si>
  <si>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</si>
  <si>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</si>
  <si>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</si>
  <si>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</si>
  <si>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</si>
  <si>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</si>
  <si>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</si>
  <si>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</si>
  <si>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</si>
  <si>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</si>
  <si>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</si>
  <si>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</si>
  <si>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</si>
  <si>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</si>
  <si>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</si>
  <si>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</si>
  <si>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</si>
  <si>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</si>
  <si>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</si>
  <si>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</si>
  <si>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</si>
  <si>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</si>
  <si>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</si>
  <si>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</si>
  <si>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</si>
  <si>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</si>
  <si>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</si>
  <si>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</si>
  <si>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</si>
  <si>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</si>
  <si>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</si>
  <si>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</si>
  <si>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</si>
  <si>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</si>
  <si>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</si>
  <si>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</si>
  <si>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</si>
  <si>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</si>
  <si>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</si>
  <si>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</si>
  <si>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</si>
  <si>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</si>
  <si>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</si>
  <si>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</si>
  <si>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</si>
  <si>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</si>
  <si>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</si>
  <si>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</si>
  <si>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</si>
  <si>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</si>
  <si>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</si>
  <si>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</si>
  <si>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</si>
  <si>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</si>
  <si>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</si>
  <si>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</si>
  <si>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</si>
  <si>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</si>
  <si>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</si>
  <si>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</si>
  <si>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</si>
  <si>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</si>
  <si>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</si>
  <si>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</si>
  <si>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</si>
  <si>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</si>
  <si>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</si>
  <si>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</si>
  <si>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</si>
  <si>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</si>
  <si>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</si>
  <si>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</si>
  <si>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</si>
  <si>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</si>
  <si>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</si>
  <si>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</si>
  <si>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</si>
  <si>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</si>
  <si>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</si>
  <si>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</si>
  <si>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</si>
  <si>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</si>
  <si>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</si>
  <si>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</si>
  <si>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</si>
  <si>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</si>
  <si>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</si>
  <si>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</si>
  <si>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</si>
  <si>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</si>
  <si>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</si>
  <si>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</si>
  <si>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</si>
  <si>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</si>
  <si>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</si>
  <si>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</si>
  <si>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</si>
  <si>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</si>
  <si>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</si>
  <si>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</si>
  <si>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</si>
  <si>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</si>
  <si>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</si>
  <si>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</si>
  <si>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</si>
  <si>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</si>
  <si>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</si>
  <si>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</si>
  <si>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</si>
  <si>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</si>
  <si>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</si>
  <si>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</si>
  <si>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</si>
  <si>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</si>
  <si>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</si>
  <si>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</si>
  <si>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</si>
  <si>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</si>
  <si>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</si>
  <si>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</si>
  <si>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</si>
  <si>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</si>
  <si>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</si>
  <si>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</si>
  <si>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</si>
  <si>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</si>
  <si>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</si>
  <si>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</si>
  <si>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</si>
  <si>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</si>
  <si>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</si>
  <si>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</si>
  <si>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</si>
  <si>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</si>
  <si>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</si>
  <si>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</si>
  <si>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</si>
  <si>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</si>
  <si>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</si>
  <si>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</si>
  <si>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</si>
  <si>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</si>
  <si>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</si>
  <si>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</si>
  <si>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</si>
  <si>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</si>
  <si>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</si>
  <si>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</si>
  <si>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</si>
  <si>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</si>
  <si>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</si>
  <si>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</si>
  <si>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</si>
  <si>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</si>
  <si>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</si>
  <si>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</si>
  <si>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</si>
  <si>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</si>
  <si>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</si>
  <si>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</si>
  <si>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</si>
  <si>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</si>
  <si>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</si>
  <si>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</si>
  <si>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</si>
  <si>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</si>
  <si>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</si>
  <si>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</si>
  <si>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</si>
  <si>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</si>
  <si>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</si>
  <si>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</si>
  <si>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</si>
  <si>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</si>
  <si>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</si>
  <si>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</si>
  <si>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</si>
  <si>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</si>
  <si>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</si>
  <si>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</si>
  <si>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</si>
  <si>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</si>
  <si>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</si>
  <si>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</si>
  <si>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</si>
  <si>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</si>
  <si>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</si>
  <si>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</si>
  <si>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</si>
  <si>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</si>
  <si>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</si>
  <si>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</si>
  <si>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</si>
  <si>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</si>
  <si>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</si>
  <si>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</si>
  <si>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</si>
  <si>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</si>
  <si>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</si>
  <si>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</si>
  <si>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</si>
  <si>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</si>
  <si>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</si>
  <si>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</si>
  <si>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</si>
  <si>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</si>
  <si>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</si>
  <si>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</si>
  <si>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</si>
  <si>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</si>
  <si>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</si>
  <si>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</si>
  <si>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</si>
  <si>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</si>
  <si>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</si>
  <si>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</si>
  <si>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</si>
  <si>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</si>
  <si>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</si>
  <si>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</si>
  <si>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</si>
  <si>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</si>
  <si>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</si>
  <si>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</si>
  <si>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</si>
  <si>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</si>
  <si>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</si>
  <si>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</si>
  <si>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</si>
  <si>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</si>
  <si>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</si>
  <si>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</si>
  <si>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</si>
  <si>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</si>
  <si>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</si>
  <si>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</si>
  <si>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</si>
  <si>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</si>
  <si>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</si>
  <si>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</si>
  <si>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</si>
  <si>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</si>
  <si>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</si>
  <si>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</si>
  <si>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</si>
  <si>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</si>
  <si>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</si>
  <si>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</si>
  <si>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</si>
  <si>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</si>
  <si>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</si>
  <si>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</si>
  <si>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</si>
  <si>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</si>
  <si>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</si>
  <si>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</si>
  <si>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</si>
  <si>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</si>
  <si>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</si>
  <si>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</si>
  <si>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</si>
  <si>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</si>
  <si>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</si>
  <si>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</si>
  <si>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</si>
  <si>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</si>
  <si>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</si>
  <si>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</si>
  <si>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</si>
  <si>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</si>
  <si>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</si>
  <si>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</si>
  <si>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</si>
  <si>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</si>
  <si>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</si>
  <si>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</si>
  <si>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</si>
  <si>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</si>
  <si>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</si>
  <si>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</si>
  <si>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</si>
  <si>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</si>
  <si>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</si>
  <si>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</si>
  <si>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</si>
  <si>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</si>
  <si>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</si>
  <si>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</si>
  <si>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</si>
  <si>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</si>
  <si>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</si>
  <si>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</si>
  <si>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</si>
  <si>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</si>
  <si>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</si>
  <si>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</si>
  <si>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</si>
  <si>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</si>
  <si>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</si>
  <si>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</si>
  <si>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</si>
  <si>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</si>
  <si>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</si>
  <si>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</si>
  <si>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</si>
  <si>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</si>
  <si>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</si>
  <si>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</si>
  <si>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</si>
  <si>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</si>
  <si>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</si>
  <si>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</si>
  <si>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</si>
  <si>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</si>
  <si>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</si>
  <si>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</si>
  <si>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</si>
  <si>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</si>
  <si>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</si>
  <si>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</si>
  <si>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</si>
  <si>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</si>
  <si>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</si>
  <si>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</si>
  <si>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</si>
  <si>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</si>
  <si>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</si>
  <si>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</si>
  <si>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</si>
  <si>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</si>
  <si>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</si>
  <si>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</si>
  <si>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</si>
  <si>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</si>
  <si>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</si>
  <si>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</si>
  <si>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</si>
  <si>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</si>
  <si>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</si>
  <si>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</si>
  <si>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</si>
  <si>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</si>
  <si>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</si>
  <si>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</si>
  <si>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</si>
  <si>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</si>
  <si>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</si>
  <si>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</si>
  <si>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</si>
  <si>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</si>
  <si>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</si>
  <si>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</si>
  <si>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</si>
  <si>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</si>
  <si>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</si>
  <si>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</si>
  <si>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</si>
  <si>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</si>
  <si>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</si>
  <si>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</si>
  <si>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</si>
  <si>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</si>
  <si>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</si>
  <si>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</si>
  <si>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</si>
  <si>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</si>
  <si>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</si>
  <si>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</si>
  <si>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</si>
  <si>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</si>
  <si>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</si>
  <si>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</si>
  <si>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</si>
  <si>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</si>
  <si>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</si>
  <si>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</si>
  <si>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</si>
  <si>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</si>
  <si>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</si>
  <si>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</si>
  <si>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</si>
  <si>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</si>
  <si>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</si>
  <si>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</si>
  <si>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</si>
  <si>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</si>
  <si>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</si>
  <si>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</si>
  <si>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</si>
  <si>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</si>
  <si>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</si>
  <si>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</si>
  <si>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</si>
  <si>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</si>
  <si>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</si>
  <si>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</si>
  <si>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</si>
  <si>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</si>
  <si>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</si>
  <si>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</si>
  <si>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</si>
  <si>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</si>
  <si>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</si>
  <si>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</si>
  <si>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</si>
  <si>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</si>
  <si>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</si>
  <si>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</si>
  <si>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</si>
  <si>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</si>
  <si>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</si>
  <si>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</si>
  <si>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</si>
  <si>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</si>
  <si>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</si>
  <si>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</si>
  <si>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</si>
  <si>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</si>
  <si>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</si>
  <si>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</si>
  <si>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</si>
  <si>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</si>
  <si>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</si>
  <si>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</si>
  <si>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</si>
  <si>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</si>
  <si>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</si>
  <si>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</si>
  <si>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</si>
  <si>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</si>
  <si>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</si>
  <si>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</si>
  <si>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</si>
  <si>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</si>
  <si>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</si>
  <si>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</si>
  <si>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</si>
  <si>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</si>
  <si>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</si>
  <si>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</si>
  <si>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</si>
  <si>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</si>
  <si>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</si>
  <si>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</si>
  <si>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</si>
  <si>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</si>
  <si>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</si>
  <si>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</si>
  <si>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</si>
  <si>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</si>
  <si>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</si>
  <si>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</si>
  <si>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</si>
  <si>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</si>
  <si>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</si>
  <si>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</si>
  <si>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</si>
  <si>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</si>
  <si>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</si>
  <si>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</si>
  <si>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</si>
  <si>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</si>
  <si>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</si>
  <si>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</si>
  <si>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</si>
  <si>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</si>
  <si>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</si>
  <si>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</si>
  <si>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</si>
  <si>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</si>
  <si>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</si>
  <si>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</si>
  <si>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</si>
  <si>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</si>
  <si>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</si>
  <si>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</si>
  <si>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</si>
  <si>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</si>
  <si>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</si>
  <si>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</si>
  <si>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</si>
  <si>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</si>
  <si>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</si>
  <si>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</si>
  <si>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</si>
  <si>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</si>
  <si>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</si>
  <si>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</si>
  <si>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</si>
  <si>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</si>
  <si>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</si>
  <si>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</si>
  <si>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</si>
  <si>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</si>
  <si>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</si>
  <si>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</si>
  <si>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</si>
  <si>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</si>
  <si>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</si>
  <si>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</si>
  <si>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</si>
  <si>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</si>
  <si>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</si>
  <si>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</si>
  <si>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</si>
  <si>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</si>
  <si>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</si>
  <si>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</si>
  <si>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</si>
  <si>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</si>
  <si>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</si>
  <si>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</si>
  <si>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</si>
  <si>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</si>
  <si>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</si>
  <si>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</si>
  <si>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</si>
  <si>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</si>
  <si>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</si>
  <si>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</si>
  <si>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</si>
  <si>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</si>
  <si>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</si>
  <si>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</si>
  <si>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</si>
  <si>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</si>
  <si>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</si>
  <si>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</si>
  <si>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</si>
  <si>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</si>
  <si>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</si>
  <si>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</si>
  <si>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</si>
  <si>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</si>
  <si>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</si>
  <si>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</si>
  <si>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</si>
  <si>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</si>
  <si>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</si>
  <si>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</si>
  <si>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</si>
  <si>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</si>
  <si>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</si>
  <si>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</si>
  <si>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</si>
  <si>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</si>
  <si>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</si>
  <si>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</si>
  <si>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</si>
  <si>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</si>
  <si>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</si>
  <si>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</si>
  <si>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</si>
  <si>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</si>
  <si>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</si>
  <si>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</si>
  <si>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</si>
  <si>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</si>
  <si>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</si>
  <si>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</si>
  <si>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</si>
  <si>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</si>
  <si>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</si>
  <si>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</si>
  <si>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</si>
  <si>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</si>
  <si>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</si>
  <si>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</si>
  <si>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</si>
  <si>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</si>
  <si>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</si>
  <si>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</si>
  <si>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</si>
  <si>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</si>
  <si>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</si>
  <si>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</si>
  <si>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</si>
  <si>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</si>
  <si>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</si>
  <si>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</si>
  <si>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</si>
  <si>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</si>
  <si>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</si>
  <si>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</si>
  <si>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</si>
  <si>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</si>
  <si>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</si>
  <si>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</si>
  <si>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</si>
  <si>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</si>
  <si>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</si>
  <si>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</si>
  <si>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</si>
  <si>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</si>
  <si>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</si>
  <si>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</si>
  <si>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</si>
  <si>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</si>
  <si>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</si>
  <si>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</si>
  <si>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</si>
  <si>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</si>
  <si>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</si>
  <si>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</si>
  <si>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</si>
  <si>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</si>
  <si>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</si>
  <si>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</si>
  <si>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</si>
  <si>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</si>
  <si>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</si>
  <si>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</si>
  <si>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</si>
  <si>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</si>
  <si>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</si>
  <si>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</si>
  <si>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</si>
  <si>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</si>
  <si>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</si>
  <si>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</si>
  <si>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</si>
  <si>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</si>
  <si>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</si>
  <si>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</si>
  <si>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</si>
  <si>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</si>
  <si>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</si>
  <si>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</si>
  <si>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</si>
  <si>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</si>
  <si>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</si>
  <si>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</si>
  <si>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</si>
  <si>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</si>
  <si>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</si>
  <si>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</si>
  <si>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</si>
  <si>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</si>
  <si>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</si>
  <si>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</si>
  <si>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</si>
  <si>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</si>
  <si>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</si>
  <si>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</si>
  <si>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</si>
  <si>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</si>
  <si>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</si>
  <si>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</si>
  <si>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</si>
  <si>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</si>
  <si>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</si>
  <si>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</si>
  <si>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</si>
  <si>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</si>
  <si>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</si>
  <si>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</si>
  <si>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</si>
  <si>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</si>
  <si>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</si>
  <si>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</si>
  <si>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</si>
  <si>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</si>
  <si>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</si>
  <si>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</si>
  <si>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</si>
  <si>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</si>
  <si>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</si>
  <si>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</si>
  <si>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</si>
  <si>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</si>
  <si>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</si>
  <si>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</si>
  <si>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</si>
  <si>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</si>
  <si>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</si>
  <si>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</si>
  <si>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</si>
  <si>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</si>
  <si>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</si>
  <si>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</si>
  <si>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</si>
  <si>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</si>
  <si>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</si>
  <si>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</si>
  <si>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</si>
  <si>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</si>
  <si>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</si>
  <si>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</si>
  <si>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</si>
  <si>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</si>
  <si>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</si>
  <si>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</si>
  <si>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</si>
  <si>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</si>
  <si>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</si>
  <si>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</si>
  <si>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</si>
  <si>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</si>
  <si>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</si>
  <si>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</si>
  <si>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</si>
  <si>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</si>
  <si>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</si>
  <si>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</si>
  <si>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</si>
  <si>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</si>
  <si>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</si>
  <si>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</si>
  <si>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</si>
  <si>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</si>
  <si>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</si>
  <si>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</si>
  <si>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</si>
  <si>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</si>
  <si>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</si>
  <si>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</si>
  <si>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</si>
  <si>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</si>
  <si>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</si>
  <si>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</si>
  <si>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</si>
  <si>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</si>
  <si>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</si>
  <si>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</si>
  <si>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</si>
  <si>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</si>
  <si>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</si>
  <si>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</si>
  <si>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</si>
  <si>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</si>
  <si>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</si>
  <si>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</si>
  <si>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</si>
  <si>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</si>
  <si>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</si>
  <si>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</si>
  <si>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</si>
  <si>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</si>
  <si>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</si>
  <si>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</si>
  <si>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</si>
  <si>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</si>
  <si>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</si>
  <si>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</si>
  <si>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</si>
  <si>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</si>
  <si>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</si>
  <si>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</si>
  <si>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</si>
  <si>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</si>
  <si>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</si>
  <si>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</si>
  <si>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</si>
  <si>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</si>
  <si>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</si>
  <si>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</si>
  <si>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</si>
  <si>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</si>
  <si>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</si>
  <si>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</si>
  <si>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</si>
  <si>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</si>
  <si>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</si>
  <si>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</si>
  <si>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</si>
  <si>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</si>
  <si>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</si>
  <si>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</si>
  <si>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</si>
  <si>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</si>
  <si>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</si>
  <si>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</si>
  <si>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</si>
  <si>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</si>
  <si>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</si>
  <si>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</si>
  <si>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</si>
  <si>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</si>
  <si>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</si>
  <si>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</si>
  <si>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</si>
  <si>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</si>
  <si>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</si>
  <si>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</si>
  <si>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</si>
  <si>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</si>
  <si>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</si>
  <si>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</si>
  <si>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</si>
  <si>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</si>
  <si>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</si>
  <si>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</si>
  <si>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</si>
  <si>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</si>
  <si>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</si>
  <si>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</si>
  <si>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</si>
  <si>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</si>
  <si>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</si>
  <si>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</si>
  <si>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</si>
  <si>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</si>
  <si>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</si>
  <si>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</si>
  <si>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</si>
  <si>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</si>
  <si>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</si>
  <si>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</si>
  <si>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</si>
  <si>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</si>
  <si>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</si>
  <si>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</si>
  <si>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</si>
  <si>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</si>
  <si>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</si>
  <si>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</si>
  <si>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</si>
  <si>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</si>
  <si>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</si>
  <si>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</si>
  <si>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</si>
  <si>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</si>
  <si>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</si>
  <si>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</si>
  <si>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</si>
  <si>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</si>
  <si>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</si>
  <si>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</si>
  <si>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</si>
  <si>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</si>
  <si>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</si>
  <si>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</si>
  <si>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</si>
  <si>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</si>
  <si>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</si>
  <si>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</si>
  <si>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</si>
  <si>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</si>
  <si>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</si>
  <si>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</si>
  <si>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</si>
  <si>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</si>
  <si>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</si>
  <si>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</si>
  <si>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</si>
  <si>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</si>
  <si>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</si>
  <si>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</si>
  <si>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</si>
  <si>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</si>
  <si>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</si>
  <si>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</si>
  <si>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</si>
  <si>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</si>
  <si>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</si>
  <si>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</si>
  <si>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</si>
  <si>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</si>
  <si>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</si>
  <si>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</si>
  <si>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</si>
  <si>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</si>
  <si>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</si>
  <si>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</si>
  <si>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</si>
  <si>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</si>
  <si>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</si>
  <si>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</si>
  <si>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</si>
  <si>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</si>
  <si>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</si>
  <si>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</si>
  <si>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</si>
  <si>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</si>
  <si>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</si>
  <si>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</si>
  <si>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</si>
  <si>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</si>
  <si>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</si>
  <si>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</si>
  <si>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</si>
  <si>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</si>
  <si>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</si>
  <si>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</si>
  <si>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</si>
  <si>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</si>
  <si>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</si>
  <si>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</si>
  <si>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</si>
  <si>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</si>
  <si>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</si>
  <si>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</si>
  <si>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</si>
  <si>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</si>
  <si>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</si>
  <si>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</si>
  <si>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</si>
  <si>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</si>
  <si>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</si>
  <si>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</si>
  <si>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</si>
  <si>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</si>
  <si>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</si>
  <si>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</si>
  <si>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</si>
  <si>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</si>
  <si>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</si>
  <si>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</si>
  <si>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</si>
  <si>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</si>
  <si>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</si>
  <si>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</si>
  <si>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</si>
  <si>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</si>
  <si>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</si>
  <si>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</si>
  <si>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</si>
  <si>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</si>
  <si>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</si>
  <si>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</si>
  <si>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</si>
  <si>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</si>
  <si>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</si>
  <si>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</si>
  <si>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</si>
  <si>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</si>
  <si>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</si>
  <si>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</si>
  <si>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</si>
  <si>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</si>
  <si>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</si>
  <si>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</si>
  <si>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</si>
  <si>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</si>
  <si>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</si>
  <si>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</si>
  <si>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</si>
  <si>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</si>
  <si>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</si>
  <si>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</si>
  <si>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</si>
  <si>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</si>
  <si>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</si>
  <si>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</si>
  <si>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</si>
  <si>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</si>
  <si>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</si>
  <si>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</si>
  <si>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</si>
  <si>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</si>
  <si>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</si>
  <si>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</si>
  <si>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</si>
  <si>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</si>
  <si>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</si>
  <si>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</si>
  <si>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</si>
  <si>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</si>
  <si>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</si>
  <si>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</si>
  <si>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</si>
  <si>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</si>
  <si>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</si>
  <si>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</si>
  <si>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</si>
  <si>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</si>
  <si>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</si>
  <si>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</si>
  <si>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</si>
  <si>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</si>
  <si>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</si>
  <si>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</si>
  <si>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</si>
  <si>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</si>
  <si>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</si>
  <si>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</si>
  <si>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</si>
  <si>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</si>
  <si>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</si>
  <si>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</si>
  <si>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</si>
  <si>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</si>
  <si>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</si>
  <si>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</si>
  <si>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</si>
  <si>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</si>
  <si>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</si>
  <si>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</si>
  <si>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</si>
  <si>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</si>
  <si>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</si>
  <si>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</si>
  <si>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</si>
  <si>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</si>
  <si>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</si>
  <si>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</si>
  <si>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</si>
  <si>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</si>
  <si>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</si>
  <si>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</si>
  <si>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</si>
  <si>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</si>
  <si>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</si>
  <si>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</si>
  <si>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</si>
  <si>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</si>
  <si>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</si>
  <si>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</si>
  <si>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</si>
  <si>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</si>
  <si>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</si>
  <si>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</si>
  <si>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</si>
  <si>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</si>
  <si>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</si>
  <si>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</si>
  <si>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</si>
  <si>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</si>
  <si>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</si>
  <si>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</si>
  <si>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</si>
  <si>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</si>
  <si>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</si>
  <si>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</si>
  <si>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</si>
  <si>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</si>
  <si>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</si>
  <si>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</si>
  <si>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</si>
  <si>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</si>
  <si>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</si>
  <si>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</si>
  <si>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</si>
  <si>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</si>
  <si>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</si>
  <si>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</si>
  <si>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</si>
  <si>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</si>
  <si>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</si>
  <si>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</si>
  <si>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</si>
  <si>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</si>
  <si>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</si>
  <si>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</si>
  <si>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</si>
  <si>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</si>
  <si>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</si>
  <si>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</si>
  <si>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</si>
  <si>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</si>
  <si>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</si>
  <si>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</si>
  <si>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</si>
  <si>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</si>
  <si>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</si>
  <si>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</si>
  <si>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</si>
  <si>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</si>
  <si>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</si>
  <si>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</si>
  <si>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</si>
  <si>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</si>
  <si>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</si>
  <si>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</si>
  <si>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</si>
  <si>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</si>
  <si>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</si>
  <si>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</si>
  <si>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</si>
  <si>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</si>
  <si>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</si>
  <si>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</si>
  <si>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</si>
  <si>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</si>
  <si>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</si>
  <si>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</si>
  <si>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</si>
  <si>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</si>
  <si>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</si>
  <si>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</si>
  <si>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</si>
  <si>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</si>
  <si>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</si>
  <si>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</si>
  <si>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</si>
  <si>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</si>
  <si>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</si>
  <si>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</si>
  <si>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</si>
  <si>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</si>
  <si>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</si>
  <si>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</si>
  <si>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</si>
  <si>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</si>
  <si>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</si>
  <si>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</si>
  <si>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</si>
  <si>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</si>
  <si>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</si>
  <si>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</si>
  <si>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</si>
  <si>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</si>
  <si>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</si>
  <si>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</si>
  <si>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</si>
  <si>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</si>
  <si>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</si>
  <si>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</si>
  <si>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</si>
  <si>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</si>
  <si>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</si>
  <si>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</si>
  <si>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</si>
  <si>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</si>
  <si>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</si>
  <si>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</si>
  <si>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</si>
  <si>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</si>
  <si>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</si>
  <si>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</si>
  <si>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</si>
  <si>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</si>
  <si>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</si>
  <si>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</si>
  <si>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</si>
  <si>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</si>
  <si>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</si>
  <si>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</si>
  <si>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</si>
  <si>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</si>
  <si>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</si>
  <si>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</si>
  <si>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</si>
  <si>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</si>
  <si>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</si>
  <si>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</si>
  <si>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</si>
  <si>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</si>
  <si>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</si>
  <si>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</si>
  <si>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</si>
  <si>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</si>
  <si>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</si>
  <si>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</si>
  <si>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</si>
  <si>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</si>
  <si>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</si>
  <si>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</si>
  <si>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</si>
  <si>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</si>
  <si>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</si>
  <si>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</si>
  <si>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</si>
  <si>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</si>
  <si>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</si>
  <si>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</si>
  <si>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</si>
  <si>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</si>
  <si>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</si>
  <si>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</si>
  <si>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</si>
  <si>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</si>
  <si>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</si>
  <si>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</si>
  <si>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</si>
  <si>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</si>
  <si>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</si>
  <si>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</si>
  <si>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</si>
  <si>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</si>
  <si>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</si>
  <si>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</si>
  <si>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</si>
  <si>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</si>
  <si>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</si>
  <si>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</si>
  <si>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</si>
  <si>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</si>
  <si>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</si>
  <si>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</si>
  <si>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</si>
  <si>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</si>
  <si>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</si>
  <si>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</si>
  <si>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</si>
  <si>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</si>
  <si>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</si>
  <si>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</si>
  <si>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</si>
  <si>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</si>
  <si>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</si>
  <si>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</si>
  <si>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</si>
  <si>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</si>
  <si>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</si>
  <si>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</si>
  <si>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</si>
  <si>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</si>
  <si>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</si>
  <si>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</si>
  <si>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</si>
  <si>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</si>
  <si>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</si>
  <si>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</si>
  <si>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</si>
  <si>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</si>
  <si>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</si>
  <si>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</si>
  <si>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</si>
  <si>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</si>
  <si>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</si>
  <si>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</si>
  <si>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</si>
  <si>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</si>
  <si>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</si>
  <si>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</si>
  <si>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</si>
  <si>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</si>
  <si>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</si>
  <si>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</si>
  <si>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</si>
  <si>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</si>
  <si>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</si>
  <si>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</si>
  <si>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</si>
  <si>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</si>
  <si>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</si>
  <si>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</si>
  <si>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</si>
  <si>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</si>
  <si>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</si>
  <si>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</si>
  <si>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</si>
  <si>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</si>
  <si>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</si>
  <si>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</si>
  <si>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</si>
  <si>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</si>
  <si>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</si>
  <si>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</si>
  <si>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</si>
  <si>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</si>
  <si>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</si>
  <si>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</si>
  <si>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</si>
  <si>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</si>
  <si>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</si>
  <si>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</si>
  <si>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</si>
  <si>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</si>
  <si>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</si>
  <si>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</si>
  <si>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</si>
  <si>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</si>
  <si>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</si>
  <si>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</si>
  <si>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</si>
  <si>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</si>
  <si>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</si>
  <si>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</si>
  <si>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</si>
  <si>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</si>
  <si>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</si>
  <si>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</si>
  <si>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</si>
  <si>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</si>
  <si>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</si>
  <si>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</si>
  <si>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</si>
  <si>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</si>
  <si>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</si>
  <si>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</si>
  <si>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</si>
  <si>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</si>
  <si>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</si>
  <si>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</si>
  <si>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</si>
  <si>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</si>
  <si>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</si>
  <si>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</si>
  <si>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</si>
  <si>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</si>
  <si>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</si>
  <si>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</si>
  <si>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</si>
  <si>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</si>
  <si>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</si>
  <si>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</si>
  <si>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</si>
  <si>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</si>
  <si>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</si>
  <si>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</si>
  <si>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</si>
  <si>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</si>
  <si>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</si>
  <si>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</si>
  <si>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</si>
  <si>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</si>
  <si>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</si>
  <si>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</si>
  <si>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</si>
  <si>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</si>
  <si>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</si>
  <si>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</si>
  <si>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</si>
  <si>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</si>
  <si>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</si>
  <si>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</si>
  <si>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</si>
  <si>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</si>
  <si>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</si>
  <si>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</si>
  <si>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</si>
  <si>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</si>
  <si>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</si>
  <si>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</si>
  <si>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</si>
  <si>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</si>
  <si>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</si>
  <si>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</si>
  <si>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</si>
  <si>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</si>
  <si>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</si>
  <si>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</si>
  <si>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</si>
  <si>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</si>
  <si>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</si>
  <si>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</si>
  <si>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</si>
  <si>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</si>
  <si>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</si>
  <si>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</si>
  <si>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</si>
  <si>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</si>
  <si>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</si>
  <si>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</si>
  <si>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</si>
  <si>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Pacific Southwest Community Development Corporation</t>
  </si>
  <si>
    <t>Middletown Apartments</t>
  </si>
  <si>
    <t>City of Placerville</t>
  </si>
  <si>
    <t>Cleve Morris</t>
  </si>
  <si>
    <t>3101 Center Street</t>
  </si>
  <si>
    <t>Placerville</t>
  </si>
  <si>
    <t>530-642-5200</t>
  </si>
  <si>
    <t>cmorris@cityofplacerville.org</t>
  </si>
  <si>
    <t>CDLAC-TCAC Joint Application (submitting concurrently)</t>
  </si>
  <si>
    <t>SE corner of Middletown Road and Cold Springs Road</t>
  </si>
  <si>
    <t>323-570-001</t>
  </si>
  <si>
    <t>Low Resource</t>
  </si>
  <si>
    <t>$500M</t>
  </si>
  <si>
    <t>40%/60%</t>
  </si>
  <si>
    <t>Westlake Consulting LLC</t>
  </si>
  <si>
    <t>3075 Aspen Drive</t>
  </si>
  <si>
    <t>Penryn</t>
  </si>
  <si>
    <t>CA</t>
  </si>
  <si>
    <t>Chris Westlake</t>
  </si>
  <si>
    <t>916-872-3132</t>
  </si>
  <si>
    <t>chris@chriswestlake.net</t>
  </si>
  <si>
    <t>Consultant</t>
  </si>
  <si>
    <t>AWI Management, Inc.</t>
  </si>
  <si>
    <t>HCD- MHP</t>
  </si>
  <si>
    <t>HCD- IIG</t>
  </si>
  <si>
    <t>HCD- CPLHA</t>
  </si>
  <si>
    <t>HCD - CDBG</t>
  </si>
  <si>
    <t>One or Two Story Garden</t>
  </si>
  <si>
    <t>HCD</t>
  </si>
  <si>
    <t>Tax-Exempt Bonds - Citi Capital</t>
  </si>
  <si>
    <t>Taxable Bonds - Citi Capital</t>
  </si>
  <si>
    <t>HCD-IIG</t>
  </si>
  <si>
    <t>HCD-CDBG</t>
  </si>
  <si>
    <t>HCD-CPLHA</t>
  </si>
  <si>
    <t>Citi Capital</t>
  </si>
  <si>
    <t>HCD-MHP</t>
  </si>
  <si>
    <t>HCD-CPHLA</t>
  </si>
  <si>
    <t>Other: Final Cost Audit</t>
  </si>
  <si>
    <t>Other: Service Fee</t>
  </si>
  <si>
    <t>March</t>
  </si>
  <si>
    <t>, 2022_ at</t>
  </si>
  <si>
    <t>El Dorado Hills</t>
  </si>
  <si>
    <t>Ravi Sanwal</t>
  </si>
  <si>
    <t>Member of Arcadia Whitney Investments, LLC</t>
  </si>
  <si>
    <t>Managing GP</t>
  </si>
  <si>
    <t>16935 W.  Bernardo Drive,  Suite 238</t>
  </si>
  <si>
    <t>Middletown Apartments, LP</t>
  </si>
  <si>
    <t>Robert W.  Laing</t>
  </si>
  <si>
    <t>858-675-0506</t>
  </si>
  <si>
    <t>robertlaing@pswcdc.org</t>
  </si>
  <si>
    <t>Arcadia Whitney Investments, LLC</t>
  </si>
  <si>
    <t>Administrative GP</t>
  </si>
  <si>
    <t>3105 Hopkins Place</t>
  </si>
  <si>
    <t>916-886-1474</t>
  </si>
  <si>
    <t>scpm1234@gmail.com</t>
  </si>
  <si>
    <t>El Dorado Hills, CA 95762</t>
  </si>
  <si>
    <t>Zimmerman + Associates Inc.</t>
  </si>
  <si>
    <t>100 Gate  Road</t>
  </si>
  <si>
    <t>Sausalito, CA 94965</t>
  </si>
  <si>
    <t>Jeff Zimmerman</t>
  </si>
  <si>
    <t>415-289-0660</t>
  </si>
  <si>
    <t>jeff@zmanarch.com</t>
  </si>
  <si>
    <t>Down Pham &amp; Kuei, LLP</t>
  </si>
  <si>
    <t>235 Montgomery Street, 30th Floor</t>
  </si>
  <si>
    <t>San Francisco, CA 94104</t>
  </si>
  <si>
    <t>Tuan Pham</t>
  </si>
  <si>
    <t>415-202-6373</t>
  </si>
  <si>
    <t>tpham@downspham.com</t>
  </si>
  <si>
    <t>Sanwal Construction</t>
  </si>
  <si>
    <t>Westlake Consulting, LLC</t>
  </si>
  <si>
    <t>Penryn, CA 95663</t>
  </si>
  <si>
    <t>Kinetic Valuation Group</t>
  </si>
  <si>
    <t>11060 Oak Street, Suite 6</t>
  </si>
  <si>
    <t>Omaha, NE 68144</t>
  </si>
  <si>
    <t>Jay Wortmann</t>
  </si>
  <si>
    <t>CPLHA</t>
  </si>
  <si>
    <t>HCD - IIG</t>
  </si>
  <si>
    <t>Fixed</t>
  </si>
  <si>
    <t>LHTIC - Red Stone Equity</t>
  </si>
  <si>
    <t>16935 W. Bernardo Drive, Suite 23</t>
  </si>
  <si>
    <t>Robert W. Laing</t>
  </si>
  <si>
    <t>Redwood Energy</t>
  </si>
  <si>
    <t>1887 Q Street</t>
  </si>
  <si>
    <t>Arcata, CA 95521</t>
  </si>
  <si>
    <t>Sean Armstrong</t>
  </si>
  <si>
    <t>707-826-1450</t>
  </si>
  <si>
    <t>seanarmstrongpm@gmail.com</t>
  </si>
  <si>
    <t>Red Stone Equity Partners</t>
  </si>
  <si>
    <t>5800 Armada Drive, Suite 235</t>
  </si>
  <si>
    <t>Carlsbad, CA 92008</t>
  </si>
  <si>
    <t>Matt Grosz</t>
  </si>
  <si>
    <t>619-535-3903</t>
  </si>
  <si>
    <t xml:space="preserve">matt.grosz@rsequity.com </t>
  </si>
  <si>
    <t>Mary Ellen Shay</t>
  </si>
  <si>
    <t>916-444-0288</t>
  </si>
  <si>
    <t>meshayco@gmail.com</t>
  </si>
  <si>
    <t>M.E. Shay &amp; Co.</t>
  </si>
  <si>
    <t>1724 1oth Street, Suite 110</t>
  </si>
  <si>
    <t>Sacramento, CA 95811</t>
  </si>
  <si>
    <t>402-202-0771</t>
  </si>
  <si>
    <t>jay@kvgteam.com</t>
  </si>
  <si>
    <t>California Municipal Finance Authority</t>
  </si>
  <si>
    <t>2111 Palomar Airport Rd, Suite 320</t>
  </si>
  <si>
    <t>Carlsbad, CA 92011</t>
  </si>
  <si>
    <t>Ben Barker</t>
  </si>
  <si>
    <t>760-930-1266</t>
  </si>
  <si>
    <t>bbarker@cmfa-ca.com</t>
  </si>
  <si>
    <t>Mooni Sanwal and Manita Sanwal</t>
  </si>
  <si>
    <t>Mooni Sanwal</t>
  </si>
  <si>
    <t xml:space="preserve">3105 Hopkins Place, El Dorado Hills CA </t>
  </si>
  <si>
    <t>CDBG</t>
  </si>
  <si>
    <t>IIG</t>
  </si>
  <si>
    <t>300 South Grand Ave., Suite 3110</t>
  </si>
  <si>
    <t>Los Angeles, CA 90071</t>
  </si>
  <si>
    <t>Sonia Rahm</t>
  </si>
  <si>
    <t>213-239-1726</t>
  </si>
  <si>
    <t>Construction Loan</t>
  </si>
  <si>
    <t>Matt Gros</t>
  </si>
  <si>
    <t>LHTIC</t>
  </si>
  <si>
    <t>2020 W. El Camino Ave. Suite 600</t>
  </si>
  <si>
    <t>Sacramento, CA 95814</t>
  </si>
  <si>
    <t>Grant</t>
  </si>
  <si>
    <t>Perm Loan</t>
  </si>
  <si>
    <t>Loan</t>
  </si>
  <si>
    <t>CUAC - Redwood Energy</t>
  </si>
  <si>
    <t>Payroll taxes/benefits/workers comp</t>
  </si>
  <si>
    <t>FTB &amp; Misc</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</si>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</sst>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2" fontId="0" fillId="5" borderId="6" xfId="0" applyNumberForma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1" fillId="5" borderId="3"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8"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19" t="s">
        <v>1387</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 customHeight="1">
      <c r="A11" s="327"/>
      <c r="B11" s="325"/>
      <c r="C11" s="326"/>
      <c r="D11" s="1819" t="s">
        <v>1391</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2" customHeight="1">
      <c r="A14" s="327"/>
      <c r="B14" s="325"/>
      <c r="C14" s="326"/>
      <c r="E14" s="1821" t="s">
        <v>2099</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2"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 customHeight="1">
      <c r="A18" s="327"/>
      <c r="B18" s="325"/>
      <c r="C18" s="326"/>
      <c r="D18" s="1821" t="s">
        <v>2509</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2"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2" customHeight="1">
      <c r="A28" s="327"/>
      <c r="B28" s="325"/>
      <c r="C28" s="326"/>
      <c r="E28" s="1821" t="s">
        <v>2100</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2"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 customHeight="1">
      <c r="A32" s="327"/>
      <c r="B32" s="325"/>
      <c r="C32" s="326"/>
      <c r="D32" s="1822" t="s">
        <v>1392</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c r="A33" s="327"/>
      <c r="B33" s="325"/>
      <c r="C33" s="326"/>
      <c r="D33" s="744"/>
      <c r="E33" s="1828" t="s">
        <v>2482</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2324</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2" customHeight="1">
      <c r="A42" s="149"/>
      <c r="B42"/>
      <c r="C42" s="5"/>
      <c r="D42" s="149"/>
      <c r="E42" s="149" t="s">
        <v>690</v>
      </c>
      <c r="F42" s="1821" t="s">
        <v>1357</v>
      </c>
    </row>
    <row r="43" spans="1:38" s="1821" customFormat="1" ht="13.2"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 customHeight="1">
      <c r="A45" s="149"/>
      <c r="B45"/>
      <c r="C45" s="5"/>
      <c r="D45" s="149"/>
      <c r="E45" s="6" t="s">
        <v>358</v>
      </c>
      <c r="F45" s="1832" t="s">
        <v>1469</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2"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1" t="s">
        <v>1470</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23" t="s">
        <v>1393</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2"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 customHeight="1">
      <c r="A59" s="327"/>
      <c r="B59" s="326"/>
      <c r="C59" s="326"/>
      <c r="D59" s="326"/>
      <c r="E59" s="327"/>
      <c r="F59" s="331" t="s">
        <v>542</v>
      </c>
      <c r="G59" s="1831" t="s">
        <v>1471</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1" t="s">
        <v>1359</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2" customHeight="1">
      <c r="A69" s="149"/>
      <c r="C69" s="5"/>
      <c r="D69" s="149"/>
      <c r="E69" s="149"/>
      <c r="F69" s="9" t="s">
        <v>542</v>
      </c>
      <c r="G69" s="1821" t="s">
        <v>1360</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1" t="s">
        <v>1361</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542</v>
      </c>
      <c r="G74" s="1821" t="s">
        <v>1362</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1363</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1364</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1365</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1366</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1367</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1"/>
      <c r="E100" s="1830" t="s">
        <v>1368</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1" t="s">
        <v>1369</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1" t="s">
        <v>1344</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2" customHeight="1">
      <c r="B343" s="5"/>
      <c r="E343" s="1823" t="s">
        <v>1446</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c r="B348" s="5"/>
      <c r="E348" s="6" t="s">
        <v>117</v>
      </c>
      <c r="F348" s="1821" t="s">
        <v>1448</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c r="B352" s="5"/>
      <c r="E352" s="6" t="s">
        <v>118</v>
      </c>
      <c r="F352" s="1821" t="s">
        <v>1447</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4" t="s">
        <v>1437</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1485</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2" t="s">
        <v>1496</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4" zoomScaleNormal="100" workbookViewId="0">
      <selection activeCell="G17" sqref="G17"/>
    </sheetView>
  </sheetViews>
  <sheetFormatPr defaultColWidth="9.109375" defaultRowHeight="13.8"/>
  <cols>
    <col min="1" max="1" width="3.77734375" style="1330" customWidth="1"/>
    <col min="2" max="2" width="1.77734375" style="1330" customWidth="1"/>
    <col min="3" max="3" width="2.77734375" style="1330" customWidth="1"/>
    <col min="4" max="4" width="40.77734375" style="1330" customWidth="1"/>
    <col min="5" max="5" width="13.44140625" style="1330" customWidth="1"/>
    <col min="6" max="6" width="2.77734375" style="1334" customWidth="1"/>
    <col min="7" max="7" width="10.77734375" style="1330" customWidth="1"/>
    <col min="8" max="8" width="2.77734375" style="1334" customWidth="1"/>
    <col min="9" max="9" width="10.77734375" style="1330" customWidth="1"/>
    <col min="10" max="10" width="1.5546875" style="1330" customWidth="1"/>
    <col min="11" max="11" width="47.44140625" style="1331" customWidth="1"/>
    <col min="12" max="16384" width="9.109375" style="1330"/>
  </cols>
  <sheetData>
    <row r="1" spans="1:11" ht="30" customHeight="1">
      <c r="A1" s="3265" t="s">
        <v>1870</v>
      </c>
      <c r="B1" s="3265"/>
      <c r="C1" s="3265"/>
      <c r="D1" s="3265"/>
      <c r="E1" s="3265"/>
      <c r="F1" s="3265"/>
      <c r="G1" s="3265"/>
      <c r="H1" s="3265"/>
      <c r="I1" s="3265"/>
    </row>
    <row r="2" spans="1:11">
      <c r="A2" s="1332"/>
      <c r="B2" s="1332"/>
      <c r="E2" s="1333"/>
      <c r="I2" s="1335"/>
      <c r="K2" s="1336"/>
    </row>
    <row r="3" spans="1:11">
      <c r="A3" s="1337" t="s">
        <v>1577</v>
      </c>
      <c r="B3" s="1337"/>
      <c r="C3" s="1330" t="s">
        <v>2110</v>
      </c>
      <c r="E3" s="1722">
        <f>ROUND(Application!AM564+'Basis &amp; Credits'!AB77,0)</f>
        <v>23404260</v>
      </c>
      <c r="F3" s="1338"/>
      <c r="K3" s="1409"/>
    </row>
    <row r="4" spans="1:11" s="1339" customFormat="1" ht="15" customHeight="1">
      <c r="C4" s="1339" t="s">
        <v>1871</v>
      </c>
      <c r="E4" s="1415">
        <f>Application!AD1037</f>
        <v>-2.0618556701030928E-3</v>
      </c>
      <c r="F4" s="1340"/>
      <c r="H4" s="1341"/>
      <c r="K4" s="1536"/>
    </row>
    <row r="5" spans="1:11" s="1342" customFormat="1" ht="15" customHeight="1">
      <c r="A5" s="3266"/>
      <c r="B5" s="3266"/>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23452516.206185568</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12</v>
      </c>
      <c r="G12" s="1357">
        <v>1</v>
      </c>
      <c r="H12" s="1358"/>
      <c r="I12" s="1359">
        <f>E12*G12</f>
        <v>12</v>
      </c>
      <c r="J12" s="1350"/>
    </row>
    <row r="13" spans="1:11">
      <c r="A13" s="1332"/>
      <c r="B13" s="1332"/>
      <c r="C13" s="1350" t="s">
        <v>1880</v>
      </c>
      <c r="D13" s="1350"/>
      <c r="E13" s="1410">
        <f>Application!BX635+Application!BX644+Application!DC658</f>
        <v>42</v>
      </c>
      <c r="G13" s="1357">
        <v>1.25</v>
      </c>
      <c r="H13" s="1358"/>
      <c r="I13" s="1359">
        <f>E13*G13</f>
        <v>52.5</v>
      </c>
      <c r="J13" s="1350"/>
    </row>
    <row r="14" spans="1:11">
      <c r="A14" s="1332"/>
      <c r="B14" s="1332"/>
      <c r="C14" s="1350" t="s">
        <v>1881</v>
      </c>
      <c r="D14" s="1350"/>
      <c r="E14" s="1410">
        <f>Application!CC635+Application!CC644+Application!DH658</f>
        <v>28</v>
      </c>
      <c r="G14" s="1357">
        <f>1.5+0.25*0</f>
        <v>1.5</v>
      </c>
      <c r="H14" s="1358"/>
      <c r="I14" s="1359">
        <f>IF(E14/E16&lt;=30%,E14*G14,TRUNC(0.3*E16)*G14+(E14-TRUNC(0.3*E16))*G13)</f>
        <v>41</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82</v>
      </c>
      <c r="G16" s="1333"/>
      <c r="I16" s="1414">
        <f>SUM(I11:I15)</f>
        <v>105.5</v>
      </c>
    </row>
    <row r="17" spans="1:9">
      <c r="A17" s="1332"/>
      <c r="B17" s="1332"/>
      <c r="E17" s="1333"/>
      <c r="I17" s="1361"/>
    </row>
    <row r="18" spans="1:9">
      <c r="A18" s="1337" t="s">
        <v>1582</v>
      </c>
      <c r="B18" s="1337"/>
      <c r="C18" s="1362" t="s">
        <v>1883</v>
      </c>
      <c r="D18" s="1334"/>
      <c r="E18" s="1363">
        <f>E7/I16</f>
        <v>222298.73181218549</v>
      </c>
      <c r="F18" s="1364"/>
      <c r="G18" s="1365"/>
      <c r="H18" s="1366"/>
      <c r="I18" s="1361"/>
    </row>
    <row r="21" spans="1:9" ht="14.25" customHeight="1">
      <c r="A21" s="3267" t="s">
        <v>2479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Normal="100" zoomScaleSheetLayoutView="100" workbookViewId="0">
      <selection activeCell="AJ52" sqref="AJ52"/>
    </sheetView>
  </sheetViews>
  <sheetFormatPr defaultColWidth="0" defaultRowHeight="0" customHeight="1" zeroHeight="1"/>
  <cols>
    <col min="1" max="1" width="1.5546875" style="788" customWidth="1"/>
    <col min="2" max="2" width="0.88671875" style="788" customWidth="1"/>
    <col min="3" max="18" width="2.5546875" style="788" customWidth="1"/>
    <col min="19" max="19" width="4" style="788" customWidth="1"/>
    <col min="20" max="39" width="2.77734375" style="788" customWidth="1"/>
    <col min="40" max="40" width="1.5546875" style="788" customWidth="1"/>
    <col min="41" max="76" width="2.5546875" style="788" hidden="1"/>
    <col min="77" max="256" width="2.5546875" style="615" hidden="1"/>
    <col min="257" max="257" width="1.5546875" style="615" hidden="1" customWidth="1"/>
    <col min="258" max="258" width="0.88671875" style="615" hidden="1" customWidth="1"/>
    <col min="259" max="274" width="2.5546875" style="615" hidden="1" customWidth="1"/>
    <col min="275" max="275" width="4" style="615" hidden="1" customWidth="1"/>
    <col min="276" max="279" width="2.5546875" style="615" hidden="1" customWidth="1"/>
    <col min="280" max="280" width="2.44140625" style="615" hidden="1" customWidth="1"/>
    <col min="281" max="284" width="2.5546875" style="615" hidden="1" customWidth="1"/>
    <col min="285" max="285" width="2.44140625" style="615" hidden="1" customWidth="1"/>
    <col min="286" max="289" width="2.5546875" style="615" hidden="1" customWidth="1"/>
    <col min="290" max="295" width="2.44140625" style="615" hidden="1" customWidth="1"/>
    <col min="296" max="296" width="1.5546875" style="615" hidden="1" customWidth="1"/>
    <col min="297" max="512" width="2.5546875" style="615" hidden="1"/>
    <col min="513" max="513" width="1.5546875" style="615" hidden="1" customWidth="1"/>
    <col min="514" max="514" width="0.88671875" style="615" hidden="1" customWidth="1"/>
    <col min="515" max="530" width="2.5546875" style="615" hidden="1" customWidth="1"/>
    <col min="531" max="531" width="4" style="615" hidden="1" customWidth="1"/>
    <col min="532" max="535" width="2.5546875" style="615" hidden="1" customWidth="1"/>
    <col min="536" max="536" width="2.44140625" style="615" hidden="1" customWidth="1"/>
    <col min="537" max="540" width="2.5546875" style="615" hidden="1" customWidth="1"/>
    <col min="541" max="541" width="2.44140625" style="615" hidden="1" customWidth="1"/>
    <col min="542" max="545" width="2.5546875" style="615" hidden="1" customWidth="1"/>
    <col min="546" max="551" width="2.44140625" style="615" hidden="1" customWidth="1"/>
    <col min="552" max="552" width="1.5546875" style="615" hidden="1" customWidth="1"/>
    <col min="553" max="768" width="2.5546875" style="615" hidden="1"/>
    <col min="769" max="769" width="1.5546875" style="615" hidden="1" customWidth="1"/>
    <col min="770" max="770" width="0.88671875" style="615" hidden="1" customWidth="1"/>
    <col min="771" max="786" width="2.5546875" style="615" hidden="1" customWidth="1"/>
    <col min="787" max="787" width="4" style="615" hidden="1" customWidth="1"/>
    <col min="788" max="791" width="2.5546875" style="615" hidden="1" customWidth="1"/>
    <col min="792" max="792" width="2.44140625" style="615" hidden="1" customWidth="1"/>
    <col min="793" max="796" width="2.5546875" style="615" hidden="1" customWidth="1"/>
    <col min="797" max="797" width="2.44140625" style="615" hidden="1" customWidth="1"/>
    <col min="798" max="801" width="2.5546875" style="615" hidden="1" customWidth="1"/>
    <col min="802" max="807" width="2.44140625" style="615" hidden="1" customWidth="1"/>
    <col min="808" max="808" width="1.5546875" style="615" hidden="1" customWidth="1"/>
    <col min="809" max="1024" width="2.5546875" style="615" hidden="1"/>
    <col min="1025" max="1025" width="1.5546875" style="615" hidden="1" customWidth="1"/>
    <col min="1026" max="1026" width="0.88671875" style="615" hidden="1" customWidth="1"/>
    <col min="1027" max="1042" width="2.5546875" style="615" hidden="1" customWidth="1"/>
    <col min="1043" max="1043" width="4" style="615" hidden="1" customWidth="1"/>
    <col min="1044" max="1047" width="2.5546875" style="615" hidden="1" customWidth="1"/>
    <col min="1048" max="1048" width="2.44140625" style="615" hidden="1" customWidth="1"/>
    <col min="1049" max="1052" width="2.5546875" style="615" hidden="1" customWidth="1"/>
    <col min="1053" max="1053" width="2.44140625" style="615" hidden="1" customWidth="1"/>
    <col min="1054" max="1057" width="2.5546875" style="615" hidden="1" customWidth="1"/>
    <col min="1058" max="1063" width="2.44140625" style="615" hidden="1" customWidth="1"/>
    <col min="1064" max="1064" width="1.5546875" style="615" hidden="1" customWidth="1"/>
    <col min="1065" max="1280" width="2.5546875" style="615" hidden="1"/>
    <col min="1281" max="1281" width="1.5546875" style="615" hidden="1" customWidth="1"/>
    <col min="1282" max="1282" width="0.88671875" style="615" hidden="1" customWidth="1"/>
    <col min="1283" max="1298" width="2.5546875" style="615" hidden="1" customWidth="1"/>
    <col min="1299" max="1299" width="4" style="615" hidden="1" customWidth="1"/>
    <col min="1300" max="1303" width="2.5546875" style="615" hidden="1" customWidth="1"/>
    <col min="1304" max="1304" width="2.44140625" style="615" hidden="1" customWidth="1"/>
    <col min="1305" max="1308" width="2.5546875" style="615" hidden="1" customWidth="1"/>
    <col min="1309" max="1309" width="2.44140625" style="615" hidden="1" customWidth="1"/>
    <col min="1310" max="1313" width="2.5546875" style="615" hidden="1" customWidth="1"/>
    <col min="1314" max="1319" width="2.44140625" style="615" hidden="1" customWidth="1"/>
    <col min="1320" max="1320" width="1.5546875" style="615" hidden="1" customWidth="1"/>
    <col min="1321" max="1536" width="2.5546875" style="615" hidden="1"/>
    <col min="1537" max="1537" width="1.5546875" style="615" hidden="1" customWidth="1"/>
    <col min="1538" max="1538" width="0.88671875" style="615" hidden="1" customWidth="1"/>
    <col min="1539" max="1554" width="2.5546875" style="615" hidden="1" customWidth="1"/>
    <col min="1555" max="1555" width="4" style="615" hidden="1" customWidth="1"/>
    <col min="1556" max="1559" width="2.5546875" style="615" hidden="1" customWidth="1"/>
    <col min="1560" max="1560" width="2.44140625" style="615" hidden="1" customWidth="1"/>
    <col min="1561" max="1564" width="2.5546875" style="615" hidden="1" customWidth="1"/>
    <col min="1565" max="1565" width="2.44140625" style="615" hidden="1" customWidth="1"/>
    <col min="1566" max="1569" width="2.5546875" style="615" hidden="1" customWidth="1"/>
    <col min="1570" max="1575" width="2.44140625" style="615" hidden="1" customWidth="1"/>
    <col min="1576" max="1576" width="1.5546875" style="615" hidden="1" customWidth="1"/>
    <col min="1577" max="1792" width="2.5546875" style="615" hidden="1"/>
    <col min="1793" max="1793" width="1.5546875" style="615" hidden="1" customWidth="1"/>
    <col min="1794" max="1794" width="0.88671875" style="615" hidden="1" customWidth="1"/>
    <col min="1795" max="1810" width="2.5546875" style="615" hidden="1" customWidth="1"/>
    <col min="1811" max="1811" width="4" style="615" hidden="1" customWidth="1"/>
    <col min="1812" max="1815" width="2.5546875" style="615" hidden="1" customWidth="1"/>
    <col min="1816" max="1816" width="2.44140625" style="615" hidden="1" customWidth="1"/>
    <col min="1817" max="1820" width="2.5546875" style="615" hidden="1" customWidth="1"/>
    <col min="1821" max="1821" width="2.44140625" style="615" hidden="1" customWidth="1"/>
    <col min="1822" max="1825" width="2.5546875" style="615" hidden="1" customWidth="1"/>
    <col min="1826" max="1831" width="2.44140625" style="615" hidden="1" customWidth="1"/>
    <col min="1832" max="1832" width="1.5546875" style="615" hidden="1" customWidth="1"/>
    <col min="1833" max="2048" width="2.5546875" style="615" hidden="1"/>
    <col min="2049" max="2049" width="1.5546875" style="615" hidden="1" customWidth="1"/>
    <col min="2050" max="2050" width="0.88671875" style="615" hidden="1" customWidth="1"/>
    <col min="2051" max="2066" width="2.5546875" style="615" hidden="1" customWidth="1"/>
    <col min="2067" max="2067" width="4" style="615" hidden="1" customWidth="1"/>
    <col min="2068" max="2071" width="2.5546875" style="615" hidden="1" customWidth="1"/>
    <col min="2072" max="2072" width="2.44140625" style="615" hidden="1" customWidth="1"/>
    <col min="2073" max="2076" width="2.5546875" style="615" hidden="1" customWidth="1"/>
    <col min="2077" max="2077" width="2.44140625" style="615" hidden="1" customWidth="1"/>
    <col min="2078" max="2081" width="2.5546875" style="615" hidden="1" customWidth="1"/>
    <col min="2082" max="2087" width="2.44140625" style="615" hidden="1" customWidth="1"/>
    <col min="2088" max="2088" width="1.5546875" style="615" hidden="1" customWidth="1"/>
    <col min="2089" max="2304" width="2.5546875" style="615" hidden="1"/>
    <col min="2305" max="2305" width="1.5546875" style="615" hidden="1" customWidth="1"/>
    <col min="2306" max="2306" width="0.88671875" style="615" hidden="1" customWidth="1"/>
    <col min="2307" max="2322" width="2.5546875" style="615" hidden="1" customWidth="1"/>
    <col min="2323" max="2323" width="4" style="615" hidden="1" customWidth="1"/>
    <col min="2324" max="2327" width="2.5546875" style="615" hidden="1" customWidth="1"/>
    <col min="2328" max="2328" width="2.44140625" style="615" hidden="1" customWidth="1"/>
    <col min="2329" max="2332" width="2.5546875" style="615" hidden="1" customWidth="1"/>
    <col min="2333" max="2333" width="2.44140625" style="615" hidden="1" customWidth="1"/>
    <col min="2334" max="2337" width="2.5546875" style="615" hidden="1" customWidth="1"/>
    <col min="2338" max="2343" width="2.44140625" style="615" hidden="1" customWidth="1"/>
    <col min="2344" max="2344" width="1.5546875" style="615" hidden="1" customWidth="1"/>
    <col min="2345" max="2560" width="2.5546875" style="615" hidden="1"/>
    <col min="2561" max="2561" width="1.5546875" style="615" hidden="1" customWidth="1"/>
    <col min="2562" max="2562" width="0.88671875" style="615" hidden="1" customWidth="1"/>
    <col min="2563" max="2578" width="2.5546875" style="615" hidden="1" customWidth="1"/>
    <col min="2579" max="2579" width="4" style="615" hidden="1" customWidth="1"/>
    <col min="2580" max="2583" width="2.5546875" style="615" hidden="1" customWidth="1"/>
    <col min="2584" max="2584" width="2.44140625" style="615" hidden="1" customWidth="1"/>
    <col min="2585" max="2588" width="2.5546875" style="615" hidden="1" customWidth="1"/>
    <col min="2589" max="2589" width="2.44140625" style="615" hidden="1" customWidth="1"/>
    <col min="2590" max="2593" width="2.5546875" style="615" hidden="1" customWidth="1"/>
    <col min="2594" max="2599" width="2.44140625" style="615" hidden="1" customWidth="1"/>
    <col min="2600" max="2600" width="1.5546875" style="615" hidden="1" customWidth="1"/>
    <col min="2601" max="2816" width="2.5546875" style="615" hidden="1"/>
    <col min="2817" max="2817" width="1.5546875" style="615" hidden="1" customWidth="1"/>
    <col min="2818" max="2818" width="0.88671875" style="615" hidden="1" customWidth="1"/>
    <col min="2819" max="2834" width="2.5546875" style="615" hidden="1" customWidth="1"/>
    <col min="2835" max="2835" width="4" style="615" hidden="1" customWidth="1"/>
    <col min="2836" max="2839" width="2.5546875" style="615" hidden="1" customWidth="1"/>
    <col min="2840" max="2840" width="2.44140625" style="615" hidden="1" customWidth="1"/>
    <col min="2841" max="2844" width="2.5546875" style="615" hidden="1" customWidth="1"/>
    <col min="2845" max="2845" width="2.44140625" style="615" hidden="1" customWidth="1"/>
    <col min="2846" max="2849" width="2.5546875" style="615" hidden="1" customWidth="1"/>
    <col min="2850" max="2855" width="2.44140625" style="615" hidden="1" customWidth="1"/>
    <col min="2856" max="2856" width="1.5546875" style="615" hidden="1" customWidth="1"/>
    <col min="2857" max="3072" width="2.5546875" style="615" hidden="1"/>
    <col min="3073" max="3073" width="1.5546875" style="615" hidden="1" customWidth="1"/>
    <col min="3074" max="3074" width="0.88671875" style="615" hidden="1" customWidth="1"/>
    <col min="3075" max="3090" width="2.5546875" style="615" hidden="1" customWidth="1"/>
    <col min="3091" max="3091" width="4" style="615" hidden="1" customWidth="1"/>
    <col min="3092" max="3095" width="2.5546875" style="615" hidden="1" customWidth="1"/>
    <col min="3096" max="3096" width="2.44140625" style="615" hidden="1" customWidth="1"/>
    <col min="3097" max="3100" width="2.5546875" style="615" hidden="1" customWidth="1"/>
    <col min="3101" max="3101" width="2.44140625" style="615" hidden="1" customWidth="1"/>
    <col min="3102" max="3105" width="2.5546875" style="615" hidden="1" customWidth="1"/>
    <col min="3106" max="3111" width="2.44140625" style="615" hidden="1" customWidth="1"/>
    <col min="3112" max="3112" width="1.5546875" style="615" hidden="1" customWidth="1"/>
    <col min="3113" max="3328" width="2.5546875" style="615" hidden="1"/>
    <col min="3329" max="3329" width="1.5546875" style="615" hidden="1" customWidth="1"/>
    <col min="3330" max="3330" width="0.88671875" style="615" hidden="1" customWidth="1"/>
    <col min="3331" max="3346" width="2.5546875" style="615" hidden="1" customWidth="1"/>
    <col min="3347" max="3347" width="4" style="615" hidden="1" customWidth="1"/>
    <col min="3348" max="3351" width="2.5546875" style="615" hidden="1" customWidth="1"/>
    <col min="3352" max="3352" width="2.44140625" style="615" hidden="1" customWidth="1"/>
    <col min="3353" max="3356" width="2.5546875" style="615" hidden="1" customWidth="1"/>
    <col min="3357" max="3357" width="2.44140625" style="615" hidden="1" customWidth="1"/>
    <col min="3358" max="3361" width="2.5546875" style="615" hidden="1" customWidth="1"/>
    <col min="3362" max="3367" width="2.44140625" style="615" hidden="1" customWidth="1"/>
    <col min="3368" max="3368" width="1.5546875" style="615" hidden="1" customWidth="1"/>
    <col min="3369" max="3584" width="2.5546875" style="615" hidden="1"/>
    <col min="3585" max="3585" width="1.5546875" style="615" hidden="1" customWidth="1"/>
    <col min="3586" max="3586" width="0.88671875" style="615" hidden="1" customWidth="1"/>
    <col min="3587" max="3602" width="2.5546875" style="615" hidden="1" customWidth="1"/>
    <col min="3603" max="3603" width="4" style="615" hidden="1" customWidth="1"/>
    <col min="3604" max="3607" width="2.5546875" style="615" hidden="1" customWidth="1"/>
    <col min="3608" max="3608" width="2.44140625" style="615" hidden="1" customWidth="1"/>
    <col min="3609" max="3612" width="2.5546875" style="615" hidden="1" customWidth="1"/>
    <col min="3613" max="3613" width="2.44140625" style="615" hidden="1" customWidth="1"/>
    <col min="3614" max="3617" width="2.5546875" style="615" hidden="1" customWidth="1"/>
    <col min="3618" max="3623" width="2.44140625" style="615" hidden="1" customWidth="1"/>
    <col min="3624" max="3624" width="1.5546875" style="615" hidden="1" customWidth="1"/>
    <col min="3625" max="3840" width="2.5546875" style="615" hidden="1"/>
    <col min="3841" max="3841" width="1.5546875" style="615" hidden="1" customWidth="1"/>
    <col min="3842" max="3842" width="0.88671875" style="615" hidden="1" customWidth="1"/>
    <col min="3843" max="3858" width="2.5546875" style="615" hidden="1" customWidth="1"/>
    <col min="3859" max="3859" width="4" style="615" hidden="1" customWidth="1"/>
    <col min="3860" max="3863" width="2.5546875" style="615" hidden="1" customWidth="1"/>
    <col min="3864" max="3864" width="2.44140625" style="615" hidden="1" customWidth="1"/>
    <col min="3865" max="3868" width="2.5546875" style="615" hidden="1" customWidth="1"/>
    <col min="3869" max="3869" width="2.44140625" style="615" hidden="1" customWidth="1"/>
    <col min="3870" max="3873" width="2.5546875" style="615" hidden="1" customWidth="1"/>
    <col min="3874" max="3879" width="2.44140625" style="615" hidden="1" customWidth="1"/>
    <col min="3880" max="3880" width="1.5546875" style="615" hidden="1" customWidth="1"/>
    <col min="3881" max="4096" width="2.5546875" style="615" hidden="1"/>
    <col min="4097" max="4097" width="1.5546875" style="615" hidden="1" customWidth="1"/>
    <col min="4098" max="4098" width="0.88671875" style="615" hidden="1" customWidth="1"/>
    <col min="4099" max="4114" width="2.5546875" style="615" hidden="1" customWidth="1"/>
    <col min="4115" max="4115" width="4" style="615" hidden="1" customWidth="1"/>
    <col min="4116" max="4119" width="2.5546875" style="615" hidden="1" customWidth="1"/>
    <col min="4120" max="4120" width="2.44140625" style="615" hidden="1" customWidth="1"/>
    <col min="4121" max="4124" width="2.5546875" style="615" hidden="1" customWidth="1"/>
    <col min="4125" max="4125" width="2.44140625" style="615" hidden="1" customWidth="1"/>
    <col min="4126" max="4129" width="2.5546875" style="615" hidden="1" customWidth="1"/>
    <col min="4130" max="4135" width="2.44140625" style="615" hidden="1" customWidth="1"/>
    <col min="4136" max="4136" width="1.5546875" style="615" hidden="1" customWidth="1"/>
    <col min="4137" max="4352" width="2.5546875" style="615" hidden="1"/>
    <col min="4353" max="4353" width="1.5546875" style="615" hidden="1" customWidth="1"/>
    <col min="4354" max="4354" width="0.88671875" style="615" hidden="1" customWidth="1"/>
    <col min="4355" max="4370" width="2.5546875" style="615" hidden="1" customWidth="1"/>
    <col min="4371" max="4371" width="4" style="615" hidden="1" customWidth="1"/>
    <col min="4372" max="4375" width="2.5546875" style="615" hidden="1" customWidth="1"/>
    <col min="4376" max="4376" width="2.44140625" style="615" hidden="1" customWidth="1"/>
    <col min="4377" max="4380" width="2.5546875" style="615" hidden="1" customWidth="1"/>
    <col min="4381" max="4381" width="2.44140625" style="615" hidden="1" customWidth="1"/>
    <col min="4382" max="4385" width="2.5546875" style="615" hidden="1" customWidth="1"/>
    <col min="4386" max="4391" width="2.44140625" style="615" hidden="1" customWidth="1"/>
    <col min="4392" max="4392" width="1.5546875" style="615" hidden="1" customWidth="1"/>
    <col min="4393" max="4608" width="2.5546875" style="615" hidden="1"/>
    <col min="4609" max="4609" width="1.5546875" style="615" hidden="1" customWidth="1"/>
    <col min="4610" max="4610" width="0.88671875" style="615" hidden="1" customWidth="1"/>
    <col min="4611" max="4626" width="2.5546875" style="615" hidden="1" customWidth="1"/>
    <col min="4627" max="4627" width="4" style="615" hidden="1" customWidth="1"/>
    <col min="4628" max="4631" width="2.5546875" style="615" hidden="1" customWidth="1"/>
    <col min="4632" max="4632" width="2.44140625" style="615" hidden="1" customWidth="1"/>
    <col min="4633" max="4636" width="2.5546875" style="615" hidden="1" customWidth="1"/>
    <col min="4637" max="4637" width="2.44140625" style="615" hidden="1" customWidth="1"/>
    <col min="4638" max="4641" width="2.5546875" style="615" hidden="1" customWidth="1"/>
    <col min="4642" max="4647" width="2.44140625" style="615" hidden="1" customWidth="1"/>
    <col min="4648" max="4648" width="1.5546875" style="615" hidden="1" customWidth="1"/>
    <col min="4649" max="4864" width="2.5546875" style="615" hidden="1"/>
    <col min="4865" max="4865" width="1.5546875" style="615" hidden="1" customWidth="1"/>
    <col min="4866" max="4866" width="0.88671875" style="615" hidden="1" customWidth="1"/>
    <col min="4867" max="4882" width="2.5546875" style="615" hidden="1" customWidth="1"/>
    <col min="4883" max="4883" width="4" style="615" hidden="1" customWidth="1"/>
    <col min="4884" max="4887" width="2.5546875" style="615" hidden="1" customWidth="1"/>
    <col min="4888" max="4888" width="2.44140625" style="615" hidden="1" customWidth="1"/>
    <col min="4889" max="4892" width="2.5546875" style="615" hidden="1" customWidth="1"/>
    <col min="4893" max="4893" width="2.44140625" style="615" hidden="1" customWidth="1"/>
    <col min="4894" max="4897" width="2.5546875" style="615" hidden="1" customWidth="1"/>
    <col min="4898" max="4903" width="2.44140625" style="615" hidden="1" customWidth="1"/>
    <col min="4904" max="4904" width="1.5546875" style="615" hidden="1" customWidth="1"/>
    <col min="4905" max="5120" width="2.5546875" style="615" hidden="1"/>
    <col min="5121" max="5121" width="1.5546875" style="615" hidden="1" customWidth="1"/>
    <col min="5122" max="5122" width="0.88671875" style="615" hidden="1" customWidth="1"/>
    <col min="5123" max="5138" width="2.5546875" style="615" hidden="1" customWidth="1"/>
    <col min="5139" max="5139" width="4" style="615" hidden="1" customWidth="1"/>
    <col min="5140" max="5143" width="2.5546875" style="615" hidden="1" customWidth="1"/>
    <col min="5144" max="5144" width="2.44140625" style="615" hidden="1" customWidth="1"/>
    <col min="5145" max="5148" width="2.5546875" style="615" hidden="1" customWidth="1"/>
    <col min="5149" max="5149" width="2.44140625" style="615" hidden="1" customWidth="1"/>
    <col min="5150" max="5153" width="2.5546875" style="615" hidden="1" customWidth="1"/>
    <col min="5154" max="5159" width="2.44140625" style="615" hidden="1" customWidth="1"/>
    <col min="5160" max="5160" width="1.5546875" style="615" hidden="1" customWidth="1"/>
    <col min="5161" max="5376" width="2.5546875" style="615" hidden="1"/>
    <col min="5377" max="5377" width="1.5546875" style="615" hidden="1" customWidth="1"/>
    <col min="5378" max="5378" width="0.88671875" style="615" hidden="1" customWidth="1"/>
    <col min="5379" max="5394" width="2.5546875" style="615" hidden="1" customWidth="1"/>
    <col min="5395" max="5395" width="4" style="615" hidden="1" customWidth="1"/>
    <col min="5396" max="5399" width="2.5546875" style="615" hidden="1" customWidth="1"/>
    <col min="5400" max="5400" width="2.44140625" style="615" hidden="1" customWidth="1"/>
    <col min="5401" max="5404" width="2.5546875" style="615" hidden="1" customWidth="1"/>
    <col min="5405" max="5405" width="2.44140625" style="615" hidden="1" customWidth="1"/>
    <col min="5406" max="5409" width="2.5546875" style="615" hidden="1" customWidth="1"/>
    <col min="5410" max="5415" width="2.44140625" style="615" hidden="1" customWidth="1"/>
    <col min="5416" max="5416" width="1.5546875" style="615" hidden="1" customWidth="1"/>
    <col min="5417" max="5632" width="2.5546875" style="615" hidden="1"/>
    <col min="5633" max="5633" width="1.5546875" style="615" hidden="1" customWidth="1"/>
    <col min="5634" max="5634" width="0.88671875" style="615" hidden="1" customWidth="1"/>
    <col min="5635" max="5650" width="2.5546875" style="615" hidden="1" customWidth="1"/>
    <col min="5651" max="5651" width="4" style="615" hidden="1" customWidth="1"/>
    <col min="5652" max="5655" width="2.5546875" style="615" hidden="1" customWidth="1"/>
    <col min="5656" max="5656" width="2.44140625" style="615" hidden="1" customWidth="1"/>
    <col min="5657" max="5660" width="2.5546875" style="615" hidden="1" customWidth="1"/>
    <col min="5661" max="5661" width="2.44140625" style="615" hidden="1" customWidth="1"/>
    <col min="5662" max="5665" width="2.5546875" style="615" hidden="1" customWidth="1"/>
    <col min="5666" max="5671" width="2.44140625" style="615" hidden="1" customWidth="1"/>
    <col min="5672" max="5672" width="1.5546875" style="615" hidden="1" customWidth="1"/>
    <col min="5673" max="5888" width="2.5546875" style="615" hidden="1"/>
    <col min="5889" max="5889" width="1.5546875" style="615" hidden="1" customWidth="1"/>
    <col min="5890" max="5890" width="0.88671875" style="615" hidden="1" customWidth="1"/>
    <col min="5891" max="5906" width="2.5546875" style="615" hidden="1" customWidth="1"/>
    <col min="5907" max="5907" width="4" style="615" hidden="1" customWidth="1"/>
    <col min="5908" max="5911" width="2.5546875" style="615" hidden="1" customWidth="1"/>
    <col min="5912" max="5912" width="2.44140625" style="615" hidden="1" customWidth="1"/>
    <col min="5913" max="5916" width="2.5546875" style="615" hidden="1" customWidth="1"/>
    <col min="5917" max="5917" width="2.44140625" style="615" hidden="1" customWidth="1"/>
    <col min="5918" max="5921" width="2.5546875" style="615" hidden="1" customWidth="1"/>
    <col min="5922" max="5927" width="2.44140625" style="615" hidden="1" customWidth="1"/>
    <col min="5928" max="5928" width="1.5546875" style="615" hidden="1" customWidth="1"/>
    <col min="5929" max="6144" width="2.5546875" style="615" hidden="1"/>
    <col min="6145" max="6145" width="1.5546875" style="615" hidden="1" customWidth="1"/>
    <col min="6146" max="6146" width="0.88671875" style="615" hidden="1" customWidth="1"/>
    <col min="6147" max="6162" width="2.5546875" style="615" hidden="1" customWidth="1"/>
    <col min="6163" max="6163" width="4" style="615" hidden="1" customWidth="1"/>
    <col min="6164" max="6167" width="2.5546875" style="615" hidden="1" customWidth="1"/>
    <col min="6168" max="6168" width="2.44140625" style="615" hidden="1" customWidth="1"/>
    <col min="6169" max="6172" width="2.5546875" style="615" hidden="1" customWidth="1"/>
    <col min="6173" max="6173" width="2.44140625" style="615" hidden="1" customWidth="1"/>
    <col min="6174" max="6177" width="2.5546875" style="615" hidden="1" customWidth="1"/>
    <col min="6178" max="6183" width="2.44140625" style="615" hidden="1" customWidth="1"/>
    <col min="6184" max="6184" width="1.5546875" style="615" hidden="1" customWidth="1"/>
    <col min="6185" max="6400" width="2.5546875" style="615" hidden="1"/>
    <col min="6401" max="6401" width="1.5546875" style="615" hidden="1" customWidth="1"/>
    <col min="6402" max="6402" width="0.88671875" style="615" hidden="1" customWidth="1"/>
    <col min="6403" max="6418" width="2.5546875" style="615" hidden="1" customWidth="1"/>
    <col min="6419" max="6419" width="4" style="615" hidden="1" customWidth="1"/>
    <col min="6420" max="6423" width="2.5546875" style="615" hidden="1" customWidth="1"/>
    <col min="6424" max="6424" width="2.44140625" style="615" hidden="1" customWidth="1"/>
    <col min="6425" max="6428" width="2.5546875" style="615" hidden="1" customWidth="1"/>
    <col min="6429" max="6429" width="2.44140625" style="615" hidden="1" customWidth="1"/>
    <col min="6430" max="6433" width="2.5546875" style="615" hidden="1" customWidth="1"/>
    <col min="6434" max="6439" width="2.44140625" style="615" hidden="1" customWidth="1"/>
    <col min="6440" max="6440" width="1.5546875" style="615" hidden="1" customWidth="1"/>
    <col min="6441" max="6656" width="2.5546875" style="615" hidden="1"/>
    <col min="6657" max="6657" width="1.5546875" style="615" hidden="1" customWidth="1"/>
    <col min="6658" max="6658" width="0.88671875" style="615" hidden="1" customWidth="1"/>
    <col min="6659" max="6674" width="2.5546875" style="615" hidden="1" customWidth="1"/>
    <col min="6675" max="6675" width="4" style="615" hidden="1" customWidth="1"/>
    <col min="6676" max="6679" width="2.5546875" style="615" hidden="1" customWidth="1"/>
    <col min="6680" max="6680" width="2.44140625" style="615" hidden="1" customWidth="1"/>
    <col min="6681" max="6684" width="2.5546875" style="615" hidden="1" customWidth="1"/>
    <col min="6685" max="6685" width="2.44140625" style="615" hidden="1" customWidth="1"/>
    <col min="6686" max="6689" width="2.5546875" style="615" hidden="1" customWidth="1"/>
    <col min="6690" max="6695" width="2.44140625" style="615" hidden="1" customWidth="1"/>
    <col min="6696" max="6696" width="1.5546875" style="615" hidden="1" customWidth="1"/>
    <col min="6697" max="6912" width="2.5546875" style="615" hidden="1"/>
    <col min="6913" max="6913" width="1.5546875" style="615" hidden="1" customWidth="1"/>
    <col min="6914" max="6914" width="0.88671875" style="615" hidden="1" customWidth="1"/>
    <col min="6915" max="6930" width="2.5546875" style="615" hidden="1" customWidth="1"/>
    <col min="6931" max="6931" width="4" style="615" hidden="1" customWidth="1"/>
    <col min="6932" max="6935" width="2.5546875" style="615" hidden="1" customWidth="1"/>
    <col min="6936" max="6936" width="2.44140625" style="615" hidden="1" customWidth="1"/>
    <col min="6937" max="6940" width="2.5546875" style="615" hidden="1" customWidth="1"/>
    <col min="6941" max="6941" width="2.44140625" style="615" hidden="1" customWidth="1"/>
    <col min="6942" max="6945" width="2.5546875" style="615" hidden="1" customWidth="1"/>
    <col min="6946" max="6951" width="2.44140625" style="615" hidden="1" customWidth="1"/>
    <col min="6952" max="6952" width="1.5546875" style="615" hidden="1" customWidth="1"/>
    <col min="6953" max="7168" width="2.5546875" style="615" hidden="1"/>
    <col min="7169" max="7169" width="1.5546875" style="615" hidden="1" customWidth="1"/>
    <col min="7170" max="7170" width="0.88671875" style="615" hidden="1" customWidth="1"/>
    <col min="7171" max="7186" width="2.5546875" style="615" hidden="1" customWidth="1"/>
    <col min="7187" max="7187" width="4" style="615" hidden="1" customWidth="1"/>
    <col min="7188" max="7191" width="2.5546875" style="615" hidden="1" customWidth="1"/>
    <col min="7192" max="7192" width="2.44140625" style="615" hidden="1" customWidth="1"/>
    <col min="7193" max="7196" width="2.5546875" style="615" hidden="1" customWidth="1"/>
    <col min="7197" max="7197" width="2.44140625" style="615" hidden="1" customWidth="1"/>
    <col min="7198" max="7201" width="2.5546875" style="615" hidden="1" customWidth="1"/>
    <col min="7202" max="7207" width="2.44140625" style="615" hidden="1" customWidth="1"/>
    <col min="7208" max="7208" width="1.5546875" style="615" hidden="1" customWidth="1"/>
    <col min="7209" max="7424" width="2.5546875" style="615" hidden="1"/>
    <col min="7425" max="7425" width="1.5546875" style="615" hidden="1" customWidth="1"/>
    <col min="7426" max="7426" width="0.88671875" style="615" hidden="1" customWidth="1"/>
    <col min="7427" max="7442" width="2.5546875" style="615" hidden="1" customWidth="1"/>
    <col min="7443" max="7443" width="4" style="615" hidden="1" customWidth="1"/>
    <col min="7444" max="7447" width="2.5546875" style="615" hidden="1" customWidth="1"/>
    <col min="7448" max="7448" width="2.44140625" style="615" hidden="1" customWidth="1"/>
    <col min="7449" max="7452" width="2.5546875" style="615" hidden="1" customWidth="1"/>
    <col min="7453" max="7453" width="2.44140625" style="615" hidden="1" customWidth="1"/>
    <col min="7454" max="7457" width="2.5546875" style="615" hidden="1" customWidth="1"/>
    <col min="7458" max="7463" width="2.44140625" style="615" hidden="1" customWidth="1"/>
    <col min="7464" max="7464" width="1.5546875" style="615" hidden="1" customWidth="1"/>
    <col min="7465" max="7680" width="2.5546875" style="615" hidden="1"/>
    <col min="7681" max="7681" width="1.5546875" style="615" hidden="1" customWidth="1"/>
    <col min="7682" max="7682" width="0.88671875" style="615" hidden="1" customWidth="1"/>
    <col min="7683" max="7698" width="2.5546875" style="615" hidden="1" customWidth="1"/>
    <col min="7699" max="7699" width="4" style="615" hidden="1" customWidth="1"/>
    <col min="7700" max="7703" width="2.5546875" style="615" hidden="1" customWidth="1"/>
    <col min="7704" max="7704" width="2.44140625" style="615" hidden="1" customWidth="1"/>
    <col min="7705" max="7708" width="2.5546875" style="615" hidden="1" customWidth="1"/>
    <col min="7709" max="7709" width="2.44140625" style="615" hidden="1" customWidth="1"/>
    <col min="7710" max="7713" width="2.5546875" style="615" hidden="1" customWidth="1"/>
    <col min="7714" max="7719" width="2.44140625" style="615" hidden="1" customWidth="1"/>
    <col min="7720" max="7720" width="1.5546875" style="615" hidden="1" customWidth="1"/>
    <col min="7721" max="7936" width="2.5546875" style="615" hidden="1"/>
    <col min="7937" max="7937" width="1.5546875" style="615" hidden="1" customWidth="1"/>
    <col min="7938" max="7938" width="0.88671875" style="615" hidden="1" customWidth="1"/>
    <col min="7939" max="7954" width="2.5546875" style="615" hidden="1" customWidth="1"/>
    <col min="7955" max="7955" width="4" style="615" hidden="1" customWidth="1"/>
    <col min="7956" max="7959" width="2.5546875" style="615" hidden="1" customWidth="1"/>
    <col min="7960" max="7960" width="2.44140625" style="615" hidden="1" customWidth="1"/>
    <col min="7961" max="7964" width="2.5546875" style="615" hidden="1" customWidth="1"/>
    <col min="7965" max="7965" width="2.44140625" style="615" hidden="1" customWidth="1"/>
    <col min="7966" max="7969" width="2.5546875" style="615" hidden="1" customWidth="1"/>
    <col min="7970" max="7975" width="2.44140625" style="615" hidden="1" customWidth="1"/>
    <col min="7976" max="7976" width="1.5546875" style="615" hidden="1" customWidth="1"/>
    <col min="7977" max="8192" width="2.5546875" style="615" hidden="1"/>
    <col min="8193" max="8193" width="1.5546875" style="615" hidden="1" customWidth="1"/>
    <col min="8194" max="8194" width="0.88671875" style="615" hidden="1" customWidth="1"/>
    <col min="8195" max="8210" width="2.5546875" style="615" hidden="1" customWidth="1"/>
    <col min="8211" max="8211" width="4" style="615" hidden="1" customWidth="1"/>
    <col min="8212" max="8215" width="2.5546875" style="615" hidden="1" customWidth="1"/>
    <col min="8216" max="8216" width="2.44140625" style="615" hidden="1" customWidth="1"/>
    <col min="8217" max="8220" width="2.5546875" style="615" hidden="1" customWidth="1"/>
    <col min="8221" max="8221" width="2.44140625" style="615" hidden="1" customWidth="1"/>
    <col min="8222" max="8225" width="2.5546875" style="615" hidden="1" customWidth="1"/>
    <col min="8226" max="8231" width="2.44140625" style="615" hidden="1" customWidth="1"/>
    <col min="8232" max="8232" width="1.5546875" style="615" hidden="1" customWidth="1"/>
    <col min="8233" max="8448" width="2.5546875" style="615" hidden="1"/>
    <col min="8449" max="8449" width="1.5546875" style="615" hidden="1" customWidth="1"/>
    <col min="8450" max="8450" width="0.88671875" style="615" hidden="1" customWidth="1"/>
    <col min="8451" max="8466" width="2.5546875" style="615" hidden="1" customWidth="1"/>
    <col min="8467" max="8467" width="4" style="615" hidden="1" customWidth="1"/>
    <col min="8468" max="8471" width="2.5546875" style="615" hidden="1" customWidth="1"/>
    <col min="8472" max="8472" width="2.44140625" style="615" hidden="1" customWidth="1"/>
    <col min="8473" max="8476" width="2.5546875" style="615" hidden="1" customWidth="1"/>
    <col min="8477" max="8477" width="2.44140625" style="615" hidden="1" customWidth="1"/>
    <col min="8478" max="8481" width="2.5546875" style="615" hidden="1" customWidth="1"/>
    <col min="8482" max="8487" width="2.44140625" style="615" hidden="1" customWidth="1"/>
    <col min="8488" max="8488" width="1.5546875" style="615" hidden="1" customWidth="1"/>
    <col min="8489" max="8704" width="2.5546875" style="615" hidden="1"/>
    <col min="8705" max="8705" width="1.5546875" style="615" hidden="1" customWidth="1"/>
    <col min="8706" max="8706" width="0.88671875" style="615" hidden="1" customWidth="1"/>
    <col min="8707" max="8722" width="2.5546875" style="615" hidden="1" customWidth="1"/>
    <col min="8723" max="8723" width="4" style="615" hidden="1" customWidth="1"/>
    <col min="8724" max="8727" width="2.5546875" style="615" hidden="1" customWidth="1"/>
    <col min="8728" max="8728" width="2.44140625" style="615" hidden="1" customWidth="1"/>
    <col min="8729" max="8732" width="2.5546875" style="615" hidden="1" customWidth="1"/>
    <col min="8733" max="8733" width="2.44140625" style="615" hidden="1" customWidth="1"/>
    <col min="8734" max="8737" width="2.5546875" style="615" hidden="1" customWidth="1"/>
    <col min="8738" max="8743" width="2.44140625" style="615" hidden="1" customWidth="1"/>
    <col min="8744" max="8744" width="1.5546875" style="615" hidden="1" customWidth="1"/>
    <col min="8745" max="8960" width="2.5546875" style="615" hidden="1"/>
    <col min="8961" max="8961" width="1.5546875" style="615" hidden="1" customWidth="1"/>
    <col min="8962" max="8962" width="0.88671875" style="615" hidden="1" customWidth="1"/>
    <col min="8963" max="8978" width="2.5546875" style="615" hidden="1" customWidth="1"/>
    <col min="8979" max="8979" width="4" style="615" hidden="1" customWidth="1"/>
    <col min="8980" max="8983" width="2.5546875" style="615" hidden="1" customWidth="1"/>
    <col min="8984" max="8984" width="2.44140625" style="615" hidden="1" customWidth="1"/>
    <col min="8985" max="8988" width="2.5546875" style="615" hidden="1" customWidth="1"/>
    <col min="8989" max="8989" width="2.44140625" style="615" hidden="1" customWidth="1"/>
    <col min="8990" max="8993" width="2.5546875" style="615" hidden="1" customWidth="1"/>
    <col min="8994" max="8999" width="2.44140625" style="615" hidden="1" customWidth="1"/>
    <col min="9000" max="9000" width="1.5546875" style="615" hidden="1" customWidth="1"/>
    <col min="9001" max="9216" width="2.5546875" style="615" hidden="1"/>
    <col min="9217" max="9217" width="1.5546875" style="615" hidden="1" customWidth="1"/>
    <col min="9218" max="9218" width="0.88671875" style="615" hidden="1" customWidth="1"/>
    <col min="9219" max="9234" width="2.5546875" style="615" hidden="1" customWidth="1"/>
    <col min="9235" max="9235" width="4" style="615" hidden="1" customWidth="1"/>
    <col min="9236" max="9239" width="2.5546875" style="615" hidden="1" customWidth="1"/>
    <col min="9240" max="9240" width="2.44140625" style="615" hidden="1" customWidth="1"/>
    <col min="9241" max="9244" width="2.5546875" style="615" hidden="1" customWidth="1"/>
    <col min="9245" max="9245" width="2.44140625" style="615" hidden="1" customWidth="1"/>
    <col min="9246" max="9249" width="2.5546875" style="615" hidden="1" customWidth="1"/>
    <col min="9250" max="9255" width="2.44140625" style="615" hidden="1" customWidth="1"/>
    <col min="9256" max="9256" width="1.5546875" style="615" hidden="1" customWidth="1"/>
    <col min="9257" max="9472" width="2.5546875" style="615" hidden="1"/>
    <col min="9473" max="9473" width="1.5546875" style="615" hidden="1" customWidth="1"/>
    <col min="9474" max="9474" width="0.88671875" style="615" hidden="1" customWidth="1"/>
    <col min="9475" max="9490" width="2.5546875" style="615" hidden="1" customWidth="1"/>
    <col min="9491" max="9491" width="4" style="615" hidden="1" customWidth="1"/>
    <col min="9492" max="9495" width="2.5546875" style="615" hidden="1" customWidth="1"/>
    <col min="9496" max="9496" width="2.44140625" style="615" hidden="1" customWidth="1"/>
    <col min="9497" max="9500" width="2.5546875" style="615" hidden="1" customWidth="1"/>
    <col min="9501" max="9501" width="2.44140625" style="615" hidden="1" customWidth="1"/>
    <col min="9502" max="9505" width="2.5546875" style="615" hidden="1" customWidth="1"/>
    <col min="9506" max="9511" width="2.44140625" style="615" hidden="1" customWidth="1"/>
    <col min="9512" max="9512" width="1.5546875" style="615" hidden="1" customWidth="1"/>
    <col min="9513" max="9728" width="2.5546875" style="615" hidden="1"/>
    <col min="9729" max="9729" width="1.5546875" style="615" hidden="1" customWidth="1"/>
    <col min="9730" max="9730" width="0.88671875" style="615" hidden="1" customWidth="1"/>
    <col min="9731" max="9746" width="2.5546875" style="615" hidden="1" customWidth="1"/>
    <col min="9747" max="9747" width="4" style="615" hidden="1" customWidth="1"/>
    <col min="9748" max="9751" width="2.5546875" style="615" hidden="1" customWidth="1"/>
    <col min="9752" max="9752" width="2.44140625" style="615" hidden="1" customWidth="1"/>
    <col min="9753" max="9756" width="2.5546875" style="615" hidden="1" customWidth="1"/>
    <col min="9757" max="9757" width="2.44140625" style="615" hidden="1" customWidth="1"/>
    <col min="9758" max="9761" width="2.5546875" style="615" hidden="1" customWidth="1"/>
    <col min="9762" max="9767" width="2.44140625" style="615" hidden="1" customWidth="1"/>
    <col min="9768" max="9768" width="1.5546875" style="615" hidden="1" customWidth="1"/>
    <col min="9769" max="9984" width="2.5546875" style="615" hidden="1"/>
    <col min="9985" max="9985" width="1.5546875" style="615" hidden="1" customWidth="1"/>
    <col min="9986" max="9986" width="0.88671875" style="615" hidden="1" customWidth="1"/>
    <col min="9987" max="10002" width="2.5546875" style="615" hidden="1" customWidth="1"/>
    <col min="10003" max="10003" width="4" style="615" hidden="1" customWidth="1"/>
    <col min="10004" max="10007" width="2.5546875" style="615" hidden="1" customWidth="1"/>
    <col min="10008" max="10008" width="2.44140625" style="615" hidden="1" customWidth="1"/>
    <col min="10009" max="10012" width="2.5546875" style="615" hidden="1" customWidth="1"/>
    <col min="10013" max="10013" width="2.44140625" style="615" hidden="1" customWidth="1"/>
    <col min="10014" max="10017" width="2.5546875" style="615" hidden="1" customWidth="1"/>
    <col min="10018" max="10023" width="2.44140625" style="615" hidden="1" customWidth="1"/>
    <col min="10024" max="10024" width="1.5546875" style="615" hidden="1" customWidth="1"/>
    <col min="10025" max="10240" width="2.5546875" style="615" hidden="1"/>
    <col min="10241" max="10241" width="1.5546875" style="615" hidden="1" customWidth="1"/>
    <col min="10242" max="10242" width="0.88671875" style="615" hidden="1" customWidth="1"/>
    <col min="10243" max="10258" width="2.5546875" style="615" hidden="1" customWidth="1"/>
    <col min="10259" max="10259" width="4" style="615" hidden="1" customWidth="1"/>
    <col min="10260" max="10263" width="2.5546875" style="615" hidden="1" customWidth="1"/>
    <col min="10264" max="10264" width="2.44140625" style="615" hidden="1" customWidth="1"/>
    <col min="10265" max="10268" width="2.5546875" style="615" hidden="1" customWidth="1"/>
    <col min="10269" max="10269" width="2.44140625" style="615" hidden="1" customWidth="1"/>
    <col min="10270" max="10273" width="2.5546875" style="615" hidden="1" customWidth="1"/>
    <col min="10274" max="10279" width="2.44140625" style="615" hidden="1" customWidth="1"/>
    <col min="10280" max="10280" width="1.5546875" style="615" hidden="1" customWidth="1"/>
    <col min="10281" max="10496" width="2.5546875" style="615" hidden="1"/>
    <col min="10497" max="10497" width="1.5546875" style="615" hidden="1" customWidth="1"/>
    <col min="10498" max="10498" width="0.88671875" style="615" hidden="1" customWidth="1"/>
    <col min="10499" max="10514" width="2.5546875" style="615" hidden="1" customWidth="1"/>
    <col min="10515" max="10515" width="4" style="615" hidden="1" customWidth="1"/>
    <col min="10516" max="10519" width="2.5546875" style="615" hidden="1" customWidth="1"/>
    <col min="10520" max="10520" width="2.44140625" style="615" hidden="1" customWidth="1"/>
    <col min="10521" max="10524" width="2.5546875" style="615" hidden="1" customWidth="1"/>
    <col min="10525" max="10525" width="2.44140625" style="615" hidden="1" customWidth="1"/>
    <col min="10526" max="10529" width="2.5546875" style="615" hidden="1" customWidth="1"/>
    <col min="10530" max="10535" width="2.44140625" style="615" hidden="1" customWidth="1"/>
    <col min="10536" max="10536" width="1.5546875" style="615" hidden="1" customWidth="1"/>
    <col min="10537" max="10752" width="2.5546875" style="615" hidden="1"/>
    <col min="10753" max="10753" width="1.5546875" style="615" hidden="1" customWidth="1"/>
    <col min="10754" max="10754" width="0.88671875" style="615" hidden="1" customWidth="1"/>
    <col min="10755" max="10770" width="2.5546875" style="615" hidden="1" customWidth="1"/>
    <col min="10771" max="10771" width="4" style="615" hidden="1" customWidth="1"/>
    <col min="10772" max="10775" width="2.5546875" style="615" hidden="1" customWidth="1"/>
    <col min="10776" max="10776" width="2.44140625" style="615" hidden="1" customWidth="1"/>
    <col min="10777" max="10780" width="2.5546875" style="615" hidden="1" customWidth="1"/>
    <col min="10781" max="10781" width="2.44140625" style="615" hidden="1" customWidth="1"/>
    <col min="10782" max="10785" width="2.5546875" style="615" hidden="1" customWidth="1"/>
    <col min="10786" max="10791" width="2.44140625" style="615" hidden="1" customWidth="1"/>
    <col min="10792" max="10792" width="1.5546875" style="615" hidden="1" customWidth="1"/>
    <col min="10793" max="11008" width="2.5546875" style="615" hidden="1"/>
    <col min="11009" max="11009" width="1.5546875" style="615" hidden="1" customWidth="1"/>
    <col min="11010" max="11010" width="0.88671875" style="615" hidden="1" customWidth="1"/>
    <col min="11011" max="11026" width="2.5546875" style="615" hidden="1" customWidth="1"/>
    <col min="11027" max="11027" width="4" style="615" hidden="1" customWidth="1"/>
    <col min="11028" max="11031" width="2.5546875" style="615" hidden="1" customWidth="1"/>
    <col min="11032" max="11032" width="2.44140625" style="615" hidden="1" customWidth="1"/>
    <col min="11033" max="11036" width="2.5546875" style="615" hidden="1" customWidth="1"/>
    <col min="11037" max="11037" width="2.44140625" style="615" hidden="1" customWidth="1"/>
    <col min="11038" max="11041" width="2.5546875" style="615" hidden="1" customWidth="1"/>
    <col min="11042" max="11047" width="2.44140625" style="615" hidden="1" customWidth="1"/>
    <col min="11048" max="11048" width="1.5546875" style="615" hidden="1" customWidth="1"/>
    <col min="11049" max="11264" width="2.5546875" style="615" hidden="1"/>
    <col min="11265" max="11265" width="1.5546875" style="615" hidden="1" customWidth="1"/>
    <col min="11266" max="11266" width="0.88671875" style="615" hidden="1" customWidth="1"/>
    <col min="11267" max="11282" width="2.5546875" style="615" hidden="1" customWidth="1"/>
    <col min="11283" max="11283" width="4" style="615" hidden="1" customWidth="1"/>
    <col min="11284" max="11287" width="2.5546875" style="615" hidden="1" customWidth="1"/>
    <col min="11288" max="11288" width="2.44140625" style="615" hidden="1" customWidth="1"/>
    <col min="11289" max="11292" width="2.5546875" style="615" hidden="1" customWidth="1"/>
    <col min="11293" max="11293" width="2.44140625" style="615" hidden="1" customWidth="1"/>
    <col min="11294" max="11297" width="2.5546875" style="615" hidden="1" customWidth="1"/>
    <col min="11298" max="11303" width="2.44140625" style="615" hidden="1" customWidth="1"/>
    <col min="11304" max="11304" width="1.5546875" style="615" hidden="1" customWidth="1"/>
    <col min="11305" max="11520" width="2.5546875" style="615" hidden="1"/>
    <col min="11521" max="11521" width="1.5546875" style="615" hidden="1" customWidth="1"/>
    <col min="11522" max="11522" width="0.88671875" style="615" hidden="1" customWidth="1"/>
    <col min="11523" max="11538" width="2.5546875" style="615" hidden="1" customWidth="1"/>
    <col min="11539" max="11539" width="4" style="615" hidden="1" customWidth="1"/>
    <col min="11540" max="11543" width="2.5546875" style="615" hidden="1" customWidth="1"/>
    <col min="11544" max="11544" width="2.44140625" style="615" hidden="1" customWidth="1"/>
    <col min="11545" max="11548" width="2.5546875" style="615" hidden="1" customWidth="1"/>
    <col min="11549" max="11549" width="2.44140625" style="615" hidden="1" customWidth="1"/>
    <col min="11550" max="11553" width="2.5546875" style="615" hidden="1" customWidth="1"/>
    <col min="11554" max="11559" width="2.44140625" style="615" hidden="1" customWidth="1"/>
    <col min="11560" max="11560" width="1.5546875" style="615" hidden="1" customWidth="1"/>
    <col min="11561" max="11776" width="2.5546875" style="615" hidden="1"/>
    <col min="11777" max="11777" width="1.5546875" style="615" hidden="1" customWidth="1"/>
    <col min="11778" max="11778" width="0.88671875" style="615" hidden="1" customWidth="1"/>
    <col min="11779" max="11794" width="2.5546875" style="615" hidden="1" customWidth="1"/>
    <col min="11795" max="11795" width="4" style="615" hidden="1" customWidth="1"/>
    <col min="11796" max="11799" width="2.5546875" style="615" hidden="1" customWidth="1"/>
    <col min="11800" max="11800" width="2.44140625" style="615" hidden="1" customWidth="1"/>
    <col min="11801" max="11804" width="2.5546875" style="615" hidden="1" customWidth="1"/>
    <col min="11805" max="11805" width="2.44140625" style="615" hidden="1" customWidth="1"/>
    <col min="11806" max="11809" width="2.5546875" style="615" hidden="1" customWidth="1"/>
    <col min="11810" max="11815" width="2.44140625" style="615" hidden="1" customWidth="1"/>
    <col min="11816" max="11816" width="1.5546875" style="615" hidden="1" customWidth="1"/>
    <col min="11817" max="12032" width="2.5546875" style="615" hidden="1"/>
    <col min="12033" max="12033" width="1.5546875" style="615" hidden="1" customWidth="1"/>
    <col min="12034" max="12034" width="0.88671875" style="615" hidden="1" customWidth="1"/>
    <col min="12035" max="12050" width="2.5546875" style="615" hidden="1" customWidth="1"/>
    <col min="12051" max="12051" width="4" style="615" hidden="1" customWidth="1"/>
    <col min="12052" max="12055" width="2.5546875" style="615" hidden="1" customWidth="1"/>
    <col min="12056" max="12056" width="2.44140625" style="615" hidden="1" customWidth="1"/>
    <col min="12057" max="12060" width="2.5546875" style="615" hidden="1" customWidth="1"/>
    <col min="12061" max="12061" width="2.44140625" style="615" hidden="1" customWidth="1"/>
    <col min="12062" max="12065" width="2.5546875" style="615" hidden="1" customWidth="1"/>
    <col min="12066" max="12071" width="2.44140625" style="615" hidden="1" customWidth="1"/>
    <col min="12072" max="12072" width="1.5546875" style="615" hidden="1" customWidth="1"/>
    <col min="12073" max="12288" width="2.5546875" style="615" hidden="1"/>
    <col min="12289" max="12289" width="1.5546875" style="615" hidden="1" customWidth="1"/>
    <col min="12290" max="12290" width="0.88671875" style="615" hidden="1" customWidth="1"/>
    <col min="12291" max="12306" width="2.5546875" style="615" hidden="1" customWidth="1"/>
    <col min="12307" max="12307" width="4" style="615" hidden="1" customWidth="1"/>
    <col min="12308" max="12311" width="2.5546875" style="615" hidden="1" customWidth="1"/>
    <col min="12312" max="12312" width="2.44140625" style="615" hidden="1" customWidth="1"/>
    <col min="12313" max="12316" width="2.5546875" style="615" hidden="1" customWidth="1"/>
    <col min="12317" max="12317" width="2.44140625" style="615" hidden="1" customWidth="1"/>
    <col min="12318" max="12321" width="2.5546875" style="615" hidden="1" customWidth="1"/>
    <col min="12322" max="12327" width="2.44140625" style="615" hidden="1" customWidth="1"/>
    <col min="12328" max="12328" width="1.5546875" style="615" hidden="1" customWidth="1"/>
    <col min="12329" max="12544" width="2.5546875" style="615" hidden="1"/>
    <col min="12545" max="12545" width="1.5546875" style="615" hidden="1" customWidth="1"/>
    <col min="12546" max="12546" width="0.88671875" style="615" hidden="1" customWidth="1"/>
    <col min="12547" max="12562" width="2.5546875" style="615" hidden="1" customWidth="1"/>
    <col min="12563" max="12563" width="4" style="615" hidden="1" customWidth="1"/>
    <col min="12564" max="12567" width="2.5546875" style="615" hidden="1" customWidth="1"/>
    <col min="12568" max="12568" width="2.44140625" style="615" hidden="1" customWidth="1"/>
    <col min="12569" max="12572" width="2.5546875" style="615" hidden="1" customWidth="1"/>
    <col min="12573" max="12573" width="2.44140625" style="615" hidden="1" customWidth="1"/>
    <col min="12574" max="12577" width="2.5546875" style="615" hidden="1" customWidth="1"/>
    <col min="12578" max="12583" width="2.44140625" style="615" hidden="1" customWidth="1"/>
    <col min="12584" max="12584" width="1.5546875" style="615" hidden="1" customWidth="1"/>
    <col min="12585" max="12800" width="2.5546875" style="615" hidden="1"/>
    <col min="12801" max="12801" width="1.5546875" style="615" hidden="1" customWidth="1"/>
    <col min="12802" max="12802" width="0.88671875" style="615" hidden="1" customWidth="1"/>
    <col min="12803" max="12818" width="2.5546875" style="615" hidden="1" customWidth="1"/>
    <col min="12819" max="12819" width="4" style="615" hidden="1" customWidth="1"/>
    <col min="12820" max="12823" width="2.5546875" style="615" hidden="1" customWidth="1"/>
    <col min="12824" max="12824" width="2.44140625" style="615" hidden="1" customWidth="1"/>
    <col min="12825" max="12828" width="2.5546875" style="615" hidden="1" customWidth="1"/>
    <col min="12829" max="12829" width="2.44140625" style="615" hidden="1" customWidth="1"/>
    <col min="12830" max="12833" width="2.5546875" style="615" hidden="1" customWidth="1"/>
    <col min="12834" max="12839" width="2.44140625" style="615" hidden="1" customWidth="1"/>
    <col min="12840" max="12840" width="1.5546875" style="615" hidden="1" customWidth="1"/>
    <col min="12841" max="13056" width="2.5546875" style="615" hidden="1"/>
    <col min="13057" max="13057" width="1.5546875" style="615" hidden="1" customWidth="1"/>
    <col min="13058" max="13058" width="0.88671875" style="615" hidden="1" customWidth="1"/>
    <col min="13059" max="13074" width="2.5546875" style="615" hidden="1" customWidth="1"/>
    <col min="13075" max="13075" width="4" style="615" hidden="1" customWidth="1"/>
    <col min="13076" max="13079" width="2.5546875" style="615" hidden="1" customWidth="1"/>
    <col min="13080" max="13080" width="2.44140625" style="615" hidden="1" customWidth="1"/>
    <col min="13081" max="13084" width="2.5546875" style="615" hidden="1" customWidth="1"/>
    <col min="13085" max="13085" width="2.44140625" style="615" hidden="1" customWidth="1"/>
    <col min="13086" max="13089" width="2.5546875" style="615" hidden="1" customWidth="1"/>
    <col min="13090" max="13095" width="2.44140625" style="615" hidden="1" customWidth="1"/>
    <col min="13096" max="13096" width="1.5546875" style="615" hidden="1" customWidth="1"/>
    <col min="13097" max="13312" width="2.5546875" style="615" hidden="1"/>
    <col min="13313" max="13313" width="1.5546875" style="615" hidden="1" customWidth="1"/>
    <col min="13314" max="13314" width="0.88671875" style="615" hidden="1" customWidth="1"/>
    <col min="13315" max="13330" width="2.5546875" style="615" hidden="1" customWidth="1"/>
    <col min="13331" max="13331" width="4" style="615" hidden="1" customWidth="1"/>
    <col min="13332" max="13335" width="2.5546875" style="615" hidden="1" customWidth="1"/>
    <col min="13336" max="13336" width="2.44140625" style="615" hidden="1" customWidth="1"/>
    <col min="13337" max="13340" width="2.5546875" style="615" hidden="1" customWidth="1"/>
    <col min="13341" max="13341" width="2.44140625" style="615" hidden="1" customWidth="1"/>
    <col min="13342" max="13345" width="2.5546875" style="615" hidden="1" customWidth="1"/>
    <col min="13346" max="13351" width="2.44140625" style="615" hidden="1" customWidth="1"/>
    <col min="13352" max="13352" width="1.5546875" style="615" hidden="1" customWidth="1"/>
    <col min="13353" max="13568" width="2.5546875" style="615" hidden="1"/>
    <col min="13569" max="13569" width="1.5546875" style="615" hidden="1" customWidth="1"/>
    <col min="13570" max="13570" width="0.88671875" style="615" hidden="1" customWidth="1"/>
    <col min="13571" max="13586" width="2.5546875" style="615" hidden="1" customWidth="1"/>
    <col min="13587" max="13587" width="4" style="615" hidden="1" customWidth="1"/>
    <col min="13588" max="13591" width="2.5546875" style="615" hidden="1" customWidth="1"/>
    <col min="13592" max="13592" width="2.44140625" style="615" hidden="1" customWidth="1"/>
    <col min="13593" max="13596" width="2.5546875" style="615" hidden="1" customWidth="1"/>
    <col min="13597" max="13597" width="2.44140625" style="615" hidden="1" customWidth="1"/>
    <col min="13598" max="13601" width="2.5546875" style="615" hidden="1" customWidth="1"/>
    <col min="13602" max="13607" width="2.44140625" style="615" hidden="1" customWidth="1"/>
    <col min="13608" max="13608" width="1.5546875" style="615" hidden="1" customWidth="1"/>
    <col min="13609" max="13824" width="2.5546875" style="615" hidden="1"/>
    <col min="13825" max="13825" width="1.5546875" style="615" hidden="1" customWidth="1"/>
    <col min="13826" max="13826" width="0.88671875" style="615" hidden="1" customWidth="1"/>
    <col min="13827" max="13842" width="2.5546875" style="615" hidden="1" customWidth="1"/>
    <col min="13843" max="13843" width="4" style="615" hidden="1" customWidth="1"/>
    <col min="13844" max="13847" width="2.5546875" style="615" hidden="1" customWidth="1"/>
    <col min="13848" max="13848" width="2.44140625" style="615" hidden="1" customWidth="1"/>
    <col min="13849" max="13852" width="2.5546875" style="615" hidden="1" customWidth="1"/>
    <col min="13853" max="13853" width="2.44140625" style="615" hidden="1" customWidth="1"/>
    <col min="13854" max="13857" width="2.5546875" style="615" hidden="1" customWidth="1"/>
    <col min="13858" max="13863" width="2.44140625" style="615" hidden="1" customWidth="1"/>
    <col min="13864" max="13864" width="1.5546875" style="615" hidden="1" customWidth="1"/>
    <col min="13865" max="14080" width="2.5546875" style="615" hidden="1"/>
    <col min="14081" max="14081" width="1.5546875" style="615" hidden="1" customWidth="1"/>
    <col min="14082" max="14082" width="0.88671875" style="615" hidden="1" customWidth="1"/>
    <col min="14083" max="14098" width="2.5546875" style="615" hidden="1" customWidth="1"/>
    <col min="14099" max="14099" width="4" style="615" hidden="1" customWidth="1"/>
    <col min="14100" max="14103" width="2.5546875" style="615" hidden="1" customWidth="1"/>
    <col min="14104" max="14104" width="2.44140625" style="615" hidden="1" customWidth="1"/>
    <col min="14105" max="14108" width="2.5546875" style="615" hidden="1" customWidth="1"/>
    <col min="14109" max="14109" width="2.44140625" style="615" hidden="1" customWidth="1"/>
    <col min="14110" max="14113" width="2.5546875" style="615" hidden="1" customWidth="1"/>
    <col min="14114" max="14119" width="2.44140625" style="615" hidden="1" customWidth="1"/>
    <col min="14120" max="14120" width="1.5546875" style="615" hidden="1" customWidth="1"/>
    <col min="14121" max="14336" width="2.5546875" style="615" hidden="1"/>
    <col min="14337" max="14337" width="1.5546875" style="615" hidden="1" customWidth="1"/>
    <col min="14338" max="14338" width="0.88671875" style="615" hidden="1" customWidth="1"/>
    <col min="14339" max="14354" width="2.5546875" style="615" hidden="1" customWidth="1"/>
    <col min="14355" max="14355" width="4" style="615" hidden="1" customWidth="1"/>
    <col min="14356" max="14359" width="2.5546875" style="615" hidden="1" customWidth="1"/>
    <col min="14360" max="14360" width="2.44140625" style="615" hidden="1" customWidth="1"/>
    <col min="14361" max="14364" width="2.5546875" style="615" hidden="1" customWidth="1"/>
    <col min="14365" max="14365" width="2.44140625" style="615" hidden="1" customWidth="1"/>
    <col min="14366" max="14369" width="2.5546875" style="615" hidden="1" customWidth="1"/>
    <col min="14370" max="14375" width="2.44140625" style="615" hidden="1" customWidth="1"/>
    <col min="14376" max="14376" width="1.5546875" style="615" hidden="1" customWidth="1"/>
    <col min="14377" max="14592" width="2.5546875" style="615" hidden="1"/>
    <col min="14593" max="14593" width="1.5546875" style="615" hidden="1" customWidth="1"/>
    <col min="14594" max="14594" width="0.88671875" style="615" hidden="1" customWidth="1"/>
    <col min="14595" max="14610" width="2.5546875" style="615" hidden="1" customWidth="1"/>
    <col min="14611" max="14611" width="4" style="615" hidden="1" customWidth="1"/>
    <col min="14612" max="14615" width="2.5546875" style="615" hidden="1" customWidth="1"/>
    <col min="14616" max="14616" width="2.44140625" style="615" hidden="1" customWidth="1"/>
    <col min="14617" max="14620" width="2.5546875" style="615" hidden="1" customWidth="1"/>
    <col min="14621" max="14621" width="2.44140625" style="615" hidden="1" customWidth="1"/>
    <col min="14622" max="14625" width="2.5546875" style="615" hidden="1" customWidth="1"/>
    <col min="14626" max="14631" width="2.44140625" style="615" hidden="1" customWidth="1"/>
    <col min="14632" max="14632" width="1.5546875" style="615" hidden="1" customWidth="1"/>
    <col min="14633" max="14848" width="2.5546875" style="615" hidden="1"/>
    <col min="14849" max="14849" width="1.5546875" style="615" hidden="1" customWidth="1"/>
    <col min="14850" max="14850" width="0.88671875" style="615" hidden="1" customWidth="1"/>
    <col min="14851" max="14866" width="2.5546875" style="615" hidden="1" customWidth="1"/>
    <col min="14867" max="14867" width="4" style="615" hidden="1" customWidth="1"/>
    <col min="14868" max="14871" width="2.5546875" style="615" hidden="1" customWidth="1"/>
    <col min="14872" max="14872" width="2.44140625" style="615" hidden="1" customWidth="1"/>
    <col min="14873" max="14876" width="2.5546875" style="615" hidden="1" customWidth="1"/>
    <col min="14877" max="14877" width="2.44140625" style="615" hidden="1" customWidth="1"/>
    <col min="14878" max="14881" width="2.5546875" style="615" hidden="1" customWidth="1"/>
    <col min="14882" max="14887" width="2.44140625" style="615" hidden="1" customWidth="1"/>
    <col min="14888" max="14888" width="1.5546875" style="615" hidden="1" customWidth="1"/>
    <col min="14889" max="15104" width="2.5546875" style="615" hidden="1"/>
    <col min="15105" max="15105" width="1.5546875" style="615" hidden="1" customWidth="1"/>
    <col min="15106" max="15106" width="0.88671875" style="615" hidden="1" customWidth="1"/>
    <col min="15107" max="15122" width="2.5546875" style="615" hidden="1" customWidth="1"/>
    <col min="15123" max="15123" width="4" style="615" hidden="1" customWidth="1"/>
    <col min="15124" max="15127" width="2.5546875" style="615" hidden="1" customWidth="1"/>
    <col min="15128" max="15128" width="2.44140625" style="615" hidden="1" customWidth="1"/>
    <col min="15129" max="15132" width="2.5546875" style="615" hidden="1" customWidth="1"/>
    <col min="15133" max="15133" width="2.44140625" style="615" hidden="1" customWidth="1"/>
    <col min="15134" max="15137" width="2.5546875" style="615" hidden="1" customWidth="1"/>
    <col min="15138" max="15143" width="2.44140625" style="615" hidden="1" customWidth="1"/>
    <col min="15144" max="15144" width="1.5546875" style="615" hidden="1" customWidth="1"/>
    <col min="15145" max="15360" width="2.5546875" style="615" hidden="1"/>
    <col min="15361" max="15361" width="1.5546875" style="615" hidden="1" customWidth="1"/>
    <col min="15362" max="15362" width="0.88671875" style="615" hidden="1" customWidth="1"/>
    <col min="15363" max="15378" width="2.5546875" style="615" hidden="1" customWidth="1"/>
    <col min="15379" max="15379" width="4" style="615" hidden="1" customWidth="1"/>
    <col min="15380" max="15383" width="2.5546875" style="615" hidden="1" customWidth="1"/>
    <col min="15384" max="15384" width="2.44140625" style="615" hidden="1" customWidth="1"/>
    <col min="15385" max="15388" width="2.5546875" style="615" hidden="1" customWidth="1"/>
    <col min="15389" max="15389" width="2.44140625" style="615" hidden="1" customWidth="1"/>
    <col min="15390" max="15393" width="2.5546875" style="615" hidden="1" customWidth="1"/>
    <col min="15394" max="15399" width="2.44140625" style="615" hidden="1" customWidth="1"/>
    <col min="15400" max="15400" width="1.5546875" style="615" hidden="1" customWidth="1"/>
    <col min="15401" max="15616" width="2.5546875" style="615" hidden="1"/>
    <col min="15617" max="15617" width="1.5546875" style="615" hidden="1" customWidth="1"/>
    <col min="15618" max="15618" width="0.88671875" style="615" hidden="1" customWidth="1"/>
    <col min="15619" max="15634" width="2.5546875" style="615" hidden="1" customWidth="1"/>
    <col min="15635" max="15635" width="4" style="615" hidden="1" customWidth="1"/>
    <col min="15636" max="15639" width="2.5546875" style="615" hidden="1" customWidth="1"/>
    <col min="15640" max="15640" width="2.44140625" style="615" hidden="1" customWidth="1"/>
    <col min="15641" max="15644" width="2.5546875" style="615" hidden="1" customWidth="1"/>
    <col min="15645" max="15645" width="2.44140625" style="615" hidden="1" customWidth="1"/>
    <col min="15646" max="15649" width="2.5546875" style="615" hidden="1" customWidth="1"/>
    <col min="15650" max="15655" width="2.44140625" style="615" hidden="1" customWidth="1"/>
    <col min="15656" max="15656" width="1.5546875" style="615" hidden="1" customWidth="1"/>
    <col min="15657" max="15872" width="2.5546875" style="615" hidden="1"/>
    <col min="15873" max="15873" width="1.5546875" style="615" hidden="1" customWidth="1"/>
    <col min="15874" max="15874" width="0.88671875" style="615" hidden="1" customWidth="1"/>
    <col min="15875" max="15890" width="2.5546875" style="615" hidden="1" customWidth="1"/>
    <col min="15891" max="15891" width="4" style="615" hidden="1" customWidth="1"/>
    <col min="15892" max="15895" width="2.5546875" style="615" hidden="1" customWidth="1"/>
    <col min="15896" max="15896" width="2.44140625" style="615" hidden="1" customWidth="1"/>
    <col min="15897" max="15900" width="2.5546875" style="615" hidden="1" customWidth="1"/>
    <col min="15901" max="15901" width="2.44140625" style="615" hidden="1" customWidth="1"/>
    <col min="15902" max="15905" width="2.5546875" style="615" hidden="1" customWidth="1"/>
    <col min="15906" max="15911" width="2.44140625" style="615" hidden="1" customWidth="1"/>
    <col min="15912" max="15912" width="1.5546875" style="615" hidden="1" customWidth="1"/>
    <col min="15913" max="16128" width="2.5546875" style="615" hidden="1"/>
    <col min="16129" max="16129" width="1.5546875" style="615" hidden="1" customWidth="1"/>
    <col min="16130" max="16130" width="0.88671875" style="615" hidden="1" customWidth="1"/>
    <col min="16131" max="16146" width="2.5546875" style="615" hidden="1" customWidth="1"/>
    <col min="16147" max="16147" width="4" style="615" hidden="1" customWidth="1"/>
    <col min="16148" max="16151" width="2.5546875" style="615" hidden="1" customWidth="1"/>
    <col min="16152" max="16152" width="2.44140625" style="615" hidden="1" customWidth="1"/>
    <col min="16153" max="16156" width="2.5546875" style="615" hidden="1" customWidth="1"/>
    <col min="16157" max="16157" width="2.44140625" style="615" hidden="1" customWidth="1"/>
    <col min="16158" max="16161" width="2.5546875" style="615" hidden="1" customWidth="1"/>
    <col min="16162" max="16167" width="2.44140625" style="615" hidden="1" customWidth="1"/>
    <col min="16168" max="16168" width="1.5546875" style="615" hidden="1" customWidth="1"/>
    <col min="16169" max="16384" width="2.5546875" style="615" hidden="1"/>
  </cols>
  <sheetData>
    <row r="1" spans="1:98" ht="12.75" customHeight="1">
      <c r="A1" s="3324" t="s">
        <v>1514</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 customHeight="1">
      <c r="A7" s="615"/>
      <c r="B7" s="621"/>
      <c r="C7" s="622"/>
      <c r="D7" s="622"/>
      <c r="E7" s="622"/>
      <c r="F7" s="622"/>
      <c r="G7" s="622"/>
      <c r="H7" s="622"/>
      <c r="I7" s="622"/>
      <c r="J7" s="622"/>
      <c r="K7" s="622"/>
      <c r="L7" s="622"/>
      <c r="M7" s="622"/>
      <c r="N7" s="622"/>
      <c r="O7" s="622"/>
      <c r="P7" s="622"/>
      <c r="Q7" s="622"/>
      <c r="R7" s="622"/>
      <c r="S7" s="622"/>
      <c r="T7" s="3299" t="str">
        <f xml:space="preserve"> IF(T25=100%,'Sources and Basis Breakdown'!G2,'Sources and Basis Breakdown'!F2)</f>
        <v>30% PVC for New Const/
Rehabilitation
NON-DDA/
NON-QCT Building(s)</v>
      </c>
      <c r="U7" s="3299"/>
      <c r="V7" s="3299"/>
      <c r="W7" s="3299"/>
      <c r="X7" s="3299"/>
      <c r="Y7" s="3299" t="str">
        <f>IF(T25=100%," ",'Sources and Basis Breakdown'!G2)</f>
        <v xml:space="preserve"> </v>
      </c>
      <c r="Z7" s="3299"/>
      <c r="AA7" s="3299"/>
      <c r="AB7" s="3299"/>
      <c r="AC7" s="3299"/>
      <c r="AD7" s="3299" t="str">
        <f xml:space="preserve"> IF(T25=100%, 'Sources and Basis Breakdown'!J2,'Sources and Basis Breakdown'!I2)</f>
        <v>30% PVC for Acquisition
NON-DDA/
NON-QCT Building(s)</v>
      </c>
      <c r="AE7" s="3299"/>
      <c r="AF7" s="3299"/>
      <c r="AG7" s="3299"/>
      <c r="AH7" s="3299"/>
      <c r="AI7" s="3299" t="str">
        <f>IF(T25=100%," ",'Sources and Basis Breakdown'!J2)</f>
        <v xml:space="preserve"> </v>
      </c>
      <c r="AJ7" s="3299"/>
      <c r="AK7" s="3299"/>
      <c r="AL7" s="3299"/>
      <c r="AM7" s="329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9"/>
      <c r="U8" s="3299"/>
      <c r="V8" s="3299"/>
      <c r="W8" s="3299"/>
      <c r="X8" s="3299"/>
      <c r="Y8" s="3299"/>
      <c r="Z8" s="3299"/>
      <c r="AA8" s="3299"/>
      <c r="AB8" s="3299"/>
      <c r="AC8" s="3299"/>
      <c r="AD8" s="3299"/>
      <c r="AE8" s="3299"/>
      <c r="AF8" s="3299"/>
      <c r="AG8" s="3299"/>
      <c r="AH8" s="3299"/>
      <c r="AI8" s="3299"/>
      <c r="AJ8" s="3299"/>
      <c r="AK8" s="3299"/>
      <c r="AL8" s="3299"/>
      <c r="AM8" s="329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299"/>
      <c r="U9" s="3299"/>
      <c r="V9" s="3299"/>
      <c r="W9" s="3299"/>
      <c r="X9" s="3299"/>
      <c r="Y9" s="3299"/>
      <c r="Z9" s="3299"/>
      <c r="AA9" s="3299"/>
      <c r="AB9" s="3299"/>
      <c r="AC9" s="3299"/>
      <c r="AD9" s="3299"/>
      <c r="AE9" s="3299"/>
      <c r="AF9" s="3299"/>
      <c r="AG9" s="3299"/>
      <c r="AH9" s="3299"/>
      <c r="AI9" s="3299"/>
      <c r="AJ9" s="3299"/>
      <c r="AK9" s="3299"/>
      <c r="AL9" s="3299"/>
      <c r="AM9" s="329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34364885</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330" t="s">
        <v>530</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333" t="s">
        <v>531</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333" t="s">
        <v>532</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333" t="s">
        <v>533</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333" t="s">
        <v>864</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333" t="s">
        <v>534</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328" t="s">
        <v>1039</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328" t="s">
        <v>1039</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281" t="s">
        <v>535</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281" t="s">
        <v>1490</v>
      </c>
      <c r="C21" s="3282"/>
      <c r="D21" s="3282"/>
      <c r="E21" s="3282"/>
      <c r="F21" s="3282"/>
      <c r="G21" s="3282"/>
      <c r="H21" s="3282"/>
      <c r="I21" s="3282"/>
      <c r="J21" s="3282"/>
      <c r="K21" s="3282"/>
      <c r="L21" s="3282"/>
      <c r="M21" s="3282"/>
      <c r="N21" s="3282"/>
      <c r="O21" s="3282"/>
      <c r="P21" s="3282"/>
      <c r="Q21" s="3282"/>
      <c r="R21" s="3282"/>
      <c r="S21" s="3283"/>
      <c r="T21" s="3308">
        <v>1650000</v>
      </c>
      <c r="U21" s="3309"/>
      <c r="V21" s="3309"/>
      <c r="W21" s="3309"/>
      <c r="X21" s="3309"/>
      <c r="Y21" s="3308"/>
      <c r="Z21" s="3309"/>
      <c r="AA21" s="3309"/>
      <c r="AB21" s="3309"/>
      <c r="AC21" s="3309"/>
      <c r="AD21" s="3319"/>
      <c r="AE21" s="3320"/>
      <c r="AF21" s="3320"/>
      <c r="AG21" s="3320"/>
      <c r="AH21" s="3321"/>
      <c r="AI21" s="3319"/>
      <c r="AJ21" s="3320"/>
      <c r="AK21" s="3320"/>
      <c r="AL21" s="3320"/>
      <c r="AM21" s="332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281" t="s">
        <v>536</v>
      </c>
      <c r="C22" s="3282"/>
      <c r="D22" s="3282"/>
      <c r="E22" s="3282"/>
      <c r="F22" s="3282"/>
      <c r="G22" s="3282"/>
      <c r="H22" s="3282"/>
      <c r="I22" s="3282"/>
      <c r="J22" s="3282"/>
      <c r="K22" s="3282"/>
      <c r="L22" s="3282"/>
      <c r="M22" s="3282"/>
      <c r="N22" s="3282"/>
      <c r="O22" s="3282"/>
      <c r="P22" s="3282"/>
      <c r="Q22" s="3282"/>
      <c r="R22" s="3282"/>
      <c r="S22" s="3283"/>
      <c r="T22" s="3304">
        <f>(T20+T21)*-1</f>
        <v>-1650000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337" t="s">
        <v>537</v>
      </c>
      <c r="C23" s="3338"/>
      <c r="D23" s="3338"/>
      <c r="E23" s="3338"/>
      <c r="F23" s="3338"/>
      <c r="G23" s="3338"/>
      <c r="H23" s="3338"/>
      <c r="I23" s="3338"/>
      <c r="J23" s="3338"/>
      <c r="K23" s="3338"/>
      <c r="L23" s="3338"/>
      <c r="M23" s="3338"/>
      <c r="N23" s="3338"/>
      <c r="O23" s="3338"/>
      <c r="P23" s="3338"/>
      <c r="Q23" s="3338"/>
      <c r="R23" s="3338"/>
      <c r="S23" s="3339"/>
      <c r="T23" s="3298">
        <f>T11+T22</f>
        <v>32714885</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281" t="s">
        <v>1040</v>
      </c>
      <c r="C24" s="3282"/>
      <c r="D24" s="3282"/>
      <c r="E24" s="3282"/>
      <c r="F24" s="3282"/>
      <c r="G24" s="3282"/>
      <c r="H24" s="3282"/>
      <c r="I24" s="3282"/>
      <c r="J24" s="3282"/>
      <c r="K24" s="3282"/>
      <c r="L24" s="3282"/>
      <c r="M24" s="3282"/>
      <c r="N24" s="3282"/>
      <c r="O24" s="3282"/>
      <c r="P24" s="3282"/>
      <c r="Q24" s="3282"/>
      <c r="R24" s="3282"/>
      <c r="S24" s="3283"/>
      <c r="T24" s="3296">
        <f>Application!AJ1032</f>
        <v>75366083.519999996</v>
      </c>
      <c r="U24" s="3297"/>
      <c r="V24" s="3297"/>
      <c r="W24" s="3297"/>
      <c r="X24" s="3297"/>
      <c r="Y24" s="3297"/>
      <c r="Z24" s="3297"/>
      <c r="AA24" s="3297"/>
      <c r="AB24" s="3297"/>
      <c r="AC24" s="3297"/>
      <c r="AD24" s="3297"/>
      <c r="AE24" s="3297"/>
      <c r="AF24" s="3297"/>
      <c r="AG24" s="3297"/>
      <c r="AH24" s="3297"/>
      <c r="AI24" s="3297"/>
      <c r="AJ24" s="3297"/>
      <c r="AK24" s="3297"/>
      <c r="AL24" s="3297"/>
      <c r="AM24" s="329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340" t="s">
        <v>1491</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281" t="s">
        <v>538</v>
      </c>
      <c r="C26" s="3282"/>
      <c r="D26" s="3282"/>
      <c r="E26" s="3282"/>
      <c r="F26" s="3282"/>
      <c r="G26" s="3282"/>
      <c r="H26" s="3282"/>
      <c r="I26" s="3282"/>
      <c r="J26" s="3282"/>
      <c r="K26" s="3282"/>
      <c r="L26" s="3282"/>
      <c r="M26" s="3282"/>
      <c r="N26" s="3282"/>
      <c r="O26" s="3282"/>
      <c r="P26" s="3282"/>
      <c r="Q26" s="3282"/>
      <c r="R26" s="3282"/>
      <c r="S26" s="3283"/>
      <c r="T26" s="3317">
        <f>T23*T25</f>
        <v>32714885</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1" t="s">
        <v>539</v>
      </c>
      <c r="C28" s="3282"/>
      <c r="D28" s="3282"/>
      <c r="E28" s="3282"/>
      <c r="F28" s="3282"/>
      <c r="G28" s="3282"/>
      <c r="H28" s="3282"/>
      <c r="I28" s="3282"/>
      <c r="J28" s="3282"/>
      <c r="K28" s="3282"/>
      <c r="L28" s="3282"/>
      <c r="M28" s="3282"/>
      <c r="N28" s="3282"/>
      <c r="O28" s="3282"/>
      <c r="P28" s="3282"/>
      <c r="Q28" s="3282"/>
      <c r="R28" s="3282"/>
      <c r="S28" s="3283"/>
      <c r="T28" s="3310">
        <f>IF(ISERROR((T26*T27)),0,(T26*T27))</f>
        <v>32714885</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281" t="s">
        <v>556</v>
      </c>
      <c r="C29" s="3282"/>
      <c r="D29" s="3282"/>
      <c r="E29" s="3282"/>
      <c r="F29" s="3282"/>
      <c r="G29" s="3282"/>
      <c r="H29" s="3282"/>
      <c r="I29" s="3282"/>
      <c r="J29" s="3282"/>
      <c r="K29" s="3282"/>
      <c r="L29" s="3282"/>
      <c r="M29" s="3282"/>
      <c r="N29" s="3282"/>
      <c r="O29" s="3282"/>
      <c r="P29" s="3282"/>
      <c r="Q29" s="3282"/>
      <c r="R29" s="3282"/>
      <c r="S29" s="3283"/>
      <c r="T29" s="3296">
        <f>T28+Y28+AD28+AI28</f>
        <v>32714885</v>
      </c>
      <c r="U29" s="3297"/>
      <c r="V29" s="3297"/>
      <c r="W29" s="3297"/>
      <c r="X29" s="3297"/>
      <c r="Y29" s="3297"/>
      <c r="Z29" s="3297"/>
      <c r="AA29" s="3297"/>
      <c r="AB29" s="3297"/>
      <c r="AC29" s="3297"/>
      <c r="AD29" s="3297"/>
      <c r="AE29" s="3297"/>
      <c r="AF29" s="3297"/>
      <c r="AG29" s="3297"/>
      <c r="AH29" s="3297"/>
      <c r="AI29" s="3297"/>
      <c r="AJ29" s="3297"/>
      <c r="AK29" s="3297"/>
      <c r="AL29" s="3297"/>
      <c r="AM29" s="329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3" t="s">
        <v>1493</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3" t="s">
        <v>1492</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9" t="s">
        <v>1343</v>
      </c>
      <c r="Z35" s="3299"/>
      <c r="AA35" s="3299"/>
      <c r="AB35" s="3299"/>
      <c r="AC35" s="3299"/>
      <c r="AD35" s="3300" t="s">
        <v>380</v>
      </c>
      <c r="AE35" s="3300"/>
      <c r="AF35" s="3300"/>
      <c r="AG35" s="3300"/>
      <c r="AH35" s="330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9"/>
      <c r="Z36" s="3299"/>
      <c r="AA36" s="3299"/>
      <c r="AB36" s="3299"/>
      <c r="AC36" s="3299"/>
      <c r="AD36" s="3300"/>
      <c r="AE36" s="3300"/>
      <c r="AF36" s="3300"/>
      <c r="AG36" s="3300"/>
      <c r="AH36" s="330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9"/>
      <c r="Z37" s="3299"/>
      <c r="AA37" s="3299"/>
      <c r="AB37" s="3299"/>
      <c r="AC37" s="3299"/>
      <c r="AD37" s="3300"/>
      <c r="AE37" s="3300"/>
      <c r="AF37" s="3300"/>
      <c r="AG37" s="3300"/>
      <c r="AH37" s="330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32714885</v>
      </c>
      <c r="Z38" s="3301"/>
      <c r="AA38" s="3301"/>
      <c r="AB38" s="3301"/>
      <c r="AC38" s="3301"/>
      <c r="AD38" s="3301">
        <f>IF(T24&gt;=(T23+Y23+AD23+AI23),AD28+AI28,0)</f>
        <v>0</v>
      </c>
      <c r="AE38" s="3301"/>
      <c r="AF38" s="3301"/>
      <c r="AG38" s="3301"/>
      <c r="AH38" s="330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281" t="s">
        <v>2109</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1308595</v>
      </c>
      <c r="Z40" s="3301"/>
      <c r="AA40" s="3301"/>
      <c r="AB40" s="3301"/>
      <c r="AC40" s="3301"/>
      <c r="AD40" s="3298">
        <f>ROUND(AD38*AD39,0)</f>
        <v>0</v>
      </c>
      <c r="AE40" s="3301"/>
      <c r="AF40" s="3301"/>
      <c r="AG40" s="3301"/>
      <c r="AH40" s="330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1308595</v>
      </c>
      <c r="Z41" s="3347"/>
      <c r="AA41" s="3347"/>
      <c r="AB41" s="3347"/>
      <c r="AC41" s="3347"/>
      <c r="AD41" s="3347"/>
      <c r="AE41" s="3347"/>
      <c r="AF41" s="3347"/>
      <c r="AG41" s="3347"/>
      <c r="AH41" s="334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295" t="s">
        <v>1504</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9">
        <f>'Sources and Uses Budget'!B105-'Sources and Uses Budget'!B15</f>
        <v>36631567</v>
      </c>
      <c r="AC47" s="3290"/>
      <c r="AD47" s="3290"/>
      <c r="AE47" s="3290"/>
      <c r="AF47" s="329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9">
        <f>Application!AO649-MIN('Sources and Uses Budget'!B15,Application!AG394)</f>
        <v>21323382</v>
      </c>
      <c r="AC48" s="3290"/>
      <c r="AD48" s="3290"/>
      <c r="AE48" s="3290"/>
      <c r="AF48" s="329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9">
        <f>AB47-AB48</f>
        <v>15308185</v>
      </c>
      <c r="AC49" s="3290"/>
      <c r="AD49" s="3290"/>
      <c r="AE49" s="3290"/>
      <c r="AF49" s="329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7">
        <v>0.87</v>
      </c>
      <c r="AC50" s="3278"/>
      <c r="AD50" s="3278"/>
      <c r="AE50" s="3278"/>
      <c r="AF50" s="327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8" t="s">
        <v>2290</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9">
        <f>ROUND(IF(ISERROR((AB49/AB50)),0,(AB49/AB50)),0)</f>
        <v>17595615</v>
      </c>
      <c r="AC54" s="3290"/>
      <c r="AD54" s="3290"/>
      <c r="AE54" s="3290"/>
      <c r="AF54" s="329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9">
        <f>(AB54/10)</f>
        <v>1759561.5</v>
      </c>
      <c r="AC55" s="3290"/>
      <c r="AD55" s="3290"/>
      <c r="AE55" s="3290"/>
      <c r="AF55" s="329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2">
        <f>(IF((Y41&lt;AB55),Y41,AB55))</f>
        <v>1308595</v>
      </c>
      <c r="AC56" s="3293"/>
      <c r="AD56" s="3293"/>
      <c r="AE56" s="3293"/>
      <c r="AF56" s="329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9">
        <f>ROUND((10*AB56*AB50),0)</f>
        <v>11384777</v>
      </c>
      <c r="AC57" s="3290"/>
      <c r="AD57" s="3290"/>
      <c r="AE57" s="3290"/>
      <c r="AF57" s="329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3">
        <f>AB49-AB57</f>
        <v>3923408</v>
      </c>
      <c r="AC59" s="3273"/>
      <c r="AD59" s="3273"/>
      <c r="AE59" s="3273"/>
      <c r="AF59" s="327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84" t="s">
        <v>1065</v>
      </c>
      <c r="Z63" s="3284"/>
      <c r="AA63" s="3284"/>
      <c r="AB63" s="3284"/>
      <c r="AC63" s="3284"/>
      <c r="AD63" s="3284" t="s">
        <v>380</v>
      </c>
      <c r="AE63" s="3284"/>
      <c r="AF63" s="3284"/>
      <c r="AG63" s="3284"/>
      <c r="AH63" s="328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85">
        <f>IF(Application!Z204="(select)",0,((T23*T27)+Y28))</f>
        <v>32714885</v>
      </c>
      <c r="Z64" s="3286"/>
      <c r="AA64" s="3286"/>
      <c r="AB64" s="3286"/>
      <c r="AC64" s="3287"/>
      <c r="AD64" s="3285">
        <f>IF(AND(Application!AP204="yes",Application!M357="yes"),AD28+AI28,0)</f>
        <v>0</v>
      </c>
      <c r="AE64" s="3286"/>
      <c r="AF64" s="3286"/>
      <c r="AG64" s="3286"/>
      <c r="AH64" s="328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75">
        <f>ROUND(Y64*Y67,0)</f>
        <v>9814466</v>
      </c>
      <c r="Z68" s="3276"/>
      <c r="AA68" s="3276"/>
      <c r="AB68" s="3276"/>
      <c r="AC68" s="3276"/>
      <c r="AD68" s="3275" t="str">
        <f>IF(Application!D210="At-Risk",AD64*AD67,"$0")</f>
        <v>$0</v>
      </c>
      <c r="AE68" s="3276"/>
      <c r="AF68" s="3276"/>
      <c r="AG68" s="3276"/>
      <c r="AH68" s="327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7">
        <v>0.8</v>
      </c>
      <c r="AC71" s="3278"/>
      <c r="AD71" s="3278"/>
      <c r="AE71" s="3278"/>
      <c r="AF71" s="327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0" t="s">
        <v>1478</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8">
        <f>ROUND(IF(ISERROR((AB59/AB71)),0,(AB59/AB71)),0)</f>
        <v>4904260</v>
      </c>
      <c r="AC76" s="3268"/>
      <c r="AD76" s="3268"/>
      <c r="AE76" s="3268"/>
      <c r="AF76" s="326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9">
        <f>IF((Y68+AD68&lt;AB76),Y68+AD68,AB76)</f>
        <v>4904260</v>
      </c>
      <c r="AC77" s="3270"/>
      <c r="AD77" s="3270"/>
      <c r="AE77" s="3270"/>
      <c r="AF77" s="327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2">
        <f>AB77*AB71</f>
        <v>3923408</v>
      </c>
      <c r="AC78" s="3272"/>
      <c r="AD78" s="3272"/>
      <c r="AE78" s="3272"/>
      <c r="AF78" s="327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3">
        <f>AB49-(AB57+AB78)</f>
        <v>0</v>
      </c>
      <c r="AC80" s="3273"/>
      <c r="AD80" s="3273"/>
      <c r="AE80" s="3273"/>
      <c r="AF80" s="327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8" thickTop="1"/>
    <row r="85" spans="1:98" ht="13.2">
      <c r="A85" s="792"/>
      <c r="C85" s="334"/>
      <c r="Z85" s="617"/>
      <c r="AA85" s="617"/>
      <c r="AB85" s="617"/>
      <c r="AC85" s="617"/>
      <c r="AD85" s="617"/>
      <c r="AE85" s="617"/>
      <c r="AF85" s="617"/>
      <c r="AG85" s="617"/>
      <c r="AH85" s="617"/>
    </row>
    <row r="86" spans="1:98" ht="13.2">
      <c r="D86" s="334"/>
      <c r="Z86" s="617"/>
      <c r="AA86" s="617"/>
      <c r="AB86" s="3336"/>
      <c r="AC86" s="3336"/>
      <c r="AD86" s="3336"/>
      <c r="AE86" s="3336"/>
      <c r="AF86" s="3336"/>
      <c r="AG86" s="617"/>
      <c r="AH86" s="617"/>
    </row>
    <row r="87" spans="1:98" ht="13.8" thickBot="1">
      <c r="D87" s="334"/>
      <c r="Z87" s="617"/>
      <c r="AA87" s="617"/>
      <c r="AB87" s="3335"/>
      <c r="AC87" s="3335"/>
      <c r="AD87" s="3335"/>
      <c r="AE87" s="3335"/>
      <c r="AF87" s="333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54" sqref="E54"/>
    </sheetView>
  </sheetViews>
  <sheetFormatPr defaultColWidth="0" defaultRowHeight="13.2" zeroHeight="1"/>
  <cols>
    <col min="1" max="1" width="3.77734375" customWidth="1"/>
    <col min="2" max="2" width="27.77734375" customWidth="1"/>
    <col min="3" max="3" width="9.109375" style="347"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909672</v>
      </c>
      <c r="G4" s="354">
        <f>E4*$C$4</f>
        <v>932413.79999999993</v>
      </c>
      <c r="I4" s="354">
        <f>G4*$C$4</f>
        <v>955724.1449999999</v>
      </c>
      <c r="K4" s="354">
        <f>I4*$C$4</f>
        <v>979617.24862499977</v>
      </c>
      <c r="M4" s="354">
        <f>K4*$C$4</f>
        <v>1004107.6798406247</v>
      </c>
      <c r="O4" s="354">
        <f>M4*$C$4</f>
        <v>1029210.3718366402</v>
      </c>
      <c r="Q4" s="354">
        <f>O4*$C$4</f>
        <v>1054940.6311325561</v>
      </c>
      <c r="S4" s="354">
        <f>Q4*$C$4</f>
        <v>1081314.14691087</v>
      </c>
      <c r="U4" s="354">
        <f>S4*$C$4</f>
        <v>1108347.0005836417</v>
      </c>
      <c r="W4" s="354">
        <f>U4*$C$4</f>
        <v>1136055.6755982325</v>
      </c>
      <c r="Y4" s="354">
        <f>W4*$C$4</f>
        <v>1164457.0674881882</v>
      </c>
      <c r="AA4" s="354">
        <f>Y4*$C$4</f>
        <v>1193568.4941753927</v>
      </c>
      <c r="AC4" s="354">
        <f>AA4*$C$4</f>
        <v>1223407.7065297773</v>
      </c>
      <c r="AE4" s="354">
        <f>AC4*$C$4</f>
        <v>1253992.8991930217</v>
      </c>
      <c r="AG4" s="354">
        <f>AE4*$C$4</f>
        <v>1285342.7216728472</v>
      </c>
    </row>
    <row r="5" spans="1:34" s="339" customFormat="1" ht="13.8">
      <c r="B5" s="339" t="s">
        <v>901</v>
      </c>
      <c r="C5" s="375">
        <f>IF(Application!$D$210="Special Needs",0.1,0.05)</f>
        <v>0.05</v>
      </c>
      <c r="E5" s="356">
        <f>-E4*$C$5</f>
        <v>-45483.600000000006</v>
      </c>
      <c r="F5" s="356"/>
      <c r="G5" s="356">
        <f>-G4*$C$5</f>
        <v>-46620.69</v>
      </c>
      <c r="H5" s="356"/>
      <c r="I5" s="356">
        <f>-I4*$C$5</f>
        <v>-47786.207249999999</v>
      </c>
      <c r="J5" s="356"/>
      <c r="K5" s="356">
        <f>-K4*$C$5</f>
        <v>-48980.862431249989</v>
      </c>
      <c r="L5" s="356"/>
      <c r="M5" s="356">
        <f>-M4*$C$5</f>
        <v>-50205.383992031238</v>
      </c>
      <c r="N5" s="356"/>
      <c r="O5" s="356">
        <f>-O4*$C$5</f>
        <v>-51460.518591832013</v>
      </c>
      <c r="P5" s="356"/>
      <c r="Q5" s="356">
        <f>-Q4*$C$5</f>
        <v>-52747.031556627808</v>
      </c>
      <c r="R5" s="356"/>
      <c r="S5" s="356">
        <f>-S4*$C$5</f>
        <v>-54065.707345543502</v>
      </c>
      <c r="T5" s="356"/>
      <c r="U5" s="356">
        <f>-U4*$C$5</f>
        <v>-55417.350029182089</v>
      </c>
      <c r="V5" s="356"/>
      <c r="W5" s="356">
        <f>-W4*$C$5</f>
        <v>-56802.783779911631</v>
      </c>
      <c r="X5" s="356"/>
      <c r="Y5" s="356">
        <f>-Y4*$C$5</f>
        <v>-58222.853374409409</v>
      </c>
      <c r="Z5" s="356"/>
      <c r="AA5" s="356">
        <f>-AA4*$C$5</f>
        <v>-59678.424708769635</v>
      </c>
      <c r="AB5" s="356"/>
      <c r="AC5" s="356">
        <f>-AC4*$C$5</f>
        <v>-61170.385326488868</v>
      </c>
      <c r="AD5" s="356"/>
      <c r="AE5" s="356">
        <f>-AE4*$C$5</f>
        <v>-62699.644959651087</v>
      </c>
      <c r="AF5" s="356"/>
      <c r="AG5" s="356">
        <f>-AG4*$C$5</f>
        <v>-64267.136083642363</v>
      </c>
    </row>
    <row r="6" spans="1:34" s="339" customFormat="1" ht="13.8">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8">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8">
      <c r="A8" s="339" t="s">
        <v>296</v>
      </c>
      <c r="C8" s="374">
        <v>1.0249999999999999</v>
      </c>
      <c r="E8" s="357">
        <f>Application!Z815</f>
        <v>7872</v>
      </c>
      <c r="F8" s="357"/>
      <c r="G8" s="357">
        <f>E8*$C$8</f>
        <v>8068.7999999999993</v>
      </c>
      <c r="H8" s="357"/>
      <c r="I8" s="357">
        <f>G8*$C$8</f>
        <v>8270.5199999999986</v>
      </c>
      <c r="J8" s="357"/>
      <c r="K8" s="357">
        <f>I8*$C$8</f>
        <v>8477.2829999999976</v>
      </c>
      <c r="L8" s="357"/>
      <c r="M8" s="357">
        <f>K8*$C$8</f>
        <v>8689.2150749999964</v>
      </c>
      <c r="N8" s="357"/>
      <c r="O8" s="357">
        <f>M8*$C$8</f>
        <v>8906.4454518749953</v>
      </c>
      <c r="P8" s="357"/>
      <c r="Q8" s="357">
        <f>O8*$C$8</f>
        <v>9129.1065881718696</v>
      </c>
      <c r="R8" s="357"/>
      <c r="S8" s="357">
        <f>Q8*$C$8</f>
        <v>9357.3342528761659</v>
      </c>
      <c r="T8" s="357"/>
      <c r="U8" s="357">
        <f>S8*$C$8</f>
        <v>9591.2676091980684</v>
      </c>
      <c r="V8" s="357"/>
      <c r="W8" s="357">
        <f>U8*$C$8</f>
        <v>9831.0492994280194</v>
      </c>
      <c r="X8" s="357"/>
      <c r="Y8" s="357">
        <f>W8*$C$8</f>
        <v>10076.825531913719</v>
      </c>
      <c r="Z8" s="357"/>
      <c r="AA8" s="357">
        <f>Y8*$C$8</f>
        <v>10328.746170211562</v>
      </c>
      <c r="AB8" s="357"/>
      <c r="AC8" s="357">
        <f>AA8*$C$8</f>
        <v>10586.96482446685</v>
      </c>
      <c r="AD8" s="357"/>
      <c r="AE8" s="357">
        <f>AC8*$C$8</f>
        <v>10851.638945078519</v>
      </c>
      <c r="AF8" s="357"/>
      <c r="AG8" s="357">
        <f>AE8*$C$8</f>
        <v>11122.92991870548</v>
      </c>
    </row>
    <row r="9" spans="1:34" s="339" customFormat="1" ht="13.8">
      <c r="B9" s="339" t="s">
        <v>901</v>
      </c>
      <c r="C9" s="375">
        <f>IF(Application!$D$210="Special Needs",0.1,0.05)</f>
        <v>0.05</v>
      </c>
      <c r="E9" s="373">
        <f>-E8*$C$9</f>
        <v>-393.6</v>
      </c>
      <c r="F9" s="356"/>
      <c r="G9" s="373">
        <f>-G8*$C$9</f>
        <v>-403.44</v>
      </c>
      <c r="H9" s="356"/>
      <c r="I9" s="373">
        <f>-I8*$C$9</f>
        <v>-413.52599999999995</v>
      </c>
      <c r="J9" s="356"/>
      <c r="K9" s="373">
        <f>-K8*$C$9</f>
        <v>-423.86414999999988</v>
      </c>
      <c r="L9" s="356"/>
      <c r="M9" s="373">
        <f>-M8*$C$9</f>
        <v>-434.46075374999987</v>
      </c>
      <c r="N9" s="356"/>
      <c r="O9" s="373">
        <f>-O8*$C$9</f>
        <v>-445.3222725937498</v>
      </c>
      <c r="P9" s="356"/>
      <c r="Q9" s="373">
        <f>-Q8*$C$9</f>
        <v>-456.45532940859351</v>
      </c>
      <c r="R9" s="356"/>
      <c r="S9" s="373">
        <f>-S8*$C$9</f>
        <v>-467.86671264380834</v>
      </c>
      <c r="T9" s="356"/>
      <c r="U9" s="373">
        <f>-U8*$C$9</f>
        <v>-479.56338045990344</v>
      </c>
      <c r="V9" s="356"/>
      <c r="W9" s="373">
        <f>-W8*$C$9</f>
        <v>-491.55246497140098</v>
      </c>
      <c r="X9" s="356"/>
      <c r="Y9" s="373">
        <f>-Y8*$C$9</f>
        <v>-503.84127659568594</v>
      </c>
      <c r="Z9" s="356"/>
      <c r="AA9" s="373">
        <f>-AA8*$C$9</f>
        <v>-516.43730851057808</v>
      </c>
      <c r="AB9" s="356"/>
      <c r="AC9" s="373">
        <f>-AC8*$C$9</f>
        <v>-529.34824122334248</v>
      </c>
      <c r="AD9" s="356"/>
      <c r="AE9" s="373">
        <f>-AE8*$C$9</f>
        <v>-542.58194725392593</v>
      </c>
      <c r="AF9" s="356"/>
      <c r="AG9" s="373">
        <f>-AG8*$C$9</f>
        <v>-556.14649593527406</v>
      </c>
    </row>
    <row r="10" spans="1:34" s="358" customFormat="1" ht="13.8">
      <c r="A10" s="358" t="s">
        <v>922</v>
      </c>
      <c r="C10" s="349"/>
      <c r="E10" s="358">
        <f>SUM(E4:E9)</f>
        <v>871666.8</v>
      </c>
      <c r="G10" s="358">
        <f>SUM(G4:G9)</f>
        <v>893458.47</v>
      </c>
      <c r="I10" s="358">
        <f>SUM(I4:I9)</f>
        <v>915794.93174999999</v>
      </c>
      <c r="K10" s="358">
        <f>SUM(K4:K9)</f>
        <v>938689.80504374974</v>
      </c>
      <c r="M10" s="358">
        <f>SUM(M4:M9)</f>
        <v>962157.05016984337</v>
      </c>
      <c r="O10" s="358">
        <f>SUM(O4:O9)</f>
        <v>986210.9764240894</v>
      </c>
      <c r="Q10" s="358">
        <f>SUM(Q4:Q9)</f>
        <v>1010866.2508346916</v>
      </c>
      <c r="S10" s="358">
        <f>SUM(S4:S9)</f>
        <v>1036137.9071055588</v>
      </c>
      <c r="U10" s="358">
        <f>SUM(U4:U9)</f>
        <v>1062041.3547831979</v>
      </c>
      <c r="W10" s="358">
        <f>SUM(W4:W9)</f>
        <v>1088592.3886527775</v>
      </c>
      <c r="Y10" s="358">
        <f>SUM(Y4:Y9)</f>
        <v>1115807.1983690967</v>
      </c>
      <c r="AA10" s="358">
        <f>SUM(AA4:AA9)</f>
        <v>1143702.3783283241</v>
      </c>
      <c r="AC10" s="358">
        <f>SUM(AC4:AC9)</f>
        <v>1172294.9377865319</v>
      </c>
      <c r="AE10" s="358">
        <f>SUM(AE4:AE9)</f>
        <v>1201602.311231195</v>
      </c>
      <c r="AG10" s="358">
        <f>SUM(AG4:AG9)</f>
        <v>1231642.3690119751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37100</v>
      </c>
      <c r="G14" s="354">
        <f>E14*$C$13</f>
        <v>38398.5</v>
      </c>
      <c r="I14" s="354">
        <f>G14*$C$13</f>
        <v>39742.447499999995</v>
      </c>
      <c r="K14" s="354">
        <f>I14*$C$13</f>
        <v>41133.43316249999</v>
      </c>
      <c r="M14" s="354">
        <f>K14*$C$13</f>
        <v>42573.10332318749</v>
      </c>
      <c r="O14" s="354">
        <f>M14*$C$13</f>
        <v>44063.161939499048</v>
      </c>
      <c r="Q14" s="354">
        <f>O14*$C$13</f>
        <v>45605.372607381512</v>
      </c>
      <c r="S14" s="354">
        <f>Q14*$C$13</f>
        <v>47201.560648639861</v>
      </c>
      <c r="U14" s="354">
        <f>S14*$C$13</f>
        <v>48853.615271342249</v>
      </c>
      <c r="W14" s="354">
        <f>U14*$C$13</f>
        <v>50563.491805839221</v>
      </c>
      <c r="Y14" s="354">
        <f>W14*$C$13</f>
        <v>52333.214019043589</v>
      </c>
      <c r="AA14" s="354">
        <f>Y14*$C$13</f>
        <v>54164.876509710113</v>
      </c>
      <c r="AC14" s="354">
        <f>AA14*$C$13</f>
        <v>56060.647187549963</v>
      </c>
      <c r="AE14" s="354">
        <f>AC14*$C$13</f>
        <v>58022.769839114204</v>
      </c>
      <c r="AG14" s="354">
        <f>AE14*$C$13</f>
        <v>60053.566783483198</v>
      </c>
    </row>
    <row r="15" spans="1:34" s="339" customFormat="1" ht="13.8">
      <c r="A15" s="339" t="s">
        <v>354</v>
      </c>
      <c r="C15" s="368"/>
      <c r="E15" s="357">
        <f>Application!W847</f>
        <v>58056</v>
      </c>
      <c r="F15" s="357"/>
      <c r="G15" s="357">
        <f t="shared" ref="G15:AG20" si="0">E15*$C$13</f>
        <v>60087.959999999992</v>
      </c>
      <c r="H15" s="357"/>
      <c r="I15" s="357">
        <f t="shared" si="0"/>
        <v>62191.038599999985</v>
      </c>
      <c r="J15" s="357"/>
      <c r="K15" s="357">
        <f t="shared" si="0"/>
        <v>64367.724950999982</v>
      </c>
      <c r="L15" s="357"/>
      <c r="M15" s="357">
        <f t="shared" si="0"/>
        <v>66620.595324284979</v>
      </c>
      <c r="N15" s="357"/>
      <c r="O15" s="357">
        <f t="shared" si="0"/>
        <v>68952.316160634946</v>
      </c>
      <c r="P15" s="357"/>
      <c r="Q15" s="357">
        <f t="shared" si="0"/>
        <v>71365.647226257162</v>
      </c>
      <c r="R15" s="357"/>
      <c r="S15" s="357">
        <f t="shared" si="0"/>
        <v>73863.444879176153</v>
      </c>
      <c r="T15" s="357"/>
      <c r="U15" s="357">
        <f t="shared" si="0"/>
        <v>76448.665449947308</v>
      </c>
      <c r="V15" s="357"/>
      <c r="W15" s="357">
        <f t="shared" si="0"/>
        <v>79124.368740695456</v>
      </c>
      <c r="X15" s="357"/>
      <c r="Y15" s="357">
        <f t="shared" si="0"/>
        <v>81893.721646619786</v>
      </c>
      <c r="Z15" s="357"/>
      <c r="AA15" s="357">
        <f t="shared" si="0"/>
        <v>84760.001904251476</v>
      </c>
      <c r="AB15" s="357"/>
      <c r="AC15" s="357">
        <f t="shared" si="0"/>
        <v>87726.601970900272</v>
      </c>
      <c r="AD15" s="357"/>
      <c r="AE15" s="357">
        <f t="shared" si="0"/>
        <v>90797.033039881775</v>
      </c>
      <c r="AF15" s="357"/>
      <c r="AG15" s="357">
        <f t="shared" si="0"/>
        <v>93974.929196277633</v>
      </c>
    </row>
    <row r="16" spans="1:34" s="339" customFormat="1" ht="13.8">
      <c r="A16" s="339" t="s">
        <v>594</v>
      </c>
      <c r="C16" s="368"/>
      <c r="E16" s="357">
        <f>Application!W853</f>
        <v>71000</v>
      </c>
      <c r="F16" s="357"/>
      <c r="G16" s="357">
        <f t="shared" si="0"/>
        <v>73485</v>
      </c>
      <c r="H16" s="357"/>
      <c r="I16" s="357">
        <f t="shared" si="0"/>
        <v>76056.974999999991</v>
      </c>
      <c r="J16" s="357"/>
      <c r="K16" s="357">
        <f t="shared" si="0"/>
        <v>78718.969124999989</v>
      </c>
      <c r="L16" s="357"/>
      <c r="M16" s="357">
        <f t="shared" si="0"/>
        <v>81474.133044374976</v>
      </c>
      <c r="N16" s="357"/>
      <c r="O16" s="357">
        <f t="shared" si="0"/>
        <v>84325.727700928095</v>
      </c>
      <c r="P16" s="357"/>
      <c r="Q16" s="357">
        <f t="shared" si="0"/>
        <v>87277.128170460579</v>
      </c>
      <c r="R16" s="357"/>
      <c r="S16" s="357">
        <f t="shared" si="0"/>
        <v>90331.827656426685</v>
      </c>
      <c r="T16" s="357"/>
      <c r="U16" s="357">
        <f t="shared" si="0"/>
        <v>93493.441624401617</v>
      </c>
      <c r="V16" s="357"/>
      <c r="W16" s="357">
        <f t="shared" si="0"/>
        <v>96765.712081255668</v>
      </c>
      <c r="X16" s="357"/>
      <c r="Y16" s="357">
        <f t="shared" si="0"/>
        <v>100152.51200409961</v>
      </c>
      <c r="Z16" s="357"/>
      <c r="AA16" s="357">
        <f t="shared" si="0"/>
        <v>103657.84992424308</v>
      </c>
      <c r="AB16" s="357"/>
      <c r="AC16" s="357">
        <f t="shared" si="0"/>
        <v>107285.87467159159</v>
      </c>
      <c r="AD16" s="357"/>
      <c r="AE16" s="357">
        <f t="shared" si="0"/>
        <v>111040.88028509729</v>
      </c>
      <c r="AF16" s="357"/>
      <c r="AG16" s="357">
        <f t="shared" si="0"/>
        <v>114927.31109507568</v>
      </c>
    </row>
    <row r="17" spans="1:33" s="339" customFormat="1" ht="13.8">
      <c r="A17" s="339" t="s">
        <v>905</v>
      </c>
      <c r="C17" s="368"/>
      <c r="E17" s="357">
        <f>Application!W860</f>
        <v>134500</v>
      </c>
      <c r="F17" s="357"/>
      <c r="G17" s="357">
        <f t="shared" si="0"/>
        <v>139207.5</v>
      </c>
      <c r="H17" s="357"/>
      <c r="I17" s="357">
        <f t="shared" si="0"/>
        <v>144079.76249999998</v>
      </c>
      <c r="J17" s="357"/>
      <c r="K17" s="357">
        <f t="shared" si="0"/>
        <v>149122.55418749998</v>
      </c>
      <c r="L17" s="357"/>
      <c r="M17" s="357">
        <f t="shared" si="0"/>
        <v>154341.84358406247</v>
      </c>
      <c r="N17" s="357"/>
      <c r="O17" s="357">
        <f t="shared" si="0"/>
        <v>159743.80810950464</v>
      </c>
      <c r="P17" s="357"/>
      <c r="Q17" s="357">
        <f t="shared" si="0"/>
        <v>165334.84139333729</v>
      </c>
      <c r="R17" s="357"/>
      <c r="S17" s="357">
        <f t="shared" si="0"/>
        <v>171121.56084210408</v>
      </c>
      <c r="T17" s="357"/>
      <c r="U17" s="357">
        <f t="shared" si="0"/>
        <v>177110.81547157772</v>
      </c>
      <c r="V17" s="357"/>
      <c r="W17" s="357">
        <f t="shared" si="0"/>
        <v>183309.69401308292</v>
      </c>
      <c r="X17" s="357"/>
      <c r="Y17" s="357">
        <f t="shared" si="0"/>
        <v>189725.53330354081</v>
      </c>
      <c r="Z17" s="357"/>
      <c r="AA17" s="357">
        <f t="shared" si="0"/>
        <v>196365.92696916472</v>
      </c>
      <c r="AB17" s="357"/>
      <c r="AC17" s="357">
        <f t="shared" si="0"/>
        <v>203238.73441308548</v>
      </c>
      <c r="AD17" s="357"/>
      <c r="AE17" s="357">
        <f t="shared" si="0"/>
        <v>210352.09011754344</v>
      </c>
      <c r="AF17" s="357"/>
      <c r="AG17" s="357">
        <f t="shared" si="0"/>
        <v>217714.41327165745</v>
      </c>
    </row>
    <row r="18" spans="1:33" s="339" customFormat="1" ht="13.8">
      <c r="A18" s="339" t="s">
        <v>160</v>
      </c>
      <c r="C18" s="368"/>
      <c r="E18" s="357">
        <f>Application!W861</f>
        <v>26500</v>
      </c>
      <c r="F18" s="357"/>
      <c r="G18" s="357">
        <f t="shared" si="0"/>
        <v>27427.499999999996</v>
      </c>
      <c r="H18" s="357"/>
      <c r="I18" s="357">
        <f t="shared" si="0"/>
        <v>28387.462499999994</v>
      </c>
      <c r="J18" s="357"/>
      <c r="K18" s="357">
        <f t="shared" si="0"/>
        <v>29381.02368749999</v>
      </c>
      <c r="L18" s="357"/>
      <c r="M18" s="357">
        <f t="shared" si="0"/>
        <v>30409.359516562487</v>
      </c>
      <c r="N18" s="357"/>
      <c r="O18" s="357">
        <f t="shared" si="0"/>
        <v>31473.687099642171</v>
      </c>
      <c r="P18" s="357"/>
      <c r="Q18" s="357">
        <f t="shared" si="0"/>
        <v>32575.266148129645</v>
      </c>
      <c r="R18" s="357"/>
      <c r="S18" s="357">
        <f t="shared" si="0"/>
        <v>33715.400463314181</v>
      </c>
      <c r="T18" s="357"/>
      <c r="U18" s="357">
        <f t="shared" si="0"/>
        <v>34895.439479530178</v>
      </c>
      <c r="V18" s="357"/>
      <c r="W18" s="357">
        <f t="shared" si="0"/>
        <v>36116.779861313735</v>
      </c>
      <c r="X18" s="357"/>
      <c r="Y18" s="357">
        <f t="shared" si="0"/>
        <v>37380.86715645971</v>
      </c>
      <c r="Z18" s="357"/>
      <c r="AA18" s="357">
        <f t="shared" si="0"/>
        <v>38689.197506935794</v>
      </c>
      <c r="AB18" s="357"/>
      <c r="AC18" s="357">
        <f t="shared" si="0"/>
        <v>40043.319419678541</v>
      </c>
      <c r="AD18" s="357"/>
      <c r="AE18" s="357">
        <f t="shared" si="0"/>
        <v>41444.835599367289</v>
      </c>
      <c r="AF18" s="357"/>
      <c r="AG18" s="357">
        <f t="shared" si="0"/>
        <v>42895.40484534514</v>
      </c>
    </row>
    <row r="19" spans="1:33" s="339" customFormat="1" ht="13.8">
      <c r="A19" s="339" t="s">
        <v>409</v>
      </c>
      <c r="C19" s="368"/>
      <c r="E19" s="357">
        <f>Application!W870</f>
        <v>120093</v>
      </c>
      <c r="F19" s="357"/>
      <c r="G19" s="357">
        <f t="shared" si="0"/>
        <v>124296.25499999999</v>
      </c>
      <c r="H19" s="357"/>
      <c r="I19" s="357">
        <f t="shared" si="0"/>
        <v>128646.62392499998</v>
      </c>
      <c r="J19" s="357"/>
      <c r="K19" s="357">
        <f t="shared" si="0"/>
        <v>133149.25576237496</v>
      </c>
      <c r="L19" s="357"/>
      <c r="M19" s="357">
        <f t="shared" si="0"/>
        <v>137809.47971405808</v>
      </c>
      <c r="N19" s="357"/>
      <c r="O19" s="357">
        <f t="shared" si="0"/>
        <v>142632.8115040501</v>
      </c>
      <c r="P19" s="357"/>
      <c r="Q19" s="357">
        <f t="shared" si="0"/>
        <v>147624.95990669183</v>
      </c>
      <c r="R19" s="357"/>
      <c r="S19" s="357">
        <f t="shared" si="0"/>
        <v>152791.83350342602</v>
      </c>
      <c r="T19" s="357"/>
      <c r="U19" s="357">
        <f t="shared" si="0"/>
        <v>158139.54767604591</v>
      </c>
      <c r="V19" s="357"/>
      <c r="W19" s="357">
        <f t="shared" si="0"/>
        <v>163674.43184470752</v>
      </c>
      <c r="X19" s="357"/>
      <c r="Y19" s="357">
        <f t="shared" si="0"/>
        <v>169403.03695927226</v>
      </c>
      <c r="Z19" s="357"/>
      <c r="AA19" s="357">
        <f t="shared" si="0"/>
        <v>175332.14325284678</v>
      </c>
      <c r="AB19" s="357"/>
      <c r="AC19" s="357">
        <f t="shared" si="0"/>
        <v>181468.7682666964</v>
      </c>
      <c r="AD19" s="357"/>
      <c r="AE19" s="357">
        <f t="shared" si="0"/>
        <v>187820.17515603075</v>
      </c>
      <c r="AF19" s="357"/>
      <c r="AG19" s="357">
        <f t="shared" si="0"/>
        <v>194393.88128649181</v>
      </c>
    </row>
    <row r="20" spans="1:33" s="339" customFormat="1" ht="13.8">
      <c r="A20" s="361" t="s">
        <v>1041</v>
      </c>
      <c r="B20" s="361"/>
      <c r="C20" s="368"/>
      <c r="E20" s="367">
        <f>Application!W877</f>
        <v>1225</v>
      </c>
      <c r="F20" s="357"/>
      <c r="G20" s="367">
        <f t="shared" si="0"/>
        <v>1267.875</v>
      </c>
      <c r="H20" s="357"/>
      <c r="I20" s="367">
        <f t="shared" si="0"/>
        <v>1312.2506249999999</v>
      </c>
      <c r="J20" s="357"/>
      <c r="K20" s="367">
        <f t="shared" si="0"/>
        <v>1358.1793968749998</v>
      </c>
      <c r="L20" s="357"/>
      <c r="M20" s="367">
        <f t="shared" si="0"/>
        <v>1405.7156757656248</v>
      </c>
      <c r="N20" s="357"/>
      <c r="O20" s="367">
        <f t="shared" si="0"/>
        <v>1454.9157244174216</v>
      </c>
      <c r="P20" s="357"/>
      <c r="Q20" s="367">
        <f t="shared" si="0"/>
        <v>1505.8377747720313</v>
      </c>
      <c r="R20" s="357"/>
      <c r="S20" s="367">
        <f t="shared" si="0"/>
        <v>1558.5420968890521</v>
      </c>
      <c r="T20" s="357"/>
      <c r="U20" s="367">
        <f t="shared" si="0"/>
        <v>1613.0910702801689</v>
      </c>
      <c r="V20" s="357"/>
      <c r="W20" s="367">
        <f t="shared" si="0"/>
        <v>1669.5492577399746</v>
      </c>
      <c r="X20" s="357"/>
      <c r="Y20" s="367">
        <f t="shared" si="0"/>
        <v>1727.9834817608735</v>
      </c>
      <c r="Z20" s="357"/>
      <c r="AA20" s="367">
        <f t="shared" si="0"/>
        <v>1788.462903622504</v>
      </c>
      <c r="AB20" s="357"/>
      <c r="AC20" s="367">
        <f t="shared" si="0"/>
        <v>1851.0591052492914</v>
      </c>
      <c r="AD20" s="357"/>
      <c r="AE20" s="367">
        <f t="shared" si="0"/>
        <v>1915.8461739330164</v>
      </c>
      <c r="AF20" s="357"/>
      <c r="AG20" s="367">
        <f t="shared" si="0"/>
        <v>1982.9007900206718</v>
      </c>
    </row>
    <row r="21" spans="1:33" s="358" customFormat="1" ht="13.8">
      <c r="A21" s="358" t="s">
        <v>906</v>
      </c>
      <c r="C21" s="368"/>
      <c r="E21" s="358">
        <f>SUM(E14:E20)</f>
        <v>448474</v>
      </c>
      <c r="G21" s="358">
        <f>SUM(G14:G20)</f>
        <v>464170.58999999997</v>
      </c>
      <c r="I21" s="358">
        <f>SUM(I14:I20)</f>
        <v>480416.56064999988</v>
      </c>
      <c r="K21" s="358">
        <f>SUM(K14:K20)</f>
        <v>497231.14027274994</v>
      </c>
      <c r="M21" s="358">
        <f>SUM(M14:M20)</f>
        <v>514634.23018229613</v>
      </c>
      <c r="O21" s="358">
        <f>SUM(O14:O20)</f>
        <v>532646.4282386764</v>
      </c>
      <c r="Q21" s="358">
        <f>SUM(Q14:Q20)</f>
        <v>551289.05322703009</v>
      </c>
      <c r="S21" s="358">
        <f>SUM(S14:S20)</f>
        <v>570584.17008997605</v>
      </c>
      <c r="U21" s="358">
        <f>SUM(U14:U20)</f>
        <v>590554.61604312516</v>
      </c>
      <c r="W21" s="358">
        <f>SUM(W14:W20)</f>
        <v>611224.02760463452</v>
      </c>
      <c r="Y21" s="358">
        <f>SUM(Y14:Y20)</f>
        <v>632616.86857079656</v>
      </c>
      <c r="AA21" s="358">
        <f>SUM(AA14:AA20)</f>
        <v>654758.45897077455</v>
      </c>
      <c r="AC21" s="358">
        <f>SUM(AC14:AC20)</f>
        <v>677675.00503475149</v>
      </c>
      <c r="AE21" s="358">
        <f>SUM(AE14:AE20)</f>
        <v>701393.63021096773</v>
      </c>
      <c r="AG21" s="358">
        <f>SUM(AG14:AG20)</f>
        <v>725942.40726835176</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3.8">
      <c r="A27" s="339" t="s">
        <v>909</v>
      </c>
      <c r="C27" s="376"/>
      <c r="E27" s="357">
        <f>Application!AC887</f>
        <v>41000</v>
      </c>
      <c r="F27" s="357"/>
      <c r="G27" s="357">
        <f>$E$27</f>
        <v>41000</v>
      </c>
      <c r="H27" s="357"/>
      <c r="I27" s="357">
        <f>$E$27</f>
        <v>41000</v>
      </c>
      <c r="J27" s="357"/>
      <c r="K27" s="357">
        <f>$E$27</f>
        <v>41000</v>
      </c>
      <c r="L27" s="357"/>
      <c r="M27" s="357">
        <f>$E$27</f>
        <v>41000</v>
      </c>
      <c r="N27" s="357"/>
      <c r="O27" s="357">
        <f>$E$27</f>
        <v>41000</v>
      </c>
      <c r="P27" s="357"/>
      <c r="Q27" s="357">
        <f>$E$27</f>
        <v>41000</v>
      </c>
      <c r="R27" s="357"/>
      <c r="S27" s="357">
        <f>$E$27</f>
        <v>41000</v>
      </c>
      <c r="T27" s="357"/>
      <c r="U27" s="357">
        <f>$E$27</f>
        <v>41000</v>
      </c>
      <c r="V27" s="357"/>
      <c r="W27" s="357">
        <f>$E$27</f>
        <v>41000</v>
      </c>
      <c r="X27" s="357"/>
      <c r="Y27" s="357">
        <f>$E$27</f>
        <v>41000</v>
      </c>
      <c r="Z27" s="357"/>
      <c r="AA27" s="357">
        <f>$E$27</f>
        <v>41000</v>
      </c>
      <c r="AB27" s="357"/>
      <c r="AC27" s="357">
        <f>$E$27</f>
        <v>41000</v>
      </c>
      <c r="AD27" s="357"/>
      <c r="AE27" s="357">
        <f>$E$27</f>
        <v>41000</v>
      </c>
      <c r="AF27" s="357"/>
      <c r="AG27" s="357">
        <f>$E$27</f>
        <v>41000</v>
      </c>
    </row>
    <row r="28" spans="1:33" s="339" customFormat="1" ht="13.8">
      <c r="A28" s="339" t="s">
        <v>2095</v>
      </c>
      <c r="C28" s="374"/>
      <c r="E28" s="357">
        <f>Application!AC888</f>
        <v>54600</v>
      </c>
      <c r="F28" s="357"/>
      <c r="G28" s="357">
        <f>$E$28</f>
        <v>54600</v>
      </c>
      <c r="H28" s="357"/>
      <c r="I28" s="357">
        <f>$E$28</f>
        <v>54600</v>
      </c>
      <c r="J28" s="357"/>
      <c r="K28" s="357">
        <f>$E$28</f>
        <v>54600</v>
      </c>
      <c r="L28" s="357"/>
      <c r="M28" s="357">
        <f>$E$28</f>
        <v>54600</v>
      </c>
      <c r="N28" s="357"/>
      <c r="O28" s="357">
        <f>$E$28</f>
        <v>54600</v>
      </c>
      <c r="P28" s="357"/>
      <c r="Q28" s="357">
        <f>$E$28</f>
        <v>54600</v>
      </c>
      <c r="R28" s="357"/>
      <c r="S28" s="357">
        <f>$E$28</f>
        <v>54600</v>
      </c>
      <c r="T28" s="357"/>
      <c r="U28" s="357">
        <f>$E$28</f>
        <v>54600</v>
      </c>
      <c r="V28" s="357"/>
      <c r="W28" s="357">
        <f>$E$28</f>
        <v>54600</v>
      </c>
      <c r="X28" s="357"/>
      <c r="Y28" s="357">
        <f>$E$28</f>
        <v>54600</v>
      </c>
      <c r="Z28" s="357"/>
      <c r="AA28" s="357">
        <f>$E$28</f>
        <v>54600</v>
      </c>
      <c r="AB28" s="357"/>
      <c r="AC28" s="357">
        <f>$E$28</f>
        <v>54600</v>
      </c>
      <c r="AD28" s="357"/>
      <c r="AE28" s="357">
        <f>$E$28</f>
        <v>54600</v>
      </c>
      <c r="AF28" s="357"/>
      <c r="AG28" s="357">
        <f>$E$28</f>
        <v>54600</v>
      </c>
    </row>
    <row r="29" spans="1:33" s="339" customFormat="1" ht="13.8">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3.8">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566574</v>
      </c>
      <c r="G34" s="358">
        <f>SUM(G21:G32)</f>
        <v>583020.59</v>
      </c>
      <c r="I34" s="358">
        <f>SUM(I21:I32)</f>
        <v>600042.06064999988</v>
      </c>
      <c r="K34" s="358">
        <f>SUM(K21:K32)</f>
        <v>617658.51777275</v>
      </c>
      <c r="M34" s="358">
        <f>SUM(M21:M32)</f>
        <v>635890.77059479605</v>
      </c>
      <c r="O34" s="358">
        <f>SUM(O21:O32)</f>
        <v>654760.35635961383</v>
      </c>
      <c r="Q34" s="358">
        <f>SUM(Q21:Q32)</f>
        <v>674289.56580208044</v>
      </c>
      <c r="S34" s="358">
        <f>SUM(S21:S32)</f>
        <v>694501.46951443073</v>
      </c>
      <c r="U34" s="358">
        <f>SUM(U21:U32)</f>
        <v>715419.94523489894</v>
      </c>
      <c r="W34" s="358">
        <f>SUM(W21:W32)</f>
        <v>737069.70609133272</v>
      </c>
      <c r="Y34" s="358">
        <f>SUM(Y21:Y32)</f>
        <v>759476.32983320591</v>
      </c>
      <c r="AA34" s="358">
        <f>SUM(AA21:AA32)</f>
        <v>782666.28908661834</v>
      </c>
      <c r="AC34" s="358">
        <f>SUM(AC21:AC32)</f>
        <v>806666.98266808502</v>
      </c>
      <c r="AE34" s="358">
        <f>SUM(AE21:AE32)</f>
        <v>831506.76799417182</v>
      </c>
      <c r="AG34" s="358">
        <f>SUM(AG21:AG32)</f>
        <v>857214.99462532601</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305092.80000000005</v>
      </c>
      <c r="G36" s="358">
        <f>G10-G34</f>
        <v>310437.88</v>
      </c>
      <c r="I36" s="358">
        <f>I10-I34</f>
        <v>315752.87110000011</v>
      </c>
      <c r="K36" s="358">
        <f>K10-K34</f>
        <v>321031.28727099975</v>
      </c>
      <c r="M36" s="358">
        <f>M10-M34</f>
        <v>326266.27957504732</v>
      </c>
      <c r="O36" s="358">
        <f>O10-O34</f>
        <v>331450.62006447557</v>
      </c>
      <c r="Q36" s="358">
        <f>Q10-Q34</f>
        <v>336576.68503261113</v>
      </c>
      <c r="S36" s="358">
        <f>S10-S34</f>
        <v>341636.43759112805</v>
      </c>
      <c r="U36" s="358">
        <f>U10-U34</f>
        <v>346621.40954829892</v>
      </c>
      <c r="W36" s="358">
        <f>W10-W34</f>
        <v>351522.68256144482</v>
      </c>
      <c r="Y36" s="358">
        <f>Y10-Y34</f>
        <v>356330.86853589083</v>
      </c>
      <c r="AA36" s="358">
        <f>AA10-AA34</f>
        <v>361036.08924170572</v>
      </c>
      <c r="AC36" s="358">
        <f>AC10-AC34</f>
        <v>365627.95511844684</v>
      </c>
      <c r="AE36" s="358">
        <f>AE10-AE34</f>
        <v>370095.54323702317</v>
      </c>
      <c r="AG36" s="358">
        <f>AG10-AG34</f>
        <v>374427.37438664911</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 Capital</v>
      </c>
      <c r="B39" s="361"/>
      <c r="C39" s="355"/>
      <c r="E39" s="357">
        <f>Application!AF637</f>
        <v>263983</v>
      </c>
      <c r="F39" s="357"/>
      <c r="G39" s="357">
        <f>$E$39</f>
        <v>263983</v>
      </c>
      <c r="H39" s="357"/>
      <c r="I39" s="357">
        <f>$E$39</f>
        <v>263983</v>
      </c>
      <c r="J39" s="357"/>
      <c r="K39" s="357">
        <f>$E$39</f>
        <v>263983</v>
      </c>
      <c r="L39" s="357"/>
      <c r="M39" s="357">
        <f>$E$39</f>
        <v>263983</v>
      </c>
      <c r="N39" s="357"/>
      <c r="O39" s="357">
        <f>$E$39</f>
        <v>263983</v>
      </c>
      <c r="P39" s="357"/>
      <c r="Q39" s="357">
        <f>$E$39</f>
        <v>263983</v>
      </c>
      <c r="R39" s="357"/>
      <c r="S39" s="357">
        <f>$E$39</f>
        <v>263983</v>
      </c>
      <c r="T39" s="357"/>
      <c r="U39" s="357">
        <f>$E$39</f>
        <v>263983</v>
      </c>
      <c r="V39" s="357"/>
      <c r="W39" s="357">
        <f>$E$39</f>
        <v>263983</v>
      </c>
      <c r="X39" s="357"/>
      <c r="Y39" s="357">
        <f>$E$39</f>
        <v>263983</v>
      </c>
      <c r="Z39" s="357"/>
      <c r="AA39" s="357">
        <f>$E$39</f>
        <v>263983</v>
      </c>
      <c r="AB39" s="357"/>
      <c r="AC39" s="357">
        <f>$E$39</f>
        <v>263983</v>
      </c>
      <c r="AD39" s="357"/>
      <c r="AE39" s="357">
        <f>$E$39</f>
        <v>263983</v>
      </c>
      <c r="AF39" s="357"/>
      <c r="AG39" s="357">
        <f>$E$39</f>
        <v>263983</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263983</v>
      </c>
      <c r="G42" s="358">
        <f>SUM(G39:G41)</f>
        <v>263983</v>
      </c>
      <c r="I42" s="358">
        <f>SUM(I39:I41)</f>
        <v>263983</v>
      </c>
      <c r="K42" s="358">
        <f>SUM(K39:K41)</f>
        <v>263983</v>
      </c>
      <c r="M42" s="358">
        <f>SUM(M39:M41)</f>
        <v>263983</v>
      </c>
      <c r="O42" s="358">
        <f>SUM(O39:O41)</f>
        <v>263983</v>
      </c>
      <c r="Q42" s="358">
        <f>SUM(Q39:Q41)</f>
        <v>263983</v>
      </c>
      <c r="S42" s="358">
        <f>SUM(S39:S41)</f>
        <v>263983</v>
      </c>
      <c r="U42" s="358">
        <f>SUM(U39:U41)</f>
        <v>263983</v>
      </c>
      <c r="W42" s="358">
        <f>SUM(W39:W41)</f>
        <v>263983</v>
      </c>
      <c r="Y42" s="358">
        <f>SUM(Y39:Y41)</f>
        <v>263983</v>
      </c>
      <c r="AA42" s="358">
        <f>SUM(AA39:AA41)</f>
        <v>263983</v>
      </c>
      <c r="AC42" s="358">
        <f>SUM(AC39:AC41)</f>
        <v>263983</v>
      </c>
      <c r="AE42" s="358">
        <f>SUM(AE39:AE41)</f>
        <v>263983</v>
      </c>
      <c r="AG42" s="358">
        <f>SUM(AG39:AG41)</f>
        <v>263983</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41109.800000000047</v>
      </c>
      <c r="G44" s="358">
        <f>G36-G42</f>
        <v>46454.880000000005</v>
      </c>
      <c r="I44" s="358">
        <f>I36-I42</f>
        <v>51769.871100000106</v>
      </c>
      <c r="K44" s="358">
        <f>K36-K42</f>
        <v>57048.287270999746</v>
      </c>
      <c r="M44" s="358">
        <f>M36-M42</f>
        <v>62283.279575047316</v>
      </c>
      <c r="O44" s="358">
        <f>O36-O42</f>
        <v>67467.620064475574</v>
      </c>
      <c r="Q44" s="358">
        <f>Q36-Q42</f>
        <v>72593.685032611131</v>
      </c>
      <c r="S44" s="358">
        <f>S36-S42</f>
        <v>77653.437591128051</v>
      </c>
      <c r="U44" s="358">
        <f>U36-U42</f>
        <v>82638.409548298921</v>
      </c>
      <c r="W44" s="358">
        <f>W36-W42</f>
        <v>87539.682561444817</v>
      </c>
      <c r="Y44" s="358">
        <f>Y36-Y42</f>
        <v>92347.868535890826</v>
      </c>
      <c r="AA44" s="358">
        <f>AA36-AA42</f>
        <v>97053.089241705718</v>
      </c>
      <c r="AC44" s="358">
        <f>AC36-AC42</f>
        <v>101644.95511844684</v>
      </c>
      <c r="AE44" s="358">
        <f>AE36-AE42</f>
        <v>106112.54323702317</v>
      </c>
      <c r="AG44" s="358">
        <f>AG36-AG42</f>
        <v>110444.37438664911</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4.4804172878902863E-2</v>
      </c>
      <c r="G46" s="362">
        <f>G44/(G4+G6+G8)</f>
        <v>4.9394725644047011E-2</v>
      </c>
      <c r="I46" s="362">
        <f>I44/(I4+I6+I8)</f>
        <v>5.3703482995935574E-2</v>
      </c>
      <c r="K46" s="362">
        <f>K44/(K4+K6+K8)</f>
        <v>5.7735657313252524E-2</v>
      </c>
      <c r="M46" s="362">
        <f>M44/(M4+M6+M8)</f>
        <v>6.149631766025121E-2</v>
      </c>
      <c r="O46" s="362">
        <f>O44/(O4+O6+O8)</f>
        <v>6.4990393124249771E-2</v>
      </c>
      <c r="Q46" s="362">
        <f>Q44/(Q4+Q6+Q8)</f>
        <v>6.8222676070188004E-2</v>
      </c>
      <c r="S46" s="362">
        <f>S44/(S4+S6+S8)</f>
        <v>7.1197825314247565E-2</v>
      </c>
      <c r="U46" s="362">
        <f>U44/(U4+U6+U8)</f>
        <v>7.3920369218494389E-2</v>
      </c>
      <c r="W46" s="362">
        <f>W44/(W4+W6+W8)</f>
        <v>7.6394708708457201E-2</v>
      </c>
      <c r="Y46" s="362">
        <f>Y44/(Y4+Y6+Y8)</f>
        <v>7.8625120215505204E-2</v>
      </c>
      <c r="AA46" s="362">
        <f>AA44/(AA4+AA6+AA8)</f>
        <v>8.0615758545841146E-2</v>
      </c>
      <c r="AC46" s="362">
        <f>AC44/(AC4+AC6+AC8)</f>
        <v>8.2370659677887328E-2</v>
      </c>
      <c r="AE46" s="362">
        <f>AE44/(AE4+AE6+AE8)</f>
        <v>8.3893743489792755E-2</v>
      </c>
      <c r="AG46" s="362">
        <f>AG44/(AG4+AG6+AG8)</f>
        <v>8.5188816418750951E-2</v>
      </c>
    </row>
    <row r="47" spans="1:33" s="362" customFormat="1" ht="13.8">
      <c r="A47" s="362" t="s">
        <v>915</v>
      </c>
      <c r="C47" s="355"/>
      <c r="E47" s="362">
        <f>E44/E42</f>
        <v>0.15572896739562792</v>
      </c>
      <c r="G47" s="362">
        <f>G44/G42</f>
        <v>0.17597678638397171</v>
      </c>
      <c r="I47" s="362">
        <f>I44/I42</f>
        <v>0.19611062492660553</v>
      </c>
      <c r="K47" s="362">
        <f>K44/K42</f>
        <v>0.21610591314970945</v>
      </c>
      <c r="M47" s="362">
        <f>M44/M42</f>
        <v>0.23593670643582093</v>
      </c>
      <c r="O47" s="362">
        <f>O44/O42</f>
        <v>0.25557562443216258</v>
      </c>
      <c r="Q47" s="362">
        <f>Q44/Q42</f>
        <v>0.27499378760227411</v>
      </c>
      <c r="S47" s="362">
        <f>S44/S42</f>
        <v>0.29416075122688978</v>
      </c>
      <c r="U47" s="362">
        <f>U44/U42</f>
        <v>0.31304443675652949</v>
      </c>
      <c r="W47" s="362">
        <f>W44/W42</f>
        <v>0.33161106041466615</v>
      </c>
      <c r="Y47" s="362">
        <f>Y44/Y42</f>
        <v>0.34982505894656407</v>
      </c>
      <c r="AA47" s="362">
        <f>AA44/AA42</f>
        <v>0.36764901240498715</v>
      </c>
      <c r="AC47" s="362">
        <f>AC44/AC42</f>
        <v>0.38504356385997146</v>
      </c>
      <c r="AE47" s="362">
        <f>AE44/AE42</f>
        <v>0.40196733591565809</v>
      </c>
      <c r="AG47" s="362">
        <f>AG44/AG42</f>
        <v>0.41837684391286223</v>
      </c>
    </row>
    <row r="48" spans="1:33" s="363" customFormat="1" ht="13.8">
      <c r="A48" s="363" t="s">
        <v>913</v>
      </c>
      <c r="C48" s="364"/>
      <c r="E48" s="363">
        <f>E36/E42</f>
        <v>1.1557289673956279</v>
      </c>
      <c r="G48" s="363">
        <f>G36/G42</f>
        <v>1.1759767863839716</v>
      </c>
      <c r="I48" s="363">
        <f>I36/I42</f>
        <v>1.1961106249266056</v>
      </c>
      <c r="K48" s="363">
        <f>K36/K42</f>
        <v>1.2161059131497094</v>
      </c>
      <c r="M48" s="363">
        <f>M36/M42</f>
        <v>1.2359367064358209</v>
      </c>
      <c r="O48" s="363">
        <f>O36/O42</f>
        <v>1.2555756244321625</v>
      </c>
      <c r="Q48" s="363">
        <f>Q36/Q42</f>
        <v>1.2749937876022741</v>
      </c>
      <c r="S48" s="363">
        <f>S36/S42</f>
        <v>1.2941607512268898</v>
      </c>
      <c r="U48" s="363">
        <f>U36/U42</f>
        <v>1.3130444367565295</v>
      </c>
      <c r="W48" s="363">
        <f>W36/W42</f>
        <v>1.3316110604146663</v>
      </c>
      <c r="Y48" s="363">
        <f>Y36/Y42</f>
        <v>1.3498250589465641</v>
      </c>
      <c r="AA48" s="363">
        <f>AA36/AA42</f>
        <v>1.3676490124049872</v>
      </c>
      <c r="AC48" s="363">
        <f>AC36/AC42</f>
        <v>1.3850435638599714</v>
      </c>
      <c r="AE48" s="363">
        <f>AE36/AE42</f>
        <v>1.4019673359156581</v>
      </c>
      <c r="AG48" s="363">
        <f>AG36/AG42</f>
        <v>1.4183768439128623</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1" t="s">
        <v>1381</v>
      </c>
      <c r="B51" s="3351"/>
      <c r="C51" s="335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v>10000</v>
      </c>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v>7500</v>
      </c>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17500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23609.800000000047</v>
      </c>
      <c r="G59" s="1580">
        <f>G44-G57</f>
        <v>46454.880000000005</v>
      </c>
      <c r="I59" s="1580">
        <f>I44-I57</f>
        <v>51769.871100000106</v>
      </c>
      <c r="K59" s="1580">
        <f>K44-K57</f>
        <v>57048.287270999746</v>
      </c>
      <c r="M59" s="1580">
        <f>M44-M57</f>
        <v>62283.279575047316</v>
      </c>
      <c r="O59" s="1580">
        <f>O44-O57</f>
        <v>67467.620064475574</v>
      </c>
      <c r="Q59" s="1580">
        <f>Q44-Q57</f>
        <v>72593.685032611131</v>
      </c>
      <c r="S59" s="1580">
        <f>S44-S57</f>
        <v>77653.437591128051</v>
      </c>
      <c r="U59" s="1580">
        <f>U44-U57</f>
        <v>82638.409548298921</v>
      </c>
      <c r="W59" s="1580">
        <f>W44-W57</f>
        <v>87539.682561444817</v>
      </c>
      <c r="Y59" s="1580">
        <f>Y44-Y57</f>
        <v>92347.868535890826</v>
      </c>
      <c r="AA59" s="1580">
        <f>AA44-AA57</f>
        <v>97053.089241705718</v>
      </c>
      <c r="AC59" s="1580">
        <f>AC44-AC57</f>
        <v>101644.95511844684</v>
      </c>
      <c r="AE59" s="1580">
        <f>AE44-AE57</f>
        <v>106112.54323702317</v>
      </c>
      <c r="AG59" s="1580">
        <f>AG44-AG57</f>
        <v>110444.37438664911</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0.5</v>
      </c>
      <c r="E61" s="1582">
        <f>E59*$C$61</f>
        <v>11804.900000000023</v>
      </c>
      <c r="G61" s="1588">
        <f>G59*$C$61</f>
        <v>23227.440000000002</v>
      </c>
      <c r="H61" s="1588"/>
      <c r="I61" s="1588">
        <f>I59*$C$61</f>
        <v>25884.935550000053</v>
      </c>
      <c r="J61" s="1588"/>
      <c r="K61" s="1588">
        <f>K59*$C$61</f>
        <v>28524.143635499873</v>
      </c>
      <c r="L61" s="1588"/>
      <c r="M61" s="1588">
        <f>M59*$C$61</f>
        <v>31141.639787523658</v>
      </c>
      <c r="N61" s="1588"/>
      <c r="O61" s="1588">
        <f>O59*$C$61</f>
        <v>33733.810032237787</v>
      </c>
      <c r="P61" s="1588"/>
      <c r="Q61" s="1588">
        <f>Q59*$C$61</f>
        <v>36296.842516305565</v>
      </c>
      <c r="R61" s="1588"/>
      <c r="S61" s="1588">
        <f>S59*$C$61</f>
        <v>38826.718795564026</v>
      </c>
      <c r="T61" s="1588"/>
      <c r="U61" s="1588">
        <f>U59*$C$61</f>
        <v>41319.204774149461</v>
      </c>
      <c r="V61" s="1588"/>
      <c r="W61" s="1588">
        <f>W59*$C$61</f>
        <v>43769.841280722409</v>
      </c>
      <c r="Y61" s="1588">
        <f>Y59*$C$61</f>
        <v>46173.934267945413</v>
      </c>
      <c r="AA61" s="1588">
        <f>AA59*$C$61</f>
        <v>48526.544620852859</v>
      </c>
      <c r="AC61" s="1588">
        <f>AC59*$C$61</f>
        <v>50822.477559223422</v>
      </c>
      <c r="AE61" s="1588">
        <f>AE59*$C$61</f>
        <v>53056.271618511586</v>
      </c>
      <c r="AG61" s="1588">
        <f>AG59*$C$61</f>
        <v>55222.187193324557</v>
      </c>
    </row>
    <row r="62" spans="1:35" s="1588" customFormat="1">
      <c r="A62" s="3351" t="s">
        <v>1381</v>
      </c>
      <c r="B62" s="3351"/>
      <c r="C62" s="335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5902.4500000000116</v>
      </c>
      <c r="G65" s="1578">
        <f>G59*$C$64</f>
        <v>11613.720000000001</v>
      </c>
      <c r="I65" s="1578">
        <f>I59*$C$64</f>
        <v>12942.467775000026</v>
      </c>
      <c r="K65" s="1578">
        <f>K59*$C$64</f>
        <v>14262.071817749937</v>
      </c>
      <c r="M65" s="1578">
        <f>M59*$C$64</f>
        <v>15570.819893761829</v>
      </c>
      <c r="O65" s="1578">
        <f>O59*$C$64</f>
        <v>16866.905016118893</v>
      </c>
      <c r="Q65" s="1578">
        <f>Q59*$C$64</f>
        <v>18148.421258152783</v>
      </c>
      <c r="S65" s="1578">
        <f>S59*$C$64</f>
        <v>19413.359397782013</v>
      </c>
      <c r="U65" s="1578">
        <f>U59*$C$64</f>
        <v>20659.60238707473</v>
      </c>
      <c r="W65" s="1578">
        <f>W59*$C$64</f>
        <v>21884.920640361204</v>
      </c>
      <c r="Y65" s="1578">
        <f>Y59*$C$64</f>
        <v>23086.967133972707</v>
      </c>
      <c r="AA65" s="1578">
        <f>AA59*$C$64</f>
        <v>24263.27231042643</v>
      </c>
      <c r="AC65" s="1578">
        <f>AC59*$C$64</f>
        <v>25411.238779611711</v>
      </c>
      <c r="AE65" s="1578">
        <f>AE59*$C$64</f>
        <v>26528.135809255793</v>
      </c>
      <c r="AG65" s="1578">
        <f>AG59*$C$64</f>
        <v>27611.093596662278</v>
      </c>
    </row>
    <row r="66" spans="1:33" s="1578" customFormat="1">
      <c r="A66" s="1583"/>
      <c r="B66" s="1583"/>
      <c r="C66" s="1589"/>
      <c r="E66" s="1582">
        <f>$E59*$C$64</f>
        <v>5902.4500000000116</v>
      </c>
      <c r="G66" s="1578">
        <f>G59*$C$64</f>
        <v>11613.720000000001</v>
      </c>
      <c r="I66" s="1578">
        <f>I59*$C$64</f>
        <v>12942.467775000026</v>
      </c>
      <c r="K66" s="1578">
        <f>K59*$C$64</f>
        <v>14262.071817749937</v>
      </c>
      <c r="M66" s="1578">
        <f>M59*$C$64</f>
        <v>15570.819893761829</v>
      </c>
      <c r="O66" s="1578">
        <f>O59*$C$64</f>
        <v>16866.905016118893</v>
      </c>
      <c r="Q66" s="1578">
        <f>Q59*$C$64</f>
        <v>18148.421258152783</v>
      </c>
      <c r="S66" s="1578">
        <f>S59*$C$64</f>
        <v>19413.359397782013</v>
      </c>
      <c r="U66" s="1578">
        <f>U59*$C$64</f>
        <v>20659.60238707473</v>
      </c>
      <c r="W66" s="1578">
        <f>W59*$C$64</f>
        <v>21884.920640361204</v>
      </c>
      <c r="Y66" s="1578">
        <f>Y59*$C$64</f>
        <v>23086.967133972707</v>
      </c>
      <c r="AA66" s="1578">
        <f>AA59*$C$64</f>
        <v>24263.27231042643</v>
      </c>
      <c r="AC66" s="1578">
        <f>AC59*$C$64</f>
        <v>25411.238779611711</v>
      </c>
      <c r="AE66" s="1578">
        <f>AE59*$C$64</f>
        <v>26528.135809255793</v>
      </c>
      <c r="AG66" s="1578">
        <f>AG59*$C$64</f>
        <v>27611.093596662278</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11804.900000000023</v>
      </c>
      <c r="G69" s="1590">
        <f>SUM(G65:G68)</f>
        <v>23227.440000000002</v>
      </c>
      <c r="I69" s="1590">
        <f>SUM(I65:I68)</f>
        <v>25884.935550000053</v>
      </c>
      <c r="K69" s="1590">
        <f>SUM(K65:K68)</f>
        <v>28524.143635499873</v>
      </c>
      <c r="M69" s="1590">
        <f>SUM(M65:M68)</f>
        <v>31141.639787523658</v>
      </c>
      <c r="O69" s="1590">
        <f>SUM(O65:O68)</f>
        <v>33733.810032237787</v>
      </c>
      <c r="Q69" s="1590">
        <f>SUM(Q65:Q68)</f>
        <v>36296.842516305565</v>
      </c>
      <c r="S69" s="1590">
        <f>SUM(S65:S68)</f>
        <v>38826.718795564026</v>
      </c>
      <c r="U69" s="1590">
        <f>SUM(U65:U68)</f>
        <v>41319.204774149461</v>
      </c>
      <c r="W69" s="1590">
        <f>SUM(W65:W68)</f>
        <v>43769.841280722409</v>
      </c>
      <c r="Y69" s="1590">
        <f>SUM(Y65:Y68)</f>
        <v>46173.934267945413</v>
      </c>
      <c r="AA69" s="1590">
        <f>SUM(AA65:AA68)</f>
        <v>48526.544620852859</v>
      </c>
      <c r="AC69" s="1590">
        <f>SUM(AC65:AC68)</f>
        <v>50822.477559223422</v>
      </c>
      <c r="AE69" s="1590">
        <f>SUM(AE65:AE68)</f>
        <v>53056.271618511586</v>
      </c>
      <c r="AG69" s="1590">
        <f>SUM(AG65:AG68)</f>
        <v>55222.187193324557</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49" t="s">
        <v>2148</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3.8" zeroHeight="1"/>
  <cols>
    <col min="1" max="3" width="15.77734375" style="472" customWidth="1"/>
    <col min="4" max="4" width="3.77734375" style="472" customWidth="1"/>
    <col min="5" max="6" width="15.77734375" style="472" customWidth="1"/>
    <col min="7" max="7" width="3.77734375" style="472" customWidth="1"/>
    <col min="8" max="9" width="15.77734375" style="472" customWidth="1"/>
    <col min="10" max="16" width="15.77734375" style="472" hidden="1" customWidth="1"/>
    <col min="17" max="16383" width="9.109375" style="472" hidden="1"/>
    <col min="16384" max="16384" width="0.21875" style="472" customWidth="1"/>
  </cols>
  <sheetData>
    <row r="1" spans="1:11">
      <c r="A1" s="3352" t="s">
        <v>979</v>
      </c>
      <c r="B1" s="3352"/>
      <c r="C1" s="3352"/>
      <c r="D1" s="3352"/>
      <c r="E1" s="3352"/>
      <c r="F1" s="3352"/>
      <c r="G1" s="3352"/>
      <c r="H1" s="3352"/>
      <c r="I1" s="3352"/>
      <c r="J1" s="325"/>
      <c r="K1" s="325"/>
    </row>
    <row r="2" spans="1:11">
      <c r="A2" s="653"/>
      <c r="B2" s="653"/>
      <c r="C2" s="653"/>
      <c r="D2" s="653"/>
      <c r="E2" s="653"/>
      <c r="F2" s="653"/>
      <c r="G2" s="653"/>
      <c r="H2" s="653"/>
      <c r="I2" s="653"/>
    </row>
    <row r="3" spans="1:11" ht="82.8">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4</v>
      </c>
      <c r="C4" s="656">
        <f>Application!O728</f>
        <v>1010</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4</v>
      </c>
      <c r="C5" s="656">
        <f>Application!O729</f>
        <v>670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4</v>
      </c>
      <c r="C6" s="656">
        <f>Application!O730</f>
        <v>500</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8</v>
      </c>
      <c r="C7" s="656">
        <f>Application!O731</f>
        <v>1214</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11</v>
      </c>
      <c r="C8" s="656">
        <f>Application!O732</f>
        <v>1010</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12</v>
      </c>
      <c r="C9" s="656">
        <f>Application!O733</f>
        <v>806</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10</v>
      </c>
      <c r="C10" s="656">
        <f>Application!O734</f>
        <v>602</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8</v>
      </c>
      <c r="C11" s="656">
        <f>Application!O735</f>
        <v>1403</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8</v>
      </c>
      <c r="C12" s="656">
        <f>Application!O736</f>
        <v>1168</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7</v>
      </c>
      <c r="C13" s="656">
        <f>Application!O737</f>
        <v>932</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5</v>
      </c>
      <c r="C14" s="656">
        <f>Application!O738</f>
        <v>696</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75806</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9"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7773437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6" t="s">
        <v>1134</v>
      </c>
    </row>
    <row r="9" spans="1:1" ht="15.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77734375" style="325" customWidth="1"/>
    <col min="2" max="4" width="14.77734375" style="325" customWidth="1"/>
    <col min="5" max="5" width="50.77734375" style="325" customWidth="1"/>
    <col min="6" max="6" width="9.109375" style="325" customWidth="1"/>
    <col min="7" max="253" width="0" style="498" hidden="1" customWidth="1"/>
    <col min="254" max="16384" width="9.10937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820000</v>
      </c>
      <c r="C5" s="421">
        <f>'Sources and Uses Budget'!$C4</f>
        <v>820000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10000</v>
      </c>
      <c r="C7" s="421">
        <f>'Sources and Uses Budget'!$C6</f>
        <v>10000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830000</v>
      </c>
      <c r="C9" s="425">
        <f>SUM(C5:C8)</f>
        <v>830000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2362893</v>
      </c>
      <c r="C11" s="421">
        <f>'Sources and Uses Budget'!$C10</f>
        <v>2362893</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2362893</v>
      </c>
      <c r="C12" s="425">
        <f>SUM(C10:C11)</f>
        <v>2362893</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3192893</v>
      </c>
      <c r="C13" s="425">
        <f>SUM(C9+C12)</f>
        <v>3192893</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1136772</v>
      </c>
      <c r="C30" s="421">
        <f>'Sources and Uses Budget'!$C29</f>
        <v>1136772</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19243400</v>
      </c>
      <c r="C31" s="421">
        <f>'Sources and Uses Budget'!$C30</f>
        <v>19243400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1235110</v>
      </c>
      <c r="C32" s="421">
        <f>'Sources and Uses Budget'!$C31</f>
        <v>1235110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411703</v>
      </c>
      <c r="C33" s="421">
        <f>'Sources and Uses Budget'!$C32</f>
        <v>411703</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1235110</v>
      </c>
      <c r="C34" s="421">
        <f>'Sources and Uses Budget'!$C33</f>
        <v>1235110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170573</v>
      </c>
      <c r="C36" s="421">
        <f>'Sources and Uses Budget'!$C35</f>
        <v>170573</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101901</v>
      </c>
      <c r="C38" s="421">
        <f>'Sources and Uses Budget'!$C37</f>
        <v>101901</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23534569</v>
      </c>
      <c r="C39" s="425">
        <f>SUM(C30:C38)</f>
        <v>23534569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450000</v>
      </c>
      <c r="C41" s="421">
        <f>'Sources and Uses Budget'!$C40</f>
        <v>450000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450000</v>
      </c>
      <c r="C43" s="425">
        <f>SUM(C41:C42)</f>
        <v>450000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140000</v>
      </c>
      <c r="C44" s="421">
        <f>'Sources and Uses Budget'!$C43</f>
        <v>140000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1432722</v>
      </c>
      <c r="C46" s="421">
        <f>'Sources and Uses Budget'!$C45</f>
        <v>1432722</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293179</v>
      </c>
      <c r="C47" s="421">
        <f>'Sources and Uses Budget'!$C46</f>
        <v>293179</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25000</v>
      </c>
      <c r="C48" s="421">
        <f>'Sources and Uses Budget'!$C47</f>
        <v>25000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25000</v>
      </c>
      <c r="C51" s="421">
        <f>'Sources and Uses Budget'!$C50</f>
        <v>25000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12000</v>
      </c>
      <c r="C52" s="421">
        <f>'Sources and Uses Budget'!$C51</f>
        <v>12000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178047</v>
      </c>
      <c r="C53" s="421">
        <f>'Sources and Uses Budget'!$C52</f>
        <v>178047</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18000</v>
      </c>
      <c r="C54" s="421">
        <f>'Sources and Uses Budget'!$C53</f>
        <v>18000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1983948</v>
      </c>
      <c r="C55" s="428">
        <f>SUM(C46:C54)</f>
        <v>1983948</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44000</v>
      </c>
      <c r="C57" s="421">
        <f>'Sources and Uses Budget'!$C56</f>
        <v>44000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10000</v>
      </c>
      <c r="C58" s="421">
        <f>'Sources and Uses Budget'!$C57</f>
        <v>10000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65" customHeight="1">
      <c r="A63" s="426" t="s">
        <v>309</v>
      </c>
      <c r="B63" s="425">
        <f>SUM(B57:B62)</f>
        <v>54000</v>
      </c>
      <c r="C63" s="425">
        <f>SUM(C57:C62)</f>
        <v>54000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29355410</v>
      </c>
      <c r="C64" s="425">
        <f>SUM(C9+C12+C14+C15+C17+C26+C28+C39+C43+C44+C55+C63)</f>
        <v>29355410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195000</v>
      </c>
      <c r="C66" s="421">
        <f>'Sources and Uses Budget'!$C65</f>
        <v>195000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195000</v>
      </c>
      <c r="C71" s="425">
        <f>SUM(C66:C70)</f>
        <v>195000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193996</v>
      </c>
      <c r="C76" s="421">
        <f>'Sources and Uses Budget'!$C75</f>
        <v>193996</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193996</v>
      </c>
      <c r="C78" s="425">
        <f>SUM(C73:C77)</f>
        <v>193996</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1294873</v>
      </c>
      <c r="C80" s="421">
        <f>'Sources and Uses Budget'!$C79</f>
        <v>1294873</v>
      </c>
      <c r="D80" s="425">
        <f t="shared" si="1"/>
        <v>0</v>
      </c>
      <c r="E80" s="423"/>
      <c r="F80" s="422"/>
      <c r="G80" s="551"/>
    </row>
    <row r="81" spans="1:7" s="545" customFormat="1">
      <c r="A81" s="859" t="s">
        <v>61</v>
      </c>
      <c r="B81" s="421">
        <f>'Sources and Uses Budget'!$C80</f>
        <v>248919</v>
      </c>
      <c r="C81" s="421">
        <f>'Sources and Uses Budget'!$C80</f>
        <v>248919</v>
      </c>
      <c r="D81" s="425">
        <f>C81-B81</f>
        <v>0</v>
      </c>
      <c r="E81" s="423"/>
      <c r="F81" s="422"/>
      <c r="G81" s="551"/>
    </row>
    <row r="82" spans="1:7" s="545" customFormat="1">
      <c r="A82" s="426" t="s">
        <v>1415</v>
      </c>
      <c r="B82" s="425">
        <f>SUM(B80:B81)</f>
        <v>1543792</v>
      </c>
      <c r="C82" s="425">
        <f>SUM(C80:C81)</f>
        <v>1543792</v>
      </c>
      <c r="D82" s="425">
        <f t="shared" si="1"/>
        <v>0</v>
      </c>
      <c r="E82" s="423"/>
      <c r="F82" s="422"/>
      <c r="G82" s="551"/>
    </row>
    <row r="83" spans="1:7" s="545" customFormat="1">
      <c r="A83" s="419" t="s">
        <v>823</v>
      </c>
      <c r="B83" s="419"/>
      <c r="C83" s="419"/>
      <c r="D83" s="419"/>
      <c r="E83" s="439"/>
      <c r="F83" s="419"/>
      <c r="G83" s="551"/>
    </row>
    <row r="84" spans="1:7" s="545" customFormat="1" ht="13.65" customHeight="1">
      <c r="A84" s="424" t="s">
        <v>824</v>
      </c>
      <c r="B84" s="421">
        <f>'Sources and Uses Budget'!$C83</f>
        <v>121936</v>
      </c>
      <c r="C84" s="421">
        <f>'Sources and Uses Budget'!$C83</f>
        <v>121936</v>
      </c>
      <c r="D84" s="425">
        <f t="shared" si="1"/>
        <v>0</v>
      </c>
      <c r="E84" s="423"/>
      <c r="F84" s="422"/>
      <c r="G84" s="551"/>
    </row>
    <row r="85" spans="1:7" s="545" customFormat="1">
      <c r="A85" s="424" t="s">
        <v>825</v>
      </c>
      <c r="B85" s="421">
        <f>'Sources and Uses Budget'!$C84</f>
        <v>15000</v>
      </c>
      <c r="C85" s="421">
        <f>'Sources and Uses Budget'!$C84</f>
        <v>15000</v>
      </c>
      <c r="D85" s="425">
        <f t="shared" si="1"/>
        <v>0</v>
      </c>
      <c r="E85" s="423"/>
      <c r="F85" s="422"/>
      <c r="G85" s="551"/>
    </row>
    <row r="86" spans="1:7" s="545" customFormat="1">
      <c r="A86" s="424" t="s">
        <v>826</v>
      </c>
      <c r="B86" s="421">
        <f>'Sources and Uses Budget'!$C85</f>
        <v>2460000</v>
      </c>
      <c r="C86" s="421">
        <f>'Sources and Uses Budget'!$C85</f>
        <v>2460000</v>
      </c>
      <c r="D86" s="425">
        <f t="shared" si="1"/>
        <v>0</v>
      </c>
      <c r="E86" s="423"/>
      <c r="F86" s="422"/>
      <c r="G86" s="551"/>
    </row>
    <row r="87" spans="1:7" s="545" customFormat="1">
      <c r="A87" s="424" t="s">
        <v>827</v>
      </c>
      <c r="B87" s="421">
        <f>'Sources and Uses Budget'!$C86</f>
        <v>262000</v>
      </c>
      <c r="C87" s="421">
        <f>'Sources and Uses Budget'!$C86</f>
        <v>262000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107433</v>
      </c>
      <c r="C89" s="421">
        <f>'Sources and Uses Budget'!$C88</f>
        <v>107433</v>
      </c>
      <c r="D89" s="425">
        <f t="shared" si="1"/>
        <v>0</v>
      </c>
      <c r="E89" s="423"/>
      <c r="F89" s="422"/>
      <c r="G89" s="551"/>
    </row>
    <row r="90" spans="1:7" s="545" customFormat="1">
      <c r="A90" s="424" t="s">
        <v>830</v>
      </c>
      <c r="B90" s="421">
        <f>'Sources and Uses Budget'!$C89</f>
        <v>80000</v>
      </c>
      <c r="C90" s="421">
        <f>'Sources and Uses Budget'!$C89</f>
        <v>80000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32000</v>
      </c>
      <c r="C92" s="421">
        <f>'Sources and Uses Budget'!$C91</f>
        <v>32000</v>
      </c>
      <c r="D92" s="425">
        <f t="shared" si="1"/>
        <v>0</v>
      </c>
      <c r="E92" s="423"/>
      <c r="F92" s="422"/>
      <c r="G92" s="551"/>
    </row>
    <row r="93" spans="1:7" s="545" customFormat="1">
      <c r="A93" s="858" t="s">
        <v>1417</v>
      </c>
      <c r="B93" s="421">
        <f>'Sources and Uses Budget'!$C92</f>
        <v>15000</v>
      </c>
      <c r="C93" s="421">
        <f>'Sources and Uses Budget'!$C92</f>
        <v>15000</v>
      </c>
      <c r="D93" s="425">
        <f t="shared" si="1"/>
        <v>0</v>
      </c>
      <c r="E93" s="423"/>
      <c r="F93" s="422"/>
      <c r="G93" s="551"/>
    </row>
    <row r="94" spans="1:7" s="545" customFormat="1">
      <c r="A94" s="427" t="s">
        <v>35</v>
      </c>
      <c r="B94" s="421">
        <f>'Sources and Uses Budget'!$C93</f>
        <v>15000</v>
      </c>
      <c r="C94" s="421">
        <f>'Sources and Uses Budget'!$C93</f>
        <v>15000</v>
      </c>
      <c r="D94" s="425">
        <f t="shared" si="1"/>
        <v>0</v>
      </c>
      <c r="E94" s="423"/>
      <c r="F94" s="422"/>
      <c r="G94" s="551"/>
    </row>
    <row r="95" spans="1:7" s="545" customFormat="1">
      <c r="A95" s="427" t="s">
        <v>35</v>
      </c>
      <c r="B95" s="421">
        <f>'Sources and Uses Budget'!$C94</f>
        <v>25000</v>
      </c>
      <c r="C95" s="421">
        <f>'Sources and Uses Budget'!$C94</f>
        <v>25000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3143369</v>
      </c>
      <c r="C97" s="425">
        <f>SUM(C84:C96)</f>
        <v>3143369</v>
      </c>
      <c r="D97" s="425">
        <f t="shared" si="1"/>
        <v>0</v>
      </c>
      <c r="E97" s="423"/>
      <c r="F97" s="422"/>
      <c r="G97" s="551"/>
    </row>
    <row r="98" spans="1:7" s="545" customFormat="1">
      <c r="A98" s="426" t="s">
        <v>833</v>
      </c>
      <c r="B98" s="425">
        <f>SUM(B64+B71+B78+B82+B97)</f>
        <v>34431567</v>
      </c>
      <c r="C98" s="425">
        <f>SUM(C64+C71+C78+C82+C97)</f>
        <v>34431567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2200000</v>
      </c>
      <c r="C100" s="421">
        <f>'Sources and Uses Budget'!$C99</f>
        <v>2200000</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2200000</v>
      </c>
      <c r="C105" s="425">
        <f>SUM(C100:C104)</f>
        <v>2200000</v>
      </c>
      <c r="D105" s="425">
        <f t="shared" si="1"/>
        <v>0</v>
      </c>
      <c r="E105" s="423"/>
      <c r="F105" s="422"/>
      <c r="G105" s="549"/>
    </row>
    <row r="106" spans="1:7" s="544" customFormat="1">
      <c r="A106" s="426" t="s">
        <v>838</v>
      </c>
      <c r="B106" s="428">
        <f>SUM(B98+B105)</f>
        <v>36631567</v>
      </c>
      <c r="C106" s="428">
        <f>SUM(C98+C105)</f>
        <v>36631567</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77734375" style="132" customWidth="1"/>
    <col min="2" max="2" width="13.77734375" style="674" customWidth="1"/>
    <col min="3" max="3" width="2.77734375" style="132" customWidth="1"/>
    <col min="4" max="5" width="3.77734375" style="7" customWidth="1"/>
    <col min="6" max="6" width="65.77734375" style="7" customWidth="1"/>
    <col min="7" max="7" width="1.77734375" style="7" customWidth="1"/>
    <col min="8" max="8" width="3.77734375" style="12" hidden="1" customWidth="1"/>
    <col min="9" max="9" width="14" style="12" hidden="1" customWidth="1"/>
    <col min="10" max="16384" width="8.88671875" style="12" hidden="1"/>
  </cols>
  <sheetData>
    <row r="1" spans="1:9"/>
    <row r="2" spans="1:9">
      <c r="A2" s="1871" t="s">
        <v>1155</v>
      </c>
      <c r="B2" s="1871"/>
      <c r="C2" s="1872"/>
      <c r="D2" s="1872"/>
      <c r="E2" s="1872"/>
      <c r="F2" s="1872"/>
      <c r="G2" s="1872"/>
    </row>
    <row r="3" spans="1:9" s="256" customFormat="1">
      <c r="A3" s="1871" t="s">
        <v>1085</v>
      </c>
      <c r="B3" s="1871"/>
      <c r="C3" s="1872"/>
      <c r="D3" s="1872"/>
      <c r="E3" s="1872"/>
      <c r="F3" s="1872"/>
      <c r="G3" s="1872"/>
      <c r="I3" s="675" t="s">
        <v>316</v>
      </c>
    </row>
    <row r="4" spans="1:9">
      <c r="I4" s="676" t="s">
        <v>1156</v>
      </c>
    </row>
    <row r="5" spans="1:9" s="39" customFormat="1">
      <c r="A5" s="1875" t="s">
        <v>1086</v>
      </c>
      <c r="B5" s="1875"/>
      <c r="C5" s="1876"/>
      <c r="D5" s="1876"/>
      <c r="E5" s="1876"/>
      <c r="F5" s="1876"/>
      <c r="G5" s="1876"/>
      <c r="I5" s="676" t="s">
        <v>1157</v>
      </c>
    </row>
    <row r="6" spans="1:9" s="39" customFormat="1">
      <c r="A6" s="1875" t="s">
        <v>880</v>
      </c>
      <c r="B6" s="1875"/>
      <c r="C6" s="1876"/>
      <c r="D6" s="1876"/>
      <c r="E6" s="1876"/>
      <c r="F6" s="1876"/>
      <c r="G6" s="1876"/>
      <c r="I6" s="675" t="s">
        <v>626</v>
      </c>
    </row>
    <row r="7" spans="1:9" ht="11.85" customHeight="1"/>
    <row r="8" spans="1:9" s="39" customFormat="1">
      <c r="A8" s="1873" t="s">
        <v>1252</v>
      </c>
      <c r="B8" s="1873"/>
      <c r="C8" s="1874"/>
      <c r="D8" s="1874"/>
      <c r="E8" s="1874"/>
      <c r="F8" s="1874"/>
      <c r="G8" s="1874"/>
    </row>
    <row r="9" spans="1:9" s="39" customFormat="1">
      <c r="A9" s="1873" t="s">
        <v>1253</v>
      </c>
      <c r="B9" s="1873"/>
      <c r="C9" s="1874"/>
      <c r="D9" s="1874"/>
      <c r="E9" s="1874"/>
      <c r="F9" s="1874"/>
      <c r="G9" s="1874"/>
    </row>
    <row r="10" spans="1:9">
      <c r="A10" s="258"/>
      <c r="B10" s="258"/>
      <c r="C10" s="255"/>
      <c r="D10" s="255"/>
      <c r="E10" s="255"/>
      <c r="F10" s="255"/>
    </row>
    <row r="11" spans="1:9">
      <c r="A11" s="1877" t="s">
        <v>1255</v>
      </c>
      <c r="B11" s="1877"/>
      <c r="C11" s="1877"/>
      <c r="D11" s="1877"/>
      <c r="E11" s="1877"/>
      <c r="F11" s="1877"/>
      <c r="G11" s="1877"/>
    </row>
    <row r="12" spans="1:9">
      <c r="A12" s="255"/>
      <c r="B12" s="671"/>
      <c r="E12" s="50"/>
    </row>
    <row r="13" spans="1:9" ht="13.2" customHeight="1">
      <c r="C13" s="255"/>
      <c r="D13" s="1895" t="s">
        <v>1254</v>
      </c>
      <c r="E13" s="1895"/>
      <c r="F13" s="1895"/>
    </row>
    <row r="14" spans="1:9">
      <c r="C14" s="255"/>
      <c r="D14" s="1895"/>
      <c r="E14" s="1895"/>
      <c r="F14" s="1895"/>
    </row>
    <row r="15" spans="1:9">
      <c r="A15" s="260"/>
      <c r="B15" s="260"/>
      <c r="C15" s="260"/>
      <c r="D15" s="1834" t="s">
        <v>1237</v>
      </c>
      <c r="E15" s="1834"/>
      <c r="F15" s="1834"/>
    </row>
    <row r="16" spans="1:9">
      <c r="A16" s="260"/>
      <c r="B16" s="260"/>
      <c r="C16" s="260"/>
      <c r="D16" s="327"/>
    </row>
    <row r="17" spans="1:7" ht="14.4">
      <c r="A17" s="261"/>
      <c r="B17" s="677" t="s">
        <v>316</v>
      </c>
      <c r="C17" s="313"/>
      <c r="D17" s="1821" t="s">
        <v>1238</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4">
      <c r="A21" s="261"/>
      <c r="B21" s="677" t="s">
        <v>316</v>
      </c>
      <c r="D21" s="1887" t="s">
        <v>1239</v>
      </c>
      <c r="E21" s="1887"/>
      <c r="F21" s="1887"/>
    </row>
    <row r="22" spans="1:7" ht="14.4">
      <c r="A22" s="261"/>
      <c r="B22" s="261"/>
      <c r="D22" s="135"/>
    </row>
    <row r="23" spans="1:7" ht="14.4">
      <c r="A23" s="261"/>
      <c r="B23" s="677" t="s">
        <v>316</v>
      </c>
      <c r="D23" s="1821" t="s">
        <v>1240</v>
      </c>
      <c r="E23" s="1821"/>
      <c r="F23" s="1821"/>
    </row>
    <row r="24" spans="1:7" ht="14.4">
      <c r="A24" s="261"/>
      <c r="B24" s="261"/>
      <c r="D24" s="1821"/>
      <c r="E24" s="1821"/>
      <c r="F24" s="1821"/>
    </row>
    <row r="25" spans="1:7"/>
    <row r="26" spans="1:7" ht="14.4">
      <c r="A26" s="261"/>
      <c r="B26" s="677" t="s">
        <v>316</v>
      </c>
      <c r="D26" s="1856" t="s">
        <v>1241</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1242</v>
      </c>
      <c r="E32" s="1822"/>
      <c r="F32" s="1822"/>
      <c r="G32" s="130"/>
    </row>
    <row r="33" spans="1:7" s="39" customFormat="1">
      <c r="A33" s="273"/>
      <c r="B33" s="273"/>
      <c r="C33" s="273"/>
      <c r="D33" s="1822"/>
      <c r="E33" s="1822"/>
      <c r="F33" s="1822"/>
      <c r="G33" s="130"/>
    </row>
    <row r="34" spans="1:7" ht="14.4">
      <c r="A34" s="261"/>
      <c r="B34" s="261"/>
      <c r="D34" s="404"/>
    </row>
    <row r="35" spans="1:7" ht="14.4" customHeight="1">
      <c r="A35" s="261"/>
      <c r="B35" s="677" t="s">
        <v>316</v>
      </c>
      <c r="C35" s="552"/>
      <c r="D35" s="1822" t="s">
        <v>1243</v>
      </c>
      <c r="E35" s="1822"/>
      <c r="F35" s="1822"/>
    </row>
    <row r="36" spans="1:7" ht="14.4">
      <c r="A36" s="261"/>
      <c r="B36" s="261"/>
      <c r="C36" s="552"/>
      <c r="D36" s="1822"/>
      <c r="E36" s="1822"/>
      <c r="F36" s="1822"/>
    </row>
    <row r="37" spans="1:7" ht="14.4">
      <c r="A37" s="261"/>
      <c r="B37" s="261"/>
      <c r="C37" s="552"/>
      <c r="D37" s="1822"/>
      <c r="E37" s="1822"/>
      <c r="F37" s="1822"/>
    </row>
    <row r="38" spans="1:7" ht="14.4">
      <c r="A38" s="261"/>
      <c r="B38" s="261"/>
      <c r="C38" s="552"/>
      <c r="D38" s="12"/>
    </row>
    <row r="39" spans="1:7" s="680" customFormat="1" ht="14.4">
      <c r="A39" s="261"/>
      <c r="B39" s="677" t="s">
        <v>316</v>
      </c>
      <c r="C39" s="697"/>
      <c r="D39" s="1822" t="s">
        <v>1244</v>
      </c>
      <c r="E39" s="1822"/>
      <c r="F39" s="1822"/>
      <c r="G39" s="7"/>
    </row>
    <row r="40" spans="1:7" s="680" customFormat="1" ht="14.4">
      <c r="A40" s="261"/>
      <c r="B40" s="261"/>
      <c r="C40" s="697"/>
      <c r="D40" s="1822"/>
      <c r="E40" s="1822"/>
      <c r="F40" s="1822"/>
      <c r="G40" s="7"/>
    </row>
    <row r="41" spans="1:7" s="680" customFormat="1" ht="14.4">
      <c r="A41" s="261"/>
      <c r="B41" s="261"/>
      <c r="C41" s="697"/>
      <c r="D41" s="1822"/>
      <c r="E41" s="1822"/>
      <c r="F41" s="1822"/>
      <c r="G41" s="7"/>
    </row>
    <row r="42" spans="1:7" s="680" customFormat="1" ht="14.4">
      <c r="A42" s="261"/>
      <c r="B42" s="261"/>
      <c r="C42" s="697"/>
      <c r="D42" s="1822"/>
      <c r="E42" s="1822"/>
      <c r="F42" s="1822"/>
      <c r="G42" s="7"/>
    </row>
    <row r="43" spans="1:7" s="680" customFormat="1" ht="14.4">
      <c r="A43" s="261"/>
      <c r="B43" s="261"/>
      <c r="C43" s="697"/>
      <c r="D43" s="1822"/>
      <c r="E43" s="1822"/>
      <c r="F43" s="1822"/>
      <c r="G43" s="7"/>
    </row>
    <row r="44" spans="1:7" s="680" customFormat="1" ht="14.4">
      <c r="A44" s="261"/>
      <c r="B44" s="261"/>
      <c r="C44" s="697"/>
      <c r="D44" s="696"/>
      <c r="E44" s="696"/>
      <c r="F44" s="696"/>
      <c r="G44" s="7"/>
    </row>
    <row r="45" spans="1:7" ht="14.4">
      <c r="A45" s="261"/>
      <c r="B45" s="677" t="s">
        <v>316</v>
      </c>
      <c r="C45" s="552"/>
      <c r="D45" s="1822" t="s">
        <v>1245</v>
      </c>
      <c r="E45" s="1822"/>
      <c r="F45" s="1822"/>
    </row>
    <row r="46" spans="1:7" ht="14.4">
      <c r="A46" s="261"/>
      <c r="B46" s="261"/>
      <c r="C46" s="552"/>
      <c r="D46" s="1822"/>
      <c r="E46" s="1822"/>
      <c r="F46" s="1822"/>
    </row>
    <row r="47" spans="1:7" ht="14.4">
      <c r="A47" s="261"/>
      <c r="B47" s="261"/>
      <c r="C47" s="552"/>
      <c r="D47" s="1822"/>
      <c r="E47" s="1822"/>
      <c r="F47" s="1822"/>
    </row>
    <row r="48" spans="1:7" ht="23.25" customHeight="1">
      <c r="A48" s="261"/>
      <c r="B48" s="261"/>
      <c r="C48" s="552"/>
      <c r="D48" s="1822"/>
      <c r="E48" s="1822"/>
      <c r="F48" s="1822"/>
    </row>
    <row r="49" spans="1:7" ht="14.4">
      <c r="A49" s="261"/>
      <c r="B49" s="261"/>
      <c r="D49" s="151"/>
    </row>
    <row r="50" spans="1:7" ht="14.4" customHeight="1">
      <c r="A50" s="261"/>
      <c r="B50" s="677" t="s">
        <v>316</v>
      </c>
      <c r="D50" s="1822" t="s">
        <v>1246</v>
      </c>
      <c r="E50" s="1822"/>
      <c r="F50" s="1822"/>
    </row>
    <row r="51" spans="1:7" ht="14.4">
      <c r="A51" s="261"/>
      <c r="B51" s="261"/>
      <c r="D51" s="1822"/>
      <c r="E51" s="1822"/>
      <c r="F51" s="1822"/>
    </row>
    <row r="52" spans="1:7" ht="14.4">
      <c r="A52" s="261"/>
      <c r="B52" s="261"/>
      <c r="D52" s="1822"/>
      <c r="E52" s="1822"/>
      <c r="F52" s="1822"/>
    </row>
    <row r="53" spans="1:7" s="2" customFormat="1" ht="14.4">
      <c r="A53" s="261"/>
      <c r="B53" s="261"/>
      <c r="C53" s="554"/>
      <c r="D53" s="239"/>
      <c r="E53" s="22"/>
      <c r="F53" s="22"/>
      <c r="G53" s="22"/>
    </row>
    <row r="54" spans="1:7" s="2" customFormat="1" ht="14.4">
      <c r="A54" s="403"/>
      <c r="B54" s="677" t="s">
        <v>316</v>
      </c>
      <c r="C54" s="555"/>
      <c r="D54" s="1822" t="s">
        <v>1247</v>
      </c>
      <c r="E54" s="1822"/>
      <c r="F54" s="1822"/>
      <c r="G54" s="22"/>
    </row>
    <row r="55" spans="1:7" s="2" customFormat="1" ht="14.4">
      <c r="A55" s="403"/>
      <c r="B55" s="403"/>
      <c r="C55" s="555"/>
      <c r="D55" s="1822"/>
      <c r="E55" s="1822"/>
      <c r="F55" s="1822"/>
      <c r="G55" s="22"/>
    </row>
    <row r="56" spans="1:7" s="39" customFormat="1">
      <c r="A56" s="273"/>
      <c r="B56" s="273"/>
      <c r="C56" s="273"/>
      <c r="D56" s="443"/>
      <c r="E56" s="130"/>
      <c r="F56" s="130"/>
      <c r="G56" s="130"/>
    </row>
    <row r="57" spans="1:7" ht="14.4">
      <c r="A57" s="261"/>
      <c r="B57" s="677" t="s">
        <v>316</v>
      </c>
      <c r="D57" s="1822" t="s">
        <v>1248</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4.4">
      <c r="A61" s="261"/>
      <c r="B61" s="677" t="s">
        <v>316</v>
      </c>
      <c r="D61" s="1822" t="s">
        <v>1249</v>
      </c>
      <c r="E61" s="1822"/>
      <c r="F61" s="1822"/>
    </row>
    <row r="62" spans="1:7">
      <c r="D62" s="1822"/>
      <c r="E62" s="1822"/>
      <c r="F62" s="1822"/>
    </row>
    <row r="63" spans="1:7"/>
    <row r="64" spans="1:7" ht="14.4">
      <c r="A64" s="261"/>
      <c r="B64" s="677" t="s">
        <v>316</v>
      </c>
      <c r="D64" s="1822" t="s">
        <v>1250</v>
      </c>
      <c r="E64" s="1822"/>
      <c r="F64" s="1822"/>
    </row>
    <row r="65" spans="1:7">
      <c r="D65" s="1822"/>
      <c r="E65" s="1822"/>
      <c r="F65" s="1822"/>
    </row>
    <row r="66" spans="1:7">
      <c r="A66" s="553"/>
      <c r="C66" s="553"/>
      <c r="D66" s="1822"/>
      <c r="E66" s="1822"/>
      <c r="F66" s="1822"/>
    </row>
    <row r="67" spans="1:7">
      <c r="D67" s="12"/>
    </row>
    <row r="68" spans="1:7" ht="14.4">
      <c r="A68" s="261"/>
      <c r="B68" s="677" t="s">
        <v>316</v>
      </c>
      <c r="D68" s="1821" t="s">
        <v>1251</v>
      </c>
      <c r="E68" s="1821"/>
      <c r="F68" s="1821"/>
    </row>
    <row r="69" spans="1:7">
      <c r="D69" s="1821"/>
      <c r="E69" s="1821"/>
      <c r="F69" s="1821"/>
    </row>
    <row r="70" spans="1:7" ht="14.4">
      <c r="A70" s="261"/>
      <c r="B70" s="261"/>
      <c r="D70" s="135"/>
    </row>
    <row r="71" spans="1:7">
      <c r="A71" s="1841" t="s">
        <v>1158</v>
      </c>
      <c r="B71" s="1841"/>
      <c r="C71" s="1841"/>
      <c r="D71" s="1841"/>
      <c r="E71" s="1841"/>
      <c r="F71" s="1841"/>
      <c r="G71" s="1841"/>
    </row>
    <row r="72" spans="1:7"/>
    <row r="73" spans="1:7">
      <c r="C73" s="262"/>
      <c r="D73" s="1870" t="s">
        <v>1256</v>
      </c>
      <c r="E73" s="1870"/>
      <c r="F73" s="1870"/>
    </row>
    <row r="74" spans="1:7">
      <c r="A74" s="135"/>
      <c r="B74" s="135"/>
      <c r="D74" s="1821" t="s">
        <v>1283</v>
      </c>
      <c r="E74" s="1821"/>
      <c r="F74" s="1821"/>
    </row>
    <row r="75" spans="1:7">
      <c r="A75" s="135"/>
      <c r="B75" s="135"/>
    </row>
    <row r="76" spans="1:7" ht="14.4">
      <c r="A76" s="261"/>
      <c r="B76" s="677" t="s">
        <v>316</v>
      </c>
      <c r="D76" s="1821" t="s">
        <v>1257</v>
      </c>
      <c r="E76" s="1821"/>
      <c r="F76" s="1821"/>
    </row>
    <row r="77" spans="1:7" ht="14.4">
      <c r="A77" s="261"/>
      <c r="B77" s="261"/>
      <c r="D77" s="1821"/>
      <c r="E77" s="1821"/>
      <c r="F77" s="1821"/>
    </row>
    <row r="78" spans="1:7" ht="14.4">
      <c r="A78" s="261"/>
      <c r="B78" s="261"/>
      <c r="D78" s="1821"/>
      <c r="E78" s="1821"/>
      <c r="F78" s="1821"/>
    </row>
    <row r="79" spans="1:7" ht="14.4">
      <c r="A79" s="261"/>
      <c r="B79" s="261"/>
      <c r="D79" s="1821"/>
      <c r="E79" s="1821"/>
      <c r="F79" s="1821"/>
    </row>
    <row r="80" spans="1:7" ht="14.4">
      <c r="A80" s="261"/>
      <c r="B80" s="261"/>
      <c r="D80" s="1821"/>
      <c r="E80" s="1821"/>
      <c r="F80" s="1821"/>
    </row>
    <row r="81" spans="1:7" ht="14.4">
      <c r="A81" s="261"/>
      <c r="B81" s="261"/>
      <c r="D81" s="1821"/>
      <c r="E81" s="1821"/>
      <c r="F81" s="1821"/>
    </row>
    <row r="82" spans="1:7" s="704" customFormat="1" ht="14.4">
      <c r="A82" s="705"/>
      <c r="B82" s="705"/>
      <c r="C82" s="703"/>
      <c r="D82" s="707"/>
      <c r="E82" s="707"/>
      <c r="F82" s="707"/>
      <c r="G82" s="7"/>
    </row>
    <row r="83" spans="1:7" s="704" customFormat="1" ht="14.4" customHeight="1">
      <c r="A83" s="705"/>
      <c r="B83" s="710" t="s">
        <v>316</v>
      </c>
      <c r="C83" s="703"/>
      <c r="D83" s="1850" t="s">
        <v>1356</v>
      </c>
      <c r="E83" s="1850"/>
      <c r="F83" s="1850"/>
      <c r="G83" s="7"/>
    </row>
    <row r="84" spans="1:7" s="704" customFormat="1" ht="14.4">
      <c r="A84" s="705"/>
      <c r="B84" s="705"/>
      <c r="C84" s="703"/>
      <c r="D84" s="1850"/>
      <c r="E84" s="1850"/>
      <c r="F84" s="1850"/>
      <c r="G84" s="7"/>
    </row>
    <row r="85" spans="1:7" s="704" customFormat="1" ht="14.4">
      <c r="A85" s="705"/>
      <c r="B85" s="705"/>
      <c r="C85" s="703"/>
      <c r="D85" s="1850"/>
      <c r="E85" s="1850"/>
      <c r="F85" s="1850"/>
      <c r="G85" s="7"/>
    </row>
    <row r="86" spans="1:7" s="704" customFormat="1" ht="14.4">
      <c r="A86" s="705"/>
      <c r="B86" s="705"/>
      <c r="C86" s="703"/>
      <c r="D86" s="1850"/>
      <c r="E86" s="1850"/>
      <c r="F86" s="1850"/>
      <c r="G86" s="7"/>
    </row>
    <row r="87" spans="1:7" s="704" customFormat="1" ht="14.4">
      <c r="A87" s="705"/>
      <c r="B87" s="705"/>
      <c r="C87" s="703"/>
      <c r="D87" s="1850"/>
      <c r="E87" s="1850"/>
      <c r="F87" s="1850"/>
      <c r="G87" s="7"/>
    </row>
    <row r="88" spans="1:7" s="717" customFormat="1" ht="14.4">
      <c r="A88" s="712"/>
      <c r="B88" s="712"/>
      <c r="C88" s="743"/>
      <c r="D88" s="1850"/>
      <c r="E88" s="1850"/>
      <c r="F88" s="1850"/>
      <c r="G88" s="7"/>
    </row>
    <row r="89" spans="1:7" s="717" customFormat="1" ht="14.4">
      <c r="A89" s="712"/>
      <c r="B89" s="712"/>
      <c r="C89" s="743"/>
      <c r="D89" s="1850"/>
      <c r="E89" s="1850"/>
      <c r="F89" s="1850"/>
      <c r="G89" s="7"/>
    </row>
    <row r="90" spans="1:7" s="717" customFormat="1" ht="14.4">
      <c r="A90" s="712"/>
      <c r="B90" s="712"/>
      <c r="C90" s="743"/>
      <c r="D90" s="1850"/>
      <c r="E90" s="1850"/>
      <c r="F90" s="1850"/>
      <c r="G90" s="7"/>
    </row>
    <row r="91" spans="1:7" ht="14.4">
      <c r="A91" s="261"/>
      <c r="B91" s="261"/>
      <c r="D91" s="1850"/>
      <c r="E91" s="1850"/>
      <c r="F91" s="1850"/>
    </row>
    <row r="92" spans="1:7" ht="14.4">
      <c r="A92" s="261"/>
      <c r="B92" s="261"/>
      <c r="D92" s="1850"/>
      <c r="E92" s="1850"/>
      <c r="F92" s="1850"/>
    </row>
    <row r="93" spans="1:7" ht="14.4">
      <c r="A93" s="261"/>
      <c r="B93" s="261"/>
      <c r="D93" s="1850"/>
      <c r="E93" s="1850"/>
      <c r="F93" s="1850"/>
    </row>
    <row r="94" spans="1:7" ht="14.4">
      <c r="A94" s="261"/>
      <c r="B94" s="261"/>
      <c r="D94" s="1850"/>
      <c r="E94" s="1850"/>
      <c r="F94" s="1850"/>
    </row>
    <row r="95" spans="1:7" ht="14.4">
      <c r="A95" s="261"/>
      <c r="B95" s="261"/>
      <c r="D95" s="1850"/>
      <c r="E95" s="1850"/>
      <c r="F95" s="1850"/>
    </row>
    <row r="96" spans="1:7" ht="14.4">
      <c r="A96" s="261"/>
      <c r="B96" s="261"/>
      <c r="D96" s="1850"/>
      <c r="E96" s="1850"/>
      <c r="F96" s="1850"/>
    </row>
    <row r="97" spans="1:11" s="708" customFormat="1" ht="14.4">
      <c r="A97" s="709"/>
      <c r="B97" s="713" t="s">
        <v>316</v>
      </c>
      <c r="C97" s="703"/>
      <c r="D97" s="1821" t="s">
        <v>1258</v>
      </c>
      <c r="E97" s="1821"/>
      <c r="F97" s="1821"/>
      <c r="G97" s="7"/>
    </row>
    <row r="98" spans="1:11" s="708" customFormat="1" ht="14.4">
      <c r="A98" s="709"/>
      <c r="B98" s="709"/>
      <c r="C98" s="703"/>
      <c r="D98" s="1821"/>
      <c r="E98" s="1821"/>
      <c r="F98" s="1821"/>
      <c r="G98" s="7"/>
    </row>
    <row r="99" spans="1:11" s="708" customFormat="1" ht="14.4">
      <c r="A99" s="709"/>
      <c r="B99" s="709"/>
      <c r="C99" s="703"/>
      <c r="D99" s="1821"/>
      <c r="E99" s="1821"/>
      <c r="F99" s="1821"/>
      <c r="G99" s="7"/>
    </row>
    <row r="100" spans="1:11" s="708" customFormat="1" ht="14.4">
      <c r="A100" s="709"/>
      <c r="B100" s="709"/>
      <c r="C100" s="703"/>
      <c r="D100" s="1821"/>
      <c r="E100" s="1821"/>
      <c r="F100" s="1821"/>
      <c r="G100" s="7"/>
    </row>
    <row r="101" spans="1:11" s="708" customFormat="1" ht="14.4">
      <c r="A101" s="709"/>
      <c r="B101" s="709"/>
      <c r="C101" s="703"/>
      <c r="D101" s="1821"/>
      <c r="E101" s="1821"/>
      <c r="F101" s="1821"/>
      <c r="G101" s="7"/>
    </row>
    <row r="102" spans="1:11" s="708" customFormat="1" ht="14.4">
      <c r="A102" s="709"/>
      <c r="B102" s="709"/>
      <c r="C102" s="703"/>
      <c r="D102" s="1821"/>
      <c r="E102" s="1821"/>
      <c r="F102" s="1821"/>
      <c r="G102" s="7"/>
    </row>
    <row r="103" spans="1:11" s="708" customFormat="1" ht="14.4">
      <c r="A103" s="709"/>
      <c r="B103" s="709"/>
      <c r="C103" s="703"/>
      <c r="D103" s="1821"/>
      <c r="E103" s="1821"/>
      <c r="F103" s="1821"/>
      <c r="G103" s="7"/>
    </row>
    <row r="104" spans="1:11" s="708" customFormat="1" ht="14.4">
      <c r="A104" s="709"/>
      <c r="B104" s="709"/>
      <c r="C104" s="703"/>
      <c r="D104" s="1821"/>
      <c r="E104" s="1821"/>
      <c r="F104" s="1821"/>
      <c r="G104" s="7"/>
    </row>
    <row r="105" spans="1:11" s="711" customFormat="1" ht="14.4">
      <c r="A105" s="712"/>
      <c r="B105" s="712"/>
      <c r="C105" s="703"/>
      <c r="D105" s="714"/>
      <c r="E105" s="714"/>
      <c r="F105" s="714"/>
      <c r="G105" s="7"/>
    </row>
    <row r="106" spans="1:11" ht="14.4">
      <c r="A106" s="403"/>
      <c r="B106" s="706" t="s">
        <v>316</v>
      </c>
      <c r="C106" s="469"/>
      <c r="D106" s="1878" t="s">
        <v>1259</v>
      </c>
      <c r="E106" s="1878"/>
      <c r="F106" s="1878"/>
      <c r="G106" s="470"/>
      <c r="H106" s="468"/>
      <c r="I106" s="468"/>
      <c r="J106" s="468"/>
      <c r="K106" s="468"/>
    </row>
    <row r="107" spans="1:11" ht="14.4">
      <c r="A107" s="261"/>
      <c r="B107" s="261"/>
      <c r="C107" s="315"/>
      <c r="D107" s="1878"/>
      <c r="E107" s="1878"/>
      <c r="F107" s="1878"/>
      <c r="G107" s="470"/>
      <c r="H107" s="468"/>
      <c r="I107" s="468"/>
      <c r="J107" s="468"/>
      <c r="K107" s="468"/>
    </row>
    <row r="108" spans="1:11" ht="14.4">
      <c r="A108" s="261"/>
      <c r="B108" s="261"/>
      <c r="C108" s="315"/>
      <c r="D108" s="1878"/>
      <c r="E108" s="1878"/>
      <c r="F108" s="1878"/>
      <c r="G108" s="470"/>
      <c r="H108" s="468"/>
      <c r="I108" s="468"/>
      <c r="J108" s="468"/>
      <c r="K108" s="468"/>
    </row>
    <row r="109" spans="1:11" ht="14.4">
      <c r="A109" s="261"/>
      <c r="B109" s="261"/>
      <c r="C109" s="315"/>
      <c r="D109" s="1878"/>
      <c r="E109" s="1878"/>
      <c r="F109" s="1878"/>
      <c r="G109" s="470"/>
      <c r="H109" s="468"/>
      <c r="I109" s="468"/>
      <c r="J109" s="468"/>
      <c r="K109" s="468"/>
    </row>
    <row r="110" spans="1:11" ht="14.4">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4.4">
      <c r="A114" s="261"/>
      <c r="B114" s="677" t="s">
        <v>316</v>
      </c>
      <c r="C114"/>
      <c r="D114" s="1879" t="s">
        <v>1260</v>
      </c>
      <c r="E114" s="1879"/>
      <c r="F114" s="1879"/>
      <c r="G114"/>
      <c r="H114"/>
      <c r="I114"/>
      <c r="J114"/>
      <c r="K114"/>
    </row>
    <row r="115" spans="1:11" ht="14.4">
      <c r="A115" s="261"/>
      <c r="B115" s="261"/>
      <c r="C115"/>
      <c r="D115" s="1879"/>
      <c r="E115" s="1879"/>
      <c r="F115" s="1879"/>
      <c r="G115"/>
      <c r="H115"/>
      <c r="I115"/>
      <c r="J115"/>
      <c r="K115"/>
    </row>
    <row r="116" spans="1:11"/>
    <row r="117" spans="1:11" ht="14.4">
      <c r="A117" s="261"/>
      <c r="B117" s="677" t="s">
        <v>316</v>
      </c>
      <c r="C117" s="10"/>
      <c r="D117" s="1821" t="s">
        <v>1261</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4">
      <c r="A123" s="261"/>
      <c r="B123" s="677" t="s">
        <v>316</v>
      </c>
      <c r="C123" s="10"/>
      <c r="D123" s="1822" t="s">
        <v>1262</v>
      </c>
      <c r="E123" s="1822"/>
      <c r="F123" s="1822"/>
      <c r="G123" s="149"/>
    </row>
    <row r="124" spans="1:11" s="296" customFormat="1" ht="13.65" customHeight="1">
      <c r="A124" s="293"/>
      <c r="B124" s="293"/>
      <c r="C124" s="294"/>
      <c r="D124" s="1822"/>
      <c r="E124" s="1822"/>
      <c r="F124" s="1822"/>
      <c r="G124" s="295"/>
    </row>
    <row r="125" spans="1:11" customFormat="1" ht="13.65" customHeight="1">
      <c r="A125" s="132"/>
      <c r="B125" s="674"/>
      <c r="C125" s="10"/>
      <c r="D125" s="1822"/>
      <c r="E125" s="1822"/>
      <c r="F125" s="1822"/>
      <c r="G125" s="149"/>
    </row>
    <row r="126" spans="1:11" customFormat="1" ht="13.65" customHeight="1">
      <c r="A126" s="132"/>
      <c r="B126" s="674"/>
      <c r="C126" s="10"/>
      <c r="D126" s="1822"/>
      <c r="E126" s="1822"/>
      <c r="F126" s="1822"/>
      <c r="G126" s="149"/>
    </row>
    <row r="127" spans="1:11" customFormat="1" ht="13.65" customHeight="1">
      <c r="A127" s="132"/>
      <c r="B127" s="674"/>
      <c r="C127" s="10"/>
      <c r="D127" s="1822"/>
      <c r="E127" s="1822"/>
      <c r="F127" s="1822"/>
      <c r="G127" s="149"/>
    </row>
    <row r="128" spans="1:11" customFormat="1" ht="13.65" customHeight="1">
      <c r="A128" s="378"/>
      <c r="B128" s="378"/>
      <c r="C128" s="10"/>
      <c r="D128" s="1822"/>
      <c r="E128" s="1822"/>
      <c r="F128" s="1822"/>
      <c r="G128" s="149"/>
    </row>
    <row r="129" spans="1:7" s="2" customFormat="1" ht="13.65" customHeight="1">
      <c r="A129" s="273"/>
      <c r="B129" s="273"/>
      <c r="C129" s="442"/>
      <c r="D129" s="1822"/>
      <c r="E129" s="1822"/>
      <c r="F129" s="1822"/>
      <c r="G129" s="182"/>
    </row>
    <row r="130" spans="1:7" s="2" customFormat="1" ht="13.65" customHeight="1">
      <c r="A130" s="273"/>
      <c r="B130" s="273"/>
      <c r="C130" s="442"/>
      <c r="D130" s="1822"/>
      <c r="E130" s="1822"/>
      <c r="F130" s="1822"/>
      <c r="G130" s="182"/>
    </row>
    <row r="131" spans="1:7" customFormat="1" ht="13.65" customHeight="1">
      <c r="A131" s="132"/>
      <c r="B131" s="674"/>
      <c r="C131" s="10"/>
      <c r="D131" s="1822"/>
      <c r="E131" s="1822"/>
      <c r="F131" s="1822"/>
      <c r="G131" s="149"/>
    </row>
    <row r="132" spans="1:7" customFormat="1" ht="13.65" customHeight="1">
      <c r="A132" s="132"/>
      <c r="B132" s="674"/>
      <c r="C132" s="10"/>
      <c r="D132" s="1822"/>
      <c r="E132" s="1822"/>
      <c r="F132" s="1822"/>
      <c r="G132" s="149"/>
    </row>
    <row r="133" spans="1:7" customFormat="1" ht="13.65" customHeight="1">
      <c r="A133" s="132"/>
      <c r="B133" s="674"/>
      <c r="C133" s="10"/>
      <c r="D133" s="1822"/>
      <c r="E133" s="1822"/>
      <c r="F133" s="1822"/>
      <c r="G133" s="149"/>
    </row>
    <row r="134" spans="1:7" customFormat="1" ht="13.65" customHeight="1">
      <c r="A134" s="132"/>
      <c r="B134" s="674"/>
      <c r="C134" s="10"/>
      <c r="D134" s="1822"/>
      <c r="E134" s="1822"/>
      <c r="F134" s="1822"/>
      <c r="G134" s="149"/>
    </row>
    <row r="135" spans="1:7" customFormat="1" ht="13.65" customHeight="1">
      <c r="A135" s="132"/>
      <c r="B135" s="674"/>
      <c r="C135" s="10"/>
      <c r="D135" s="327"/>
      <c r="E135" s="151"/>
      <c r="F135" s="151"/>
      <c r="G135" s="149"/>
    </row>
    <row r="136" spans="1:7" s="715" customFormat="1" ht="13.65" customHeight="1">
      <c r="A136" s="703"/>
      <c r="B136" s="716" t="s">
        <v>316</v>
      </c>
      <c r="C136" s="10"/>
      <c r="D136" s="1821" t="s">
        <v>1370</v>
      </c>
      <c r="E136" s="1821"/>
      <c r="F136" s="1821"/>
      <c r="G136" s="149"/>
    </row>
    <row r="137" spans="1:7" s="715" customFormat="1" ht="13.65" customHeight="1">
      <c r="A137" s="703"/>
      <c r="B137" s="703"/>
      <c r="C137" s="10"/>
      <c r="D137" s="1821"/>
      <c r="E137" s="1821"/>
      <c r="F137" s="1821"/>
      <c r="G137" s="149"/>
    </row>
    <row r="138" spans="1:7" s="715" customFormat="1" ht="13.65" customHeight="1">
      <c r="A138" s="703"/>
      <c r="B138" s="703"/>
      <c r="C138" s="10"/>
      <c r="D138" s="1821"/>
      <c r="E138" s="1821"/>
      <c r="F138" s="1821"/>
      <c r="G138" s="149"/>
    </row>
    <row r="139" spans="1:7" s="715" customFormat="1" ht="13.65" customHeight="1">
      <c r="A139" s="703"/>
      <c r="B139" s="703"/>
      <c r="C139" s="10"/>
      <c r="D139" s="1821"/>
      <c r="E139" s="1821"/>
      <c r="F139" s="1821"/>
      <c r="G139" s="149"/>
    </row>
    <row r="140" spans="1:7" s="715" customFormat="1" ht="13.65" customHeight="1">
      <c r="A140" s="703"/>
      <c r="B140" s="703"/>
      <c r="C140" s="10"/>
      <c r="D140" s="1821"/>
      <c r="E140" s="1821"/>
      <c r="F140" s="1821"/>
      <c r="G140" s="149"/>
    </row>
    <row r="141" spans="1:7" s="715" customFormat="1" ht="13.65" customHeight="1">
      <c r="A141" s="703"/>
      <c r="B141" s="703"/>
      <c r="C141" s="10"/>
      <c r="D141" s="1821"/>
      <c r="E141" s="1821"/>
      <c r="F141" s="1821"/>
      <c r="G141" s="149"/>
    </row>
    <row r="142" spans="1:7" s="715" customFormat="1" ht="13.65" customHeight="1">
      <c r="A142" s="703"/>
      <c r="B142" s="703"/>
      <c r="C142" s="10"/>
      <c r="D142" s="1821"/>
      <c r="E142" s="1821"/>
      <c r="F142" s="1821"/>
      <c r="G142" s="149"/>
    </row>
    <row r="143" spans="1:7" s="715" customFormat="1" ht="13.65" customHeight="1">
      <c r="A143" s="703"/>
      <c r="B143" s="703"/>
      <c r="C143" s="10"/>
      <c r="D143" s="1821"/>
      <c r="E143" s="1821"/>
      <c r="F143" s="1821"/>
      <c r="G143" s="149"/>
    </row>
    <row r="144" spans="1:7" s="715" customFormat="1" ht="13.65" customHeight="1">
      <c r="A144" s="703"/>
      <c r="B144" s="703"/>
      <c r="C144" s="10"/>
      <c r="D144" s="1821"/>
      <c r="E144" s="1821"/>
      <c r="F144" s="1821"/>
      <c r="G144" s="149"/>
    </row>
    <row r="145" spans="1:7" s="715" customFormat="1" ht="13.65" customHeight="1">
      <c r="A145" s="703"/>
      <c r="B145" s="703"/>
      <c r="C145" s="10"/>
      <c r="D145" s="1821"/>
      <c r="E145" s="1821"/>
      <c r="F145" s="1821"/>
      <c r="G145" s="149"/>
    </row>
    <row r="146" spans="1:7" s="715" customFormat="1" ht="13.65" customHeight="1">
      <c r="A146" s="745"/>
      <c r="B146" s="745"/>
      <c r="C146" s="10"/>
      <c r="D146" s="1821"/>
      <c r="E146" s="1821"/>
      <c r="F146" s="1821"/>
      <c r="G146" s="149"/>
    </row>
    <row r="147" spans="1:7" s="715" customFormat="1" ht="13.65" customHeight="1">
      <c r="A147" s="745"/>
      <c r="B147" s="745"/>
      <c r="C147" s="10"/>
      <c r="D147" s="1821"/>
      <c r="E147" s="1821"/>
      <c r="F147" s="1821"/>
      <c r="G147" s="149"/>
    </row>
    <row r="148" spans="1:7" s="715" customFormat="1" ht="13.65" customHeight="1">
      <c r="A148" s="703"/>
      <c r="B148" s="703"/>
      <c r="C148" s="10"/>
      <c r="D148" s="1821"/>
      <c r="E148" s="1821"/>
      <c r="F148" s="1821"/>
      <c r="G148" s="149"/>
    </row>
    <row r="149" spans="1:7" s="715" customFormat="1" ht="13.65" customHeight="1">
      <c r="A149" s="703"/>
      <c r="B149" s="703"/>
      <c r="C149" s="10"/>
      <c r="D149" s="1821"/>
      <c r="E149" s="1821"/>
      <c r="F149" s="1821"/>
      <c r="G149" s="149"/>
    </row>
    <row r="150" spans="1:7" s="715" customFormat="1" ht="13.65" customHeight="1">
      <c r="A150" s="703"/>
      <c r="B150" s="703"/>
      <c r="C150" s="10"/>
      <c r="D150" s="1821"/>
      <c r="E150" s="1821"/>
      <c r="F150" s="1821"/>
      <c r="G150" s="149"/>
    </row>
    <row r="151" spans="1:7" s="715" customFormat="1" ht="13.65" customHeight="1">
      <c r="A151" s="703"/>
      <c r="B151" s="703"/>
      <c r="C151" s="10"/>
      <c r="D151" s="1821"/>
      <c r="E151" s="1821"/>
      <c r="F151" s="1821"/>
      <c r="G151" s="149"/>
    </row>
    <row r="152" spans="1:7" s="715" customFormat="1" ht="13.65" customHeight="1">
      <c r="A152" s="703"/>
      <c r="B152" s="703"/>
      <c r="C152" s="10"/>
      <c r="D152" s="1821"/>
      <c r="E152" s="1821"/>
      <c r="F152" s="1821"/>
      <c r="G152" s="149"/>
    </row>
    <row r="153" spans="1:7" s="715" customFormat="1" ht="13.65" customHeight="1">
      <c r="A153" s="703"/>
      <c r="B153" s="703"/>
      <c r="C153" s="10"/>
      <c r="D153" s="1821"/>
      <c r="E153" s="1821"/>
      <c r="F153" s="1821"/>
      <c r="G153" s="149"/>
    </row>
    <row r="154" spans="1:7" s="715" customFormat="1" ht="13.65" customHeight="1">
      <c r="A154" s="703"/>
      <c r="B154" s="703"/>
      <c r="C154" s="10"/>
      <c r="D154" s="1821"/>
      <c r="E154" s="1821"/>
      <c r="F154" s="1821"/>
      <c r="G154" s="149"/>
    </row>
    <row r="155" spans="1:7" s="715" customFormat="1" ht="13.65" customHeight="1">
      <c r="A155" s="703"/>
      <c r="B155" s="703"/>
      <c r="C155" s="10"/>
      <c r="D155" s="327"/>
      <c r="E155" s="151"/>
      <c r="F155" s="151"/>
      <c r="G155" s="149"/>
    </row>
    <row r="156" spans="1:7" customFormat="1" ht="13.65" customHeight="1">
      <c r="A156" s="378"/>
      <c r="B156" s="677" t="s">
        <v>316</v>
      </c>
      <c r="C156" s="325"/>
      <c r="D156" s="1833" t="s">
        <v>1263</v>
      </c>
      <c r="E156" s="1833"/>
      <c r="F156" s="1833"/>
      <c r="G156" s="444"/>
    </row>
    <row r="157" spans="1:7" customFormat="1" ht="13.65" customHeight="1">
      <c r="A157" s="378"/>
      <c r="B157" s="378"/>
      <c r="C157" s="325"/>
      <c r="D157" s="1833"/>
      <c r="E157" s="1833"/>
      <c r="F157" s="1833"/>
      <c r="G157" s="444"/>
    </row>
    <row r="158" spans="1:7" customFormat="1" ht="13.65" customHeight="1">
      <c r="A158" s="378"/>
      <c r="B158" s="378"/>
      <c r="C158" s="325"/>
      <c r="D158" s="327"/>
      <c r="E158" s="325"/>
      <c r="F158" s="325"/>
      <c r="G158" s="444"/>
    </row>
    <row r="159" spans="1:7" customFormat="1" ht="13.65" customHeight="1">
      <c r="A159" s="378"/>
      <c r="B159" s="677" t="s">
        <v>316</v>
      </c>
      <c r="C159" s="325"/>
      <c r="D159" s="1829" t="s">
        <v>1264</v>
      </c>
      <c r="E159" s="1829"/>
      <c r="F159" s="1829"/>
      <c r="G159" s="444"/>
    </row>
    <row r="160" spans="1:7" customFormat="1" ht="13.65" customHeight="1">
      <c r="A160" s="378"/>
      <c r="B160" s="378"/>
      <c r="C160" s="325"/>
      <c r="D160" s="1829"/>
      <c r="E160" s="1829"/>
      <c r="F160" s="1829"/>
      <c r="G160" s="444"/>
    </row>
    <row r="161" spans="1:7" customFormat="1" ht="13.65" customHeight="1">
      <c r="A161" s="378"/>
      <c r="B161" s="378"/>
      <c r="C161" s="325"/>
      <c r="D161" s="1829"/>
      <c r="E161" s="1829"/>
      <c r="F161" s="1829"/>
      <c r="G161" s="444"/>
    </row>
    <row r="162" spans="1:7" customFormat="1" ht="13.65" customHeight="1">
      <c r="A162" s="378"/>
      <c r="B162" s="378"/>
      <c r="C162" s="325"/>
      <c r="D162" s="1829"/>
      <c r="E162" s="1829"/>
      <c r="F162" s="1829"/>
      <c r="G162" s="444"/>
    </row>
    <row r="163" spans="1:7" customFormat="1" ht="13.65" customHeight="1">
      <c r="A163" s="132"/>
      <c r="B163" s="674"/>
      <c r="C163" s="10"/>
      <c r="D163" s="151"/>
      <c r="E163" s="151"/>
      <c r="F163" s="151"/>
      <c r="G163" s="149"/>
    </row>
    <row r="164" spans="1:7" customFormat="1" ht="13.65" customHeight="1">
      <c r="A164" s="132"/>
      <c r="B164" s="677" t="s">
        <v>316</v>
      </c>
      <c r="C164" s="10"/>
      <c r="D164" s="1864" t="s">
        <v>1265</v>
      </c>
      <c r="E164" s="1864"/>
      <c r="F164" s="1864"/>
      <c r="G164" s="149"/>
    </row>
    <row r="165" spans="1:7" customFormat="1" ht="13.65" customHeight="1">
      <c r="A165" s="132"/>
      <c r="B165" s="674"/>
      <c r="C165" s="10"/>
      <c r="D165" s="1864"/>
      <c r="E165" s="1864"/>
      <c r="F165" s="1864"/>
      <c r="G165" s="149"/>
    </row>
    <row r="166" spans="1:7" customFormat="1" ht="13.65" customHeight="1">
      <c r="A166" s="132"/>
      <c r="B166" s="674"/>
      <c r="C166" s="10"/>
      <c r="D166" s="1864"/>
      <c r="E166" s="1864"/>
      <c r="F166" s="1864"/>
      <c r="G166" s="149"/>
    </row>
    <row r="167" spans="1:7" customFormat="1" ht="13.65" customHeight="1">
      <c r="A167" s="23"/>
      <c r="B167" s="673"/>
      <c r="C167" s="10"/>
      <c r="D167" s="7"/>
      <c r="E167" s="151"/>
      <c r="F167" s="151"/>
      <c r="G167" s="149"/>
    </row>
    <row r="168" spans="1:7">
      <c r="A168" s="1841" t="s">
        <v>1159</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c r="A172" s="1841" t="s">
        <v>1160</v>
      </c>
      <c r="B172" s="1841"/>
      <c r="C172" s="1841"/>
      <c r="D172" s="1841"/>
      <c r="E172" s="1841"/>
      <c r="F172" s="1841"/>
      <c r="G172" s="1841"/>
    </row>
    <row r="173" spans="1:7" ht="12" customHeight="1">
      <c r="A173" s="264"/>
      <c r="B173" s="264"/>
      <c r="C173" s="265"/>
      <c r="D173" s="57"/>
      <c r="E173" s="49"/>
      <c r="F173" s="57"/>
      <c r="G173" s="57"/>
    </row>
    <row r="174" spans="1:7" ht="13.2" customHeight="1">
      <c r="A174" s="264"/>
      <c r="B174" s="264"/>
      <c r="C174" s="265"/>
      <c r="D174" s="1865" t="s">
        <v>1268</v>
      </c>
      <c r="E174" s="1865"/>
      <c r="F174" s="1865"/>
      <c r="G174" s="57"/>
    </row>
    <row r="175" spans="1:7">
      <c r="A175" s="264"/>
      <c r="B175" s="264"/>
      <c r="C175" s="265"/>
      <c r="D175" s="1865"/>
      <c r="E175" s="1865"/>
      <c r="F175" s="1865"/>
      <c r="G175" s="57"/>
    </row>
    <row r="176" spans="1:7" s="717" customFormat="1">
      <c r="A176" s="719"/>
      <c r="B176" s="719"/>
      <c r="C176" s="265"/>
      <c r="D176" s="1866" t="s">
        <v>1269</v>
      </c>
      <c r="E176" s="1866"/>
      <c r="F176" s="1866"/>
      <c r="G176" s="57"/>
    </row>
    <row r="177" spans="1:7" ht="12" customHeight="1">
      <c r="A177" s="264"/>
      <c r="B177" s="264"/>
      <c r="C177" s="265"/>
      <c r="D177" s="57"/>
      <c r="E177" s="49"/>
      <c r="F177" s="57"/>
      <c r="G177" s="57"/>
    </row>
    <row r="178" spans="1:7" ht="14.4">
      <c r="A178" s="261"/>
      <c r="B178" s="677" t="s">
        <v>316</v>
      </c>
      <c r="C178" s="265"/>
      <c r="D178" s="1859" t="s">
        <v>1267</v>
      </c>
      <c r="E178" s="1859"/>
      <c r="F178" s="1859"/>
      <c r="G178" s="57"/>
    </row>
    <row r="179" spans="1:7" ht="14.4">
      <c r="A179" s="261"/>
      <c r="B179" s="261"/>
      <c r="C179" s="265"/>
      <c r="D179" s="1859"/>
      <c r="E179" s="1859"/>
      <c r="F179" s="1859"/>
      <c r="G179" s="57"/>
    </row>
    <row r="180" spans="1:7" ht="14.4">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1176</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4.4">
      <c r="A186" s="261"/>
      <c r="B186" s="677" t="s">
        <v>316</v>
      </c>
      <c r="C186" s="555"/>
      <c r="D186" s="1821" t="s">
        <v>1266</v>
      </c>
      <c r="E186" s="1821"/>
      <c r="F186" s="1821"/>
      <c r="G186" s="676"/>
    </row>
    <row r="187" spans="1:7" s="675" customFormat="1" ht="14.4" customHeight="1">
      <c r="A187" s="261"/>
      <c r="C187" s="555"/>
      <c r="D187" s="1821"/>
      <c r="E187" s="1821"/>
      <c r="F187" s="1821"/>
      <c r="G187" s="676"/>
    </row>
    <row r="188" spans="1:7" s="675" customFormat="1" ht="14.4">
      <c r="A188" s="261"/>
      <c r="B188" s="695"/>
      <c r="C188" s="555"/>
      <c r="D188" s="1821"/>
      <c r="E188" s="1821"/>
      <c r="F188" s="1821"/>
      <c r="G188" s="676"/>
    </row>
    <row r="189" spans="1:7" s="675" customFormat="1" ht="14.4">
      <c r="A189" s="261"/>
      <c r="B189" s="695"/>
      <c r="C189" s="555"/>
      <c r="D189" s="1821"/>
      <c r="E189" s="1821"/>
      <c r="F189" s="1821"/>
      <c r="G189" s="676"/>
    </row>
    <row r="190" spans="1:7" s="680" customFormat="1">
      <c r="A190" s="265"/>
      <c r="B190" s="265"/>
      <c r="C190" s="265"/>
      <c r="D190" s="694"/>
      <c r="E190" s="694"/>
      <c r="F190" s="694"/>
      <c r="G190" s="7"/>
    </row>
    <row r="191" spans="1:7">
      <c r="A191" s="1841" t="s">
        <v>1161</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1"/>
      <c r="C194" s="255"/>
      <c r="D194" s="1836" t="s">
        <v>1290</v>
      </c>
      <c r="E194" s="1846"/>
      <c r="F194" s="1846"/>
    </row>
    <row r="195" spans="1:6" ht="12" customHeight="1">
      <c r="A195" s="23"/>
      <c r="B195" s="673"/>
      <c r="C195" s="23"/>
    </row>
    <row r="196" spans="1:6" ht="13.2" customHeight="1">
      <c r="A196" s="23"/>
      <c r="C196" s="23"/>
      <c r="D196" s="1844" t="s">
        <v>579</v>
      </c>
      <c r="E196" s="1844"/>
      <c r="F196" s="1844"/>
    </row>
    <row r="197" spans="1:6" ht="14.4">
      <c r="A197" s="261"/>
      <c r="B197" s="677" t="s">
        <v>316</v>
      </c>
      <c r="D197" s="1821" t="s">
        <v>1284</v>
      </c>
      <c r="E197" s="1821"/>
      <c r="F197" s="1821"/>
    </row>
    <row r="198" spans="1:6" ht="14.4">
      <c r="A198" s="261"/>
      <c r="B198" s="261"/>
      <c r="D198" s="1821"/>
      <c r="E198" s="1821"/>
      <c r="F198" s="1821"/>
    </row>
    <row r="199" spans="1:6"/>
    <row r="200" spans="1:6" ht="14.4">
      <c r="A200" s="261"/>
      <c r="B200" s="677" t="s">
        <v>316</v>
      </c>
      <c r="D200" s="1821" t="s">
        <v>1285</v>
      </c>
      <c r="E200" s="1821"/>
      <c r="F200" s="1821"/>
    </row>
    <row r="201" spans="1:6" ht="14.4">
      <c r="A201" s="261"/>
      <c r="B201" s="261"/>
      <c r="D201" s="1821"/>
      <c r="E201" s="1821"/>
      <c r="F201" s="1821"/>
    </row>
    <row r="202" spans="1:6" ht="14.4">
      <c r="A202" s="261"/>
      <c r="B202" s="261"/>
      <c r="D202" s="1821"/>
      <c r="E202" s="1821"/>
      <c r="F202" s="1821"/>
    </row>
    <row r="203" spans="1:6" ht="5.0999999999999996" customHeight="1">
      <c r="A203" s="261"/>
      <c r="B203" s="261"/>
      <c r="D203" s="151"/>
      <c r="E203" s="135"/>
      <c r="F203" s="135"/>
    </row>
    <row r="204" spans="1:6" ht="14.4">
      <c r="A204" s="261"/>
      <c r="B204" s="261"/>
      <c r="D204" s="1821" t="s">
        <v>1286</v>
      </c>
      <c r="E204" s="1821"/>
      <c r="F204" s="1821"/>
    </row>
    <row r="205" spans="1:6" ht="14.4">
      <c r="A205" s="261"/>
      <c r="B205" s="261"/>
      <c r="D205" s="1821"/>
      <c r="E205" s="1821"/>
      <c r="F205" s="1821"/>
    </row>
    <row r="206" spans="1:6" ht="14.4">
      <c r="A206" s="261"/>
      <c r="B206" s="261"/>
      <c r="D206" s="1821"/>
      <c r="E206" s="1821"/>
      <c r="F206" s="1821"/>
    </row>
    <row r="207" spans="1:6" ht="14.4">
      <c r="A207" s="261"/>
      <c r="B207" s="261"/>
      <c r="D207" s="1821"/>
      <c r="E207" s="1821"/>
      <c r="F207" s="1821"/>
    </row>
    <row r="208" spans="1:6" ht="14.4">
      <c r="A208" s="261"/>
      <c r="B208" s="261"/>
      <c r="D208" s="1821"/>
      <c r="E208" s="1821"/>
      <c r="F208" s="1821"/>
    </row>
    <row r="209" spans="1:7" ht="14.4">
      <c r="A209" s="261"/>
      <c r="B209" s="261"/>
      <c r="D209" s="135"/>
      <c r="E209" s="135"/>
      <c r="F209" s="135"/>
    </row>
    <row r="210" spans="1:7" ht="14.4">
      <c r="A210" s="261"/>
      <c r="B210" s="677" t="s">
        <v>316</v>
      </c>
      <c r="D210" s="1835" t="s">
        <v>1287</v>
      </c>
      <c r="E210" s="1835"/>
      <c r="F210" s="1835"/>
    </row>
    <row r="211" spans="1:7" ht="14.4">
      <c r="A211" s="261"/>
      <c r="B211" s="261"/>
      <c r="D211" s="1835"/>
      <c r="E211" s="1835"/>
      <c r="F211" s="1835"/>
    </row>
    <row r="212" spans="1:7" ht="14.4">
      <c r="A212" s="261"/>
      <c r="B212" s="261"/>
      <c r="D212" s="1869" t="s">
        <v>963</v>
      </c>
      <c r="E212" s="1869"/>
      <c r="F212" s="1869"/>
    </row>
    <row r="213" spans="1:7" ht="14.4">
      <c r="A213" s="261"/>
      <c r="B213" s="261"/>
      <c r="D213" s="135"/>
      <c r="E213" s="135"/>
      <c r="F213" s="135"/>
    </row>
    <row r="214" spans="1:7" ht="14.4" customHeight="1">
      <c r="A214" s="261"/>
      <c r="B214" s="677" t="s">
        <v>316</v>
      </c>
      <c r="D214" s="1835" t="s">
        <v>1289</v>
      </c>
      <c r="E214" s="1835"/>
      <c r="F214" s="1835"/>
    </row>
    <row r="215" spans="1:7" ht="14.4">
      <c r="A215" s="261"/>
      <c r="B215" s="261"/>
      <c r="D215" s="1835"/>
      <c r="E215" s="1835"/>
      <c r="F215" s="1835"/>
    </row>
    <row r="216" spans="1:7" ht="14.4">
      <c r="A216" s="261"/>
      <c r="B216" s="261"/>
      <c r="D216" s="1835"/>
      <c r="E216" s="1835"/>
      <c r="F216" s="1835"/>
    </row>
    <row r="217" spans="1:7" ht="14.4">
      <c r="A217" s="261"/>
      <c r="B217" s="261"/>
      <c r="D217" s="1835"/>
      <c r="E217" s="1835"/>
      <c r="F217" s="1835"/>
    </row>
    <row r="218" spans="1:7" ht="14.4">
      <c r="A218" s="261"/>
      <c r="B218" s="261"/>
      <c r="D218" s="1835"/>
      <c r="E218" s="1835"/>
      <c r="F218" s="1835"/>
    </row>
    <row r="219" spans="1:7">
      <c r="D219" s="135"/>
      <c r="E219" s="135"/>
      <c r="F219" s="135"/>
    </row>
    <row r="220" spans="1:7" ht="14.4">
      <c r="A220" s="261"/>
      <c r="B220" s="677" t="s">
        <v>316</v>
      </c>
      <c r="D220" s="1821" t="s">
        <v>1288</v>
      </c>
      <c r="E220" s="1821"/>
      <c r="F220" s="1821"/>
    </row>
    <row r="221" spans="1:7" ht="14.4">
      <c r="A221" s="261"/>
      <c r="B221" s="261"/>
      <c r="D221" s="1821"/>
      <c r="E221" s="1821"/>
      <c r="F221" s="1821"/>
    </row>
    <row r="222" spans="1:7">
      <c r="D222" s="29"/>
    </row>
    <row r="223" spans="1:7">
      <c r="A223" s="1841" t="s">
        <v>1162</v>
      </c>
      <c r="B223" s="1841"/>
      <c r="C223" s="1841"/>
      <c r="D223" s="1841"/>
      <c r="E223" s="1841"/>
      <c r="F223" s="1841"/>
      <c r="G223" s="1841"/>
    </row>
    <row r="224" spans="1:7">
      <c r="D224" s="29"/>
    </row>
    <row r="225" spans="1:6">
      <c r="C225" s="262"/>
      <c r="D225" s="1844" t="s">
        <v>1291</v>
      </c>
      <c r="E225" s="1844"/>
      <c r="F225" s="1844"/>
    </row>
    <row r="226" spans="1:6">
      <c r="A226" s="255"/>
      <c r="B226" s="671"/>
      <c r="C226" s="255"/>
      <c r="D226" s="135"/>
      <c r="E226" s="135"/>
      <c r="F226" s="135"/>
    </row>
    <row r="227" spans="1:6">
      <c r="A227" s="260"/>
      <c r="B227" s="260"/>
      <c r="C227" s="260"/>
      <c r="D227" s="1844" t="s">
        <v>275</v>
      </c>
      <c r="E227" s="1844"/>
      <c r="F227" s="1844"/>
    </row>
    <row r="228" spans="1:6" ht="14.4">
      <c r="A228" s="261"/>
      <c r="B228" s="677" t="s">
        <v>316</v>
      </c>
      <c r="D228" s="1845" t="s">
        <v>1292</v>
      </c>
      <c r="E228" s="1845"/>
      <c r="F228" s="1845"/>
    </row>
    <row r="229" spans="1:6" ht="14.4">
      <c r="A229" s="261"/>
      <c r="B229" s="261"/>
      <c r="D229" s="1845"/>
      <c r="E229" s="1845"/>
      <c r="F229" s="1845"/>
    </row>
    <row r="230" spans="1:6">
      <c r="D230" s="135"/>
      <c r="E230" s="135"/>
      <c r="F230" s="135"/>
    </row>
    <row r="231" spans="1:6" ht="14.4" customHeight="1">
      <c r="A231" s="261"/>
      <c r="B231" s="677" t="s">
        <v>316</v>
      </c>
      <c r="D231" s="1835" t="s">
        <v>1293</v>
      </c>
      <c r="E231" s="1835"/>
      <c r="F231" s="1835"/>
    </row>
    <row r="232" spans="1:6">
      <c r="D232" s="1835"/>
      <c r="E232" s="1835"/>
      <c r="F232" s="1835"/>
    </row>
    <row r="233" spans="1:6">
      <c r="D233" s="1846" t="s">
        <v>954</v>
      </c>
      <c r="E233" s="1846"/>
      <c r="F233" s="1846"/>
    </row>
    <row r="234" spans="1:6">
      <c r="D234" s="135"/>
      <c r="E234" s="135"/>
      <c r="F234" s="135"/>
    </row>
    <row r="235" spans="1:6" ht="14.4" customHeight="1">
      <c r="A235" s="261"/>
      <c r="B235" s="677" t="s">
        <v>316</v>
      </c>
      <c r="D235" s="1835" t="s">
        <v>1295</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4">
      <c r="A241" s="261"/>
      <c r="B241" s="677" t="s">
        <v>316</v>
      </c>
      <c r="D241" s="1821" t="s">
        <v>1294</v>
      </c>
      <c r="E241" s="1821"/>
      <c r="F241" s="1821"/>
    </row>
    <row r="242" spans="1:7">
      <c r="D242" s="1821"/>
      <c r="E242" s="1821"/>
      <c r="F242" s="1821"/>
    </row>
    <row r="243" spans="1:7">
      <c r="D243" s="1821"/>
      <c r="E243" s="1821"/>
      <c r="F243" s="1821"/>
    </row>
    <row r="244" spans="1:7">
      <c r="D244" s="263"/>
      <c r="E244" s="135"/>
      <c r="F244" s="135"/>
    </row>
    <row r="245" spans="1:7">
      <c r="A245" s="1841" t="s">
        <v>1163</v>
      </c>
      <c r="B245" s="1841"/>
      <c r="C245" s="1841"/>
      <c r="D245" s="1841"/>
      <c r="E245" s="1841"/>
      <c r="F245" s="1841"/>
      <c r="G245" s="1841"/>
    </row>
    <row r="246" spans="1:7">
      <c r="D246" s="263"/>
      <c r="E246" s="135"/>
      <c r="F246" s="135"/>
    </row>
    <row r="247" spans="1:7">
      <c r="C247" s="255"/>
      <c r="D247" s="1870" t="s">
        <v>1296</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1297</v>
      </c>
      <c r="E251" s="1852"/>
      <c r="F251" s="1852"/>
    </row>
    <row r="252" spans="1:7">
      <c r="E252" s="135"/>
      <c r="F252" s="135"/>
    </row>
    <row r="253" spans="1:7" ht="14.4">
      <c r="A253" s="261"/>
      <c r="B253" s="677" t="s">
        <v>316</v>
      </c>
      <c r="D253" s="1821" t="s">
        <v>1298</v>
      </c>
      <c r="E253" s="1821"/>
      <c r="F253" s="1821"/>
    </row>
    <row r="254" spans="1:7" ht="14.4">
      <c r="A254" s="261"/>
      <c r="B254" s="261"/>
      <c r="D254" s="1821"/>
      <c r="E254" s="1821"/>
      <c r="F254" s="1821"/>
    </row>
    <row r="255" spans="1:7">
      <c r="D255" s="135"/>
      <c r="E255" s="135"/>
      <c r="F255" s="135"/>
    </row>
    <row r="256" spans="1:7" ht="14.4">
      <c r="A256" s="261"/>
      <c r="B256" s="677" t="s">
        <v>316</v>
      </c>
      <c r="D256" s="1835" t="s">
        <v>1299</v>
      </c>
      <c r="E256" s="1835"/>
      <c r="F256" s="1835"/>
    </row>
    <row r="257" spans="1:7" ht="14.4">
      <c r="A257" s="261"/>
      <c r="B257" s="261"/>
      <c r="D257" s="1835"/>
      <c r="E257" s="1835"/>
      <c r="F257" s="1835"/>
    </row>
    <row r="258" spans="1:7" ht="14.4">
      <c r="A258" s="261"/>
      <c r="B258" s="261"/>
      <c r="D258" s="1835"/>
      <c r="E258" s="1835"/>
      <c r="F258" s="1835"/>
    </row>
    <row r="259" spans="1:7">
      <c r="D259" s="135"/>
      <c r="E259" s="135"/>
      <c r="F259" s="135"/>
    </row>
    <row r="260" spans="1:7" ht="14.4">
      <c r="A260" s="261"/>
      <c r="B260" s="677" t="s">
        <v>316</v>
      </c>
      <c r="D260" s="1821" t="s">
        <v>1300</v>
      </c>
      <c r="E260" s="1821"/>
      <c r="F260" s="1821"/>
    </row>
    <row r="261" spans="1:7" ht="14.4">
      <c r="A261" s="261"/>
      <c r="B261" s="261"/>
      <c r="D261" s="1821"/>
      <c r="E261" s="1821"/>
      <c r="F261" s="1821"/>
    </row>
    <row r="262" spans="1:7">
      <c r="A262" s="23"/>
      <c r="B262" s="673"/>
      <c r="E262" s="135"/>
      <c r="F262" s="135"/>
    </row>
    <row r="263" spans="1:7">
      <c r="A263" s="1841" t="s">
        <v>1164</v>
      </c>
      <c r="B263" s="1841"/>
      <c r="C263" s="1841"/>
      <c r="D263" s="1841"/>
      <c r="E263" s="1841"/>
      <c r="F263" s="1841"/>
      <c r="G263" s="1841"/>
    </row>
    <row r="264" spans="1:7">
      <c r="A264" s="23"/>
      <c r="B264" s="673"/>
      <c r="D264" s="135"/>
      <c r="E264" s="135"/>
      <c r="F264" s="135"/>
    </row>
    <row r="265" spans="1:7">
      <c r="C265" s="23"/>
      <c r="D265" s="1844" t="s">
        <v>719</v>
      </c>
      <c r="E265" s="1844"/>
      <c r="F265" s="1844"/>
    </row>
    <row r="266" spans="1:7">
      <c r="C266" s="23"/>
      <c r="D266" s="1834" t="s">
        <v>1301</v>
      </c>
      <c r="E266" s="1834"/>
      <c r="F266" s="1834"/>
    </row>
    <row r="267" spans="1:7">
      <c r="C267" s="23"/>
      <c r="D267" s="259"/>
    </row>
    <row r="268" spans="1:7">
      <c r="A268" s="273"/>
      <c r="B268" s="677" t="s">
        <v>316</v>
      </c>
      <c r="D268" s="1834" t="s">
        <v>1302</v>
      </c>
      <c r="E268" s="1834"/>
      <c r="F268" s="1834"/>
    </row>
    <row r="269" spans="1:7" s="39" customFormat="1" ht="14.4">
      <c r="A269" s="403"/>
      <c r="B269" s="403"/>
      <c r="C269" s="273"/>
      <c r="D269" s="495"/>
      <c r="E269" s="496"/>
      <c r="F269" s="496"/>
      <c r="G269" s="130"/>
    </row>
    <row r="270" spans="1:7" s="39" customFormat="1" ht="13.2" customHeight="1">
      <c r="A270" s="273"/>
      <c r="B270" s="677" t="s">
        <v>316</v>
      </c>
      <c r="C270" s="273"/>
      <c r="D270" s="1847" t="s">
        <v>1303</v>
      </c>
      <c r="E270" s="1847"/>
      <c r="F270" s="1847"/>
      <c r="G270" s="130"/>
    </row>
    <row r="271" spans="1:7" s="39" customFormat="1" ht="14.4">
      <c r="A271" s="403"/>
      <c r="B271" s="403"/>
      <c r="C271" s="273"/>
      <c r="D271" s="1847"/>
      <c r="E271" s="1847"/>
      <c r="F271" s="1847"/>
      <c r="G271" s="130"/>
    </row>
    <row r="272" spans="1:7" s="39" customFormat="1" ht="14.4">
      <c r="A272" s="403"/>
      <c r="B272" s="403"/>
      <c r="C272" s="273"/>
      <c r="D272" s="1847"/>
      <c r="E272" s="1847"/>
      <c r="F272" s="1847"/>
      <c r="G272" s="130"/>
    </row>
    <row r="273" spans="1:7" s="39" customFormat="1" ht="14.4">
      <c r="A273" s="403"/>
      <c r="B273" s="403"/>
      <c r="C273" s="273"/>
      <c r="D273" s="1847"/>
      <c r="E273" s="1847"/>
      <c r="F273" s="1847"/>
      <c r="G273" s="130"/>
    </row>
    <row r="274" spans="1:7" s="39" customFormat="1" ht="14.4">
      <c r="A274" s="403"/>
      <c r="B274" s="403"/>
      <c r="C274" s="273"/>
      <c r="D274" s="1847"/>
      <c r="E274" s="1847"/>
      <c r="F274" s="1847"/>
      <c r="G274" s="130"/>
    </row>
    <row r="275" spans="1:7" s="39" customFormat="1" ht="14.4">
      <c r="A275" s="403"/>
      <c r="B275" s="403"/>
      <c r="C275" s="273"/>
      <c r="D275" s="495"/>
      <c r="E275" s="496"/>
      <c r="F275" s="496"/>
      <c r="G275" s="130"/>
    </row>
    <row r="276" spans="1:7" s="39" customFormat="1" ht="13.2" customHeight="1">
      <c r="A276" s="273"/>
      <c r="B276" s="677" t="s">
        <v>316</v>
      </c>
      <c r="C276" s="273"/>
      <c r="D276" s="1847" t="s">
        <v>1304</v>
      </c>
      <c r="E276" s="1847"/>
      <c r="F276" s="1847"/>
      <c r="G276" s="130"/>
    </row>
    <row r="277" spans="1:7" s="39" customFormat="1">
      <c r="A277" s="273"/>
      <c r="B277" s="273"/>
      <c r="C277" s="273"/>
      <c r="D277" s="1847"/>
      <c r="E277" s="1847"/>
      <c r="F277" s="1847"/>
      <c r="G277" s="130"/>
    </row>
    <row r="278" spans="1:7" s="39" customFormat="1" ht="14.4">
      <c r="A278" s="403"/>
      <c r="B278" s="403"/>
      <c r="C278" s="273"/>
      <c r="D278" s="495"/>
      <c r="E278" s="496"/>
      <c r="F278" s="496"/>
      <c r="G278" s="130"/>
    </row>
    <row r="279" spans="1:7">
      <c r="A279" s="273"/>
      <c r="B279" s="677" t="s">
        <v>316</v>
      </c>
      <c r="D279" s="1834" t="s">
        <v>1305</v>
      </c>
      <c r="E279" s="1834"/>
      <c r="F279" s="1834"/>
    </row>
    <row r="280" spans="1:7">
      <c r="E280" s="135"/>
      <c r="F280" s="135"/>
    </row>
    <row r="281" spans="1:7" ht="14.4">
      <c r="A281" s="261"/>
      <c r="B281" s="677" t="s">
        <v>316</v>
      </c>
      <c r="D281" s="1835" t="s">
        <v>1306</v>
      </c>
      <c r="E281" s="1835"/>
      <c r="F281" s="1835"/>
    </row>
    <row r="282" spans="1:7" ht="14.4">
      <c r="A282" s="261"/>
      <c r="B282" s="261"/>
      <c r="D282" s="1835"/>
      <c r="E282" s="1835"/>
      <c r="F282" s="1835"/>
    </row>
    <row r="283" spans="1:7" s="717" customFormat="1" ht="14.4">
      <c r="A283" s="712"/>
      <c r="B283" s="712"/>
      <c r="C283" s="729"/>
      <c r="D283" s="1835"/>
      <c r="E283" s="1835"/>
      <c r="F283" s="1835"/>
      <c r="G283" s="7"/>
    </row>
    <row r="284" spans="1:7" s="717" customFormat="1" ht="14.4">
      <c r="A284" s="712"/>
      <c r="B284" s="712"/>
      <c r="C284" s="729"/>
      <c r="D284" s="1835"/>
      <c r="E284" s="1835"/>
      <c r="F284" s="1835"/>
      <c r="G284" s="7"/>
    </row>
    <row r="285" spans="1:7" s="717" customFormat="1" ht="14.4">
      <c r="A285" s="712"/>
      <c r="B285" s="712"/>
      <c r="C285" s="729"/>
      <c r="D285" s="1835"/>
      <c r="E285" s="1835"/>
      <c r="F285" s="1835"/>
      <c r="G285" s="7"/>
    </row>
    <row r="286" spans="1:7" s="717" customFormat="1" ht="14.4">
      <c r="A286" s="712"/>
      <c r="B286" s="712"/>
      <c r="C286" s="729"/>
      <c r="D286" s="1835"/>
      <c r="E286" s="1835"/>
      <c r="F286" s="1835"/>
      <c r="G286" s="7"/>
    </row>
    <row r="287" spans="1:7" s="717" customFormat="1" ht="14.4">
      <c r="A287" s="712"/>
      <c r="B287" s="712"/>
      <c r="C287" s="729"/>
      <c r="D287" s="1835"/>
      <c r="E287" s="1835"/>
      <c r="F287" s="1835"/>
      <c r="G287" s="7"/>
    </row>
    <row r="288" spans="1:7" s="717" customFormat="1" ht="14.4">
      <c r="A288" s="712"/>
      <c r="B288" s="712"/>
      <c r="C288" s="729"/>
      <c r="D288" s="1835"/>
      <c r="E288" s="1835"/>
      <c r="F288" s="1835"/>
      <c r="G288" s="7"/>
    </row>
    <row r="289" spans="1:7" s="717" customFormat="1" ht="14.4">
      <c r="A289" s="712"/>
      <c r="B289" s="712"/>
      <c r="C289" s="729"/>
      <c r="D289" s="1835"/>
      <c r="E289" s="1835"/>
      <c r="F289" s="1835"/>
      <c r="G289" s="7"/>
    </row>
    <row r="290" spans="1:7" s="717" customFormat="1" ht="14.4">
      <c r="A290" s="712"/>
      <c r="B290" s="712"/>
      <c r="C290" s="729"/>
      <c r="D290" s="1835"/>
      <c r="E290" s="1835"/>
      <c r="F290" s="1835"/>
      <c r="G290" s="7"/>
    </row>
    <row r="291" spans="1:7" s="717" customFormat="1" ht="14.4">
      <c r="A291" s="712"/>
      <c r="B291" s="712"/>
      <c r="C291" s="729"/>
      <c r="D291" s="1835"/>
      <c r="E291" s="1835"/>
      <c r="F291" s="1835"/>
      <c r="G291" s="7"/>
    </row>
    <row r="292" spans="1:7" s="717" customFormat="1" ht="14.4">
      <c r="A292" s="712"/>
      <c r="B292" s="712"/>
      <c r="C292" s="729"/>
      <c r="D292" s="1835"/>
      <c r="E292" s="1835"/>
      <c r="F292" s="1835"/>
      <c r="G292" s="7"/>
    </row>
    <row r="293" spans="1:7" ht="14.4">
      <c r="A293" s="261"/>
      <c r="B293" s="261"/>
      <c r="D293" s="1835"/>
      <c r="E293" s="1835"/>
      <c r="F293" s="1835"/>
    </row>
    <row r="294" spans="1:7" ht="14.4">
      <c r="A294" s="261"/>
      <c r="B294" s="261"/>
      <c r="D294" s="1835"/>
      <c r="E294" s="1835"/>
      <c r="F294" s="1835"/>
    </row>
    <row r="295" spans="1:7" ht="14.4">
      <c r="A295" s="261"/>
      <c r="B295" s="261"/>
      <c r="D295" s="1835"/>
      <c r="E295" s="1835"/>
      <c r="F295" s="1835"/>
    </row>
    <row r="296" spans="1:7">
      <c r="D296" s="135"/>
      <c r="E296" s="135"/>
      <c r="F296" s="135"/>
    </row>
    <row r="297" spans="1:7" ht="14.4">
      <c r="A297" s="261"/>
      <c r="B297" s="677" t="s">
        <v>316</v>
      </c>
      <c r="D297" s="1835" t="s">
        <v>1307</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4">
      <c r="A307" s="261"/>
      <c r="B307" s="677" t="s">
        <v>316</v>
      </c>
      <c r="D307" s="1821" t="s">
        <v>1308</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8" thickBot="1">
      <c r="D314" s="1853" t="s">
        <v>1060</v>
      </c>
      <c r="E314" s="1853"/>
      <c r="F314" s="1853"/>
      <c r="G314" s="12"/>
    </row>
    <row r="315" spans="1:7" s="717" customFormat="1" ht="13.8" thickTop="1">
      <c r="A315" s="729"/>
      <c r="B315" s="729"/>
      <c r="C315" s="729"/>
      <c r="D315" s="1854" t="s">
        <v>1309</v>
      </c>
      <c r="E315" s="1854"/>
      <c r="F315" s="1854"/>
    </row>
    <row r="316" spans="1:7">
      <c r="A316" s="325"/>
      <c r="B316" s="325"/>
      <c r="C316" s="325"/>
      <c r="D316" s="467"/>
      <c r="E316" s="467"/>
      <c r="F316" s="135"/>
      <c r="G316" s="12"/>
    </row>
    <row r="317" spans="1:7" ht="14.4">
      <c r="A317" s="261"/>
      <c r="B317" s="677" t="s">
        <v>316</v>
      </c>
      <c r="C317" s="325"/>
      <c r="D317" s="1855" t="s">
        <v>1310</v>
      </c>
      <c r="E317" s="1855"/>
      <c r="F317" s="1855"/>
      <c r="G317" s="12"/>
    </row>
    <row r="318" spans="1:7">
      <c r="A318" s="325"/>
      <c r="B318" s="325"/>
      <c r="C318" s="325"/>
      <c r="D318" s="467"/>
      <c r="E318" s="467"/>
      <c r="F318" s="135"/>
      <c r="G318" s="12"/>
    </row>
    <row r="319" spans="1:7">
      <c r="A319" s="325"/>
      <c r="B319" s="677" t="s">
        <v>316</v>
      </c>
      <c r="C319" s="325"/>
      <c r="D319" s="1850" t="s">
        <v>1311</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4.4">
      <c r="A331" s="261"/>
      <c r="B331" s="677" t="s">
        <v>316</v>
      </c>
      <c r="C331" s="325"/>
      <c r="D331" s="1848" t="s">
        <v>1312</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1313</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2" customHeight="1">
      <c r="A345" s="325"/>
      <c r="B345" s="325"/>
      <c r="C345" s="325"/>
      <c r="D345" s="1849" t="s">
        <v>1314</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1315</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4.4">
      <c r="A367" s="261"/>
      <c r="B367" s="677" t="s">
        <v>316</v>
      </c>
      <c r="C367" s="325"/>
      <c r="D367" s="1850" t="s">
        <v>1316</v>
      </c>
      <c r="E367" s="1850"/>
      <c r="F367" s="1850"/>
      <c r="G367" s="12"/>
    </row>
    <row r="368" spans="1:7" ht="14.4">
      <c r="A368" s="504"/>
      <c r="B368" s="504"/>
      <c r="C368" s="325"/>
      <c r="D368" s="1850"/>
      <c r="E368" s="1850"/>
      <c r="F368" s="1850"/>
      <c r="G368" s="12"/>
    </row>
    <row r="369" spans="1:7" ht="14.4">
      <c r="A369" s="504"/>
      <c r="B369" s="504"/>
      <c r="C369" s="325"/>
      <c r="D369" s="1850"/>
      <c r="E369" s="1850"/>
      <c r="F369" s="1850"/>
      <c r="G369" s="12"/>
    </row>
    <row r="370" spans="1:7" ht="14.4">
      <c r="A370" s="504"/>
      <c r="B370" s="504"/>
      <c r="C370" s="325"/>
      <c r="D370" s="1850"/>
      <c r="E370" s="1850"/>
      <c r="F370" s="1850"/>
      <c r="G370" s="12"/>
    </row>
    <row r="371" spans="1:7" ht="14.4">
      <c r="A371" s="504"/>
      <c r="B371" s="504"/>
      <c r="C371" s="325"/>
      <c r="D371" s="1850"/>
      <c r="E371" s="1850"/>
      <c r="F371" s="1850"/>
      <c r="G371" s="12"/>
    </row>
    <row r="372" spans="1:7">
      <c r="D372" s="135"/>
      <c r="E372" s="135"/>
      <c r="F372" s="135"/>
      <c r="G372" s="12"/>
    </row>
    <row r="373" spans="1:7" ht="14.4">
      <c r="A373" s="261"/>
      <c r="B373" s="677" t="s">
        <v>316</v>
      </c>
      <c r="C373" s="266"/>
      <c r="D373" s="1821" t="s">
        <v>1317</v>
      </c>
      <c r="E373" s="1821"/>
      <c r="F373" s="1821"/>
      <c r="G373" s="12"/>
    </row>
    <row r="374" spans="1:7" ht="14.4">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65" customHeight="1">
      <c r="A403" s="132"/>
      <c r="B403" s="674"/>
      <c r="C403" s="132"/>
      <c r="D403" s="1821"/>
      <c r="E403" s="1821"/>
      <c r="F403" s="1821"/>
      <c r="G403" s="30"/>
    </row>
    <row r="404" spans="1:7" s="32" customFormat="1">
      <c r="A404" s="132"/>
      <c r="B404" s="674"/>
      <c r="C404" s="132"/>
      <c r="D404" s="135"/>
      <c r="E404" s="135"/>
      <c r="F404" s="135"/>
      <c r="G404" s="30"/>
    </row>
    <row r="405" spans="1:7" ht="14.4">
      <c r="A405" s="261"/>
      <c r="B405" s="677" t="s">
        <v>316</v>
      </c>
      <c r="C405" s="266"/>
      <c r="D405" s="1834" t="s">
        <v>1318</v>
      </c>
      <c r="E405" s="1834"/>
      <c r="F405" s="1834"/>
    </row>
    <row r="406" spans="1:7">
      <c r="D406" s="1851" t="s">
        <v>1082</v>
      </c>
      <c r="E406" s="1851"/>
      <c r="F406" s="1851"/>
    </row>
    <row r="407" spans="1:7">
      <c r="D407" s="1835" t="s">
        <v>1319</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4">
      <c r="A412" s="261"/>
      <c r="B412" s="677" t="s">
        <v>316</v>
      </c>
      <c r="C412" s="266"/>
      <c r="D412" s="1821" t="s">
        <v>1320</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4.4">
      <c r="B416" s="677" t="s">
        <v>316</v>
      </c>
      <c r="C416" s="261"/>
      <c r="D416" s="1835" t="s">
        <v>1321</v>
      </c>
      <c r="E416" s="1835"/>
      <c r="F416" s="1835"/>
      <c r="G416" s="12"/>
    </row>
    <row r="417" spans="1:7">
      <c r="D417" s="1835"/>
      <c r="E417" s="1835"/>
      <c r="F417" s="1835"/>
      <c r="G417" s="12"/>
    </row>
    <row r="418" spans="1:7">
      <c r="D418" s="135"/>
      <c r="E418" s="135"/>
      <c r="F418" s="135"/>
      <c r="G418" s="12"/>
    </row>
    <row r="419" spans="1:7" ht="14.4">
      <c r="B419" s="677" t="s">
        <v>316</v>
      </c>
      <c r="C419" s="261"/>
      <c r="D419" s="1835" t="s">
        <v>1322</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1323</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1324</v>
      </c>
      <c r="E440" s="1836"/>
      <c r="F440" s="1836"/>
    </row>
    <row r="441" spans="1:7">
      <c r="A441" s="135"/>
      <c r="B441" s="135"/>
    </row>
    <row r="442" spans="1:7">
      <c r="A442" s="1841" t="s">
        <v>1165</v>
      </c>
      <c r="B442" s="1841"/>
      <c r="C442" s="1841"/>
      <c r="D442" s="1841"/>
      <c r="E442" s="1841"/>
      <c r="F442" s="1841"/>
      <c r="G442" s="1841"/>
    </row>
    <row r="443" spans="1:7">
      <c r="A443" s="135"/>
      <c r="B443" s="135"/>
    </row>
    <row r="444" spans="1:7">
      <c r="D444" s="1837" t="s">
        <v>948</v>
      </c>
      <c r="E444" s="1837"/>
      <c r="F444" s="1837"/>
    </row>
    <row r="445" spans="1:7" s="39" customFormat="1" ht="14.4">
      <c r="A445" s="403"/>
      <c r="B445" s="403"/>
      <c r="C445" s="273"/>
      <c r="D445" s="1838" t="s">
        <v>1325</v>
      </c>
      <c r="E445" s="1838"/>
      <c r="F445" s="1838"/>
      <c r="G445" s="130"/>
    </row>
    <row r="446" spans="1:7" s="39" customFormat="1" ht="14.4">
      <c r="A446" s="403"/>
      <c r="B446" s="403"/>
      <c r="C446" s="273"/>
      <c r="D446" s="730"/>
      <c r="E446" s="6"/>
      <c r="F446" s="6"/>
      <c r="G446" s="130"/>
    </row>
    <row r="447" spans="1:7" s="39" customFormat="1" ht="14.4">
      <c r="A447" s="261"/>
      <c r="B447" s="677" t="s">
        <v>316</v>
      </c>
      <c r="C447" s="273"/>
      <c r="D447" s="1839" t="s">
        <v>1326</v>
      </c>
      <c r="E447" s="1839"/>
      <c r="F447" s="1839"/>
      <c r="G447" s="130"/>
    </row>
    <row r="448" spans="1:7" s="39" customFormat="1" ht="14.4">
      <c r="A448" s="261"/>
      <c r="B448" s="261"/>
      <c r="C448" s="273"/>
      <c r="D448" s="1839"/>
      <c r="E448" s="1839"/>
      <c r="F448" s="1839"/>
      <c r="G448" s="130"/>
    </row>
    <row r="449" spans="1:7" s="39" customFormat="1" ht="14.4">
      <c r="A449" s="261"/>
      <c r="B449" s="261"/>
      <c r="C449" s="273"/>
      <c r="D449" s="728"/>
      <c r="E449" s="6"/>
      <c r="F449" s="6"/>
      <c r="G449" s="130"/>
    </row>
    <row r="450" spans="1:7">
      <c r="B450" s="677" t="s">
        <v>316</v>
      </c>
      <c r="D450" s="1840" t="s">
        <v>1327</v>
      </c>
      <c r="E450" s="1840"/>
      <c r="F450" s="1840"/>
    </row>
    <row r="451" spans="1:7" ht="14.4">
      <c r="A451" s="261"/>
      <c r="D451" s="1840"/>
      <c r="E451" s="1840"/>
      <c r="F451" s="1840"/>
    </row>
    <row r="452" spans="1:7" ht="14.4">
      <c r="A452" s="261"/>
      <c r="B452" s="261"/>
      <c r="D452" s="1840"/>
      <c r="E452" s="1840"/>
      <c r="F452" s="1840"/>
    </row>
    <row r="453" spans="1:7" ht="14.4">
      <c r="A453" s="261"/>
      <c r="B453" s="261"/>
      <c r="D453" s="1840"/>
      <c r="E453" s="1840"/>
      <c r="F453" s="1840"/>
    </row>
    <row r="454" spans="1:7">
      <c r="D454" s="676"/>
      <c r="E454" s="676"/>
      <c r="F454" s="676"/>
      <c r="G454" s="12"/>
    </row>
    <row r="455" spans="1:7" ht="14.4">
      <c r="A455" s="261"/>
      <c r="B455" s="677" t="s">
        <v>316</v>
      </c>
      <c r="D455" s="1822" t="s">
        <v>1328</v>
      </c>
      <c r="E455" s="1822"/>
      <c r="F455" s="1822"/>
      <c r="G455" s="12"/>
    </row>
    <row r="456" spans="1:7" ht="14.4">
      <c r="A456" s="261"/>
      <c r="B456" s="261"/>
      <c r="D456" s="1822"/>
      <c r="E456" s="1822"/>
      <c r="F456" s="1822"/>
      <c r="G456" s="12"/>
    </row>
    <row r="457" spans="1:7" ht="14.4">
      <c r="A457" s="261"/>
      <c r="D457" s="1822"/>
      <c r="E457" s="1822"/>
      <c r="F457" s="1822"/>
      <c r="G457" s="12"/>
    </row>
    <row r="458" spans="1:7" ht="14.4">
      <c r="A458" s="261"/>
      <c r="B458" s="261"/>
      <c r="D458" s="676"/>
      <c r="E458" s="676"/>
      <c r="F458" s="676"/>
      <c r="G458" s="12"/>
    </row>
    <row r="459" spans="1:7" ht="14.4">
      <c r="A459" s="261"/>
      <c r="B459" s="716" t="s">
        <v>316</v>
      </c>
      <c r="D459" s="1834" t="s">
        <v>1329</v>
      </c>
      <c r="E459" s="1834"/>
      <c r="F459" s="1834"/>
      <c r="G459" s="12"/>
    </row>
    <row r="460" spans="1:7" ht="14.4">
      <c r="A460" s="261"/>
      <c r="B460" s="261"/>
      <c r="D460" s="728"/>
      <c r="E460" s="6"/>
      <c r="F460" s="6"/>
      <c r="G460" s="12"/>
    </row>
    <row r="461" spans="1:7" ht="14.4">
      <c r="A461" s="261"/>
      <c r="B461" s="677" t="s">
        <v>316</v>
      </c>
      <c r="D461" s="1821" t="s">
        <v>1330</v>
      </c>
      <c r="E461" s="1821"/>
      <c r="F461" s="1821"/>
      <c r="G461" s="12"/>
    </row>
    <row r="462" spans="1:7" ht="14.4">
      <c r="A462" s="261"/>
      <c r="D462" s="1821"/>
      <c r="E462" s="1821"/>
      <c r="F462" s="1821"/>
      <c r="G462" s="12"/>
    </row>
    <row r="463" spans="1:7">
      <c r="A463" s="23"/>
      <c r="B463" s="673"/>
      <c r="D463" s="731"/>
      <c r="E463" s="6"/>
      <c r="F463" s="6"/>
      <c r="G463" s="12"/>
    </row>
    <row r="464" spans="1:7">
      <c r="A464" s="23"/>
      <c r="B464" s="716" t="s">
        <v>316</v>
      </c>
      <c r="D464" s="1834" t="s">
        <v>1331</v>
      </c>
      <c r="E464" s="1834"/>
      <c r="F464" s="1834"/>
      <c r="G464" s="12"/>
    </row>
    <row r="465" spans="1:7" ht="14.4">
      <c r="A465" s="261"/>
      <c r="B465" s="261"/>
      <c r="D465" s="135"/>
    </row>
    <row r="466" spans="1:7">
      <c r="A466" s="1841" t="s">
        <v>1166</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851</v>
      </c>
      <c r="E468" s="1842"/>
      <c r="F468" s="1842"/>
      <c r="G468" s="182"/>
    </row>
    <row r="469" spans="1:7" customFormat="1" ht="13.2" customHeight="1">
      <c r="A469" s="260"/>
      <c r="B469" s="260"/>
      <c r="C469" s="313"/>
      <c r="D469" s="1843" t="s">
        <v>1209</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1"/>
      <c r="E474" s="149"/>
      <c r="F474" s="151"/>
      <c r="G474" s="149"/>
    </row>
    <row r="475" spans="1:7" customFormat="1" ht="14.4" customHeight="1">
      <c r="A475" s="261"/>
      <c r="B475" s="677" t="s">
        <v>316</v>
      </c>
      <c r="C475" s="313"/>
      <c r="D475" s="1883" t="s">
        <v>1200</v>
      </c>
      <c r="E475" s="1883"/>
      <c r="F475" s="1883"/>
      <c r="G475" s="149"/>
    </row>
    <row r="476" spans="1:7" customFormat="1">
      <c r="A476" s="260"/>
      <c r="B476" s="260"/>
      <c r="C476" s="313"/>
      <c r="D476" s="1883"/>
      <c r="E476" s="1883"/>
      <c r="F476" s="1883"/>
      <c r="G476" s="149"/>
    </row>
    <row r="477" spans="1:7" s="678" customFormat="1">
      <c r="A477" s="260"/>
      <c r="B477" s="260"/>
      <c r="C477" s="313"/>
      <c r="D477" s="1883"/>
      <c r="E477" s="1883"/>
      <c r="F477" s="1883"/>
      <c r="G477" s="149"/>
    </row>
    <row r="478" spans="1:7" s="678"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3"/>
      <c r="E480" s="149"/>
      <c r="F480" s="151"/>
      <c r="G480" s="149"/>
    </row>
    <row r="481" spans="1:7" customFormat="1" ht="14.4" customHeight="1">
      <c r="A481" s="261"/>
      <c r="B481" s="677" t="s">
        <v>316</v>
      </c>
      <c r="C481" s="313"/>
      <c r="D481" s="1883" t="s">
        <v>1203</v>
      </c>
      <c r="E481" s="1883"/>
      <c r="F481" s="1883"/>
      <c r="G481" s="149"/>
    </row>
    <row r="482" spans="1:7" customFormat="1">
      <c r="A482" s="260"/>
      <c r="B482" s="260"/>
      <c r="C482" s="313"/>
      <c r="D482" s="1883"/>
      <c r="E482" s="1883"/>
      <c r="F482" s="1883"/>
      <c r="G482" s="149"/>
    </row>
    <row r="483" spans="1:7" s="678" customFormat="1">
      <c r="A483" s="260"/>
      <c r="B483" s="260"/>
      <c r="C483" s="313"/>
      <c r="D483" s="1883"/>
      <c r="E483" s="1883"/>
      <c r="F483" s="1883"/>
      <c r="G483" s="149"/>
    </row>
    <row r="484" spans="1:7" customFormat="1">
      <c r="A484" s="260"/>
      <c r="B484" s="260"/>
      <c r="C484" s="313"/>
      <c r="D484" s="1883"/>
      <c r="E484" s="1883"/>
      <c r="F484" s="1883"/>
      <c r="G484" s="149"/>
    </row>
    <row r="485" spans="1:7" customFormat="1" ht="9.9" customHeight="1">
      <c r="A485" s="260"/>
      <c r="B485" s="260"/>
      <c r="C485" s="313"/>
      <c r="D485" s="443"/>
      <c r="E485" s="149"/>
      <c r="F485" s="151"/>
      <c r="G485" s="149"/>
    </row>
    <row r="486" spans="1:7" customFormat="1" ht="14.4" customHeight="1">
      <c r="A486" s="261"/>
      <c r="B486" s="677" t="s">
        <v>316</v>
      </c>
      <c r="C486" s="313"/>
      <c r="D486" s="1883" t="s">
        <v>1201</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8" customFormat="1">
      <c r="A489" s="260"/>
      <c r="B489" s="260"/>
      <c r="C489" s="313"/>
      <c r="D489" s="698"/>
      <c r="E489" s="698"/>
      <c r="F489" s="698"/>
      <c r="G489" s="149"/>
    </row>
    <row r="490" spans="1:7" customFormat="1" ht="14.4" customHeight="1">
      <c r="A490" s="261"/>
      <c r="B490" s="677" t="s">
        <v>316</v>
      </c>
      <c r="C490" s="313"/>
      <c r="D490" s="1883" t="s">
        <v>1202</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7"/>
      <c r="B497" s="487"/>
      <c r="C497" s="486"/>
      <c r="D497" s="1883"/>
      <c r="E497" s="1883"/>
      <c r="F497" s="1883"/>
      <c r="G497" s="149"/>
    </row>
    <row r="498" spans="1:7" customFormat="1">
      <c r="A498" s="487"/>
      <c r="B498" s="487"/>
      <c r="C498" s="486"/>
      <c r="D498" s="1883"/>
      <c r="E498" s="1883"/>
      <c r="F498" s="1883"/>
      <c r="G498" s="149"/>
    </row>
    <row r="499" spans="1:7" customFormat="1">
      <c r="A499" s="487"/>
      <c r="B499" s="487"/>
      <c r="C499" s="486"/>
      <c r="D499" s="443"/>
      <c r="E499" s="149"/>
      <c r="F499" s="151"/>
      <c r="G499" s="149"/>
    </row>
    <row r="500" spans="1:7" customFormat="1" ht="13.2" customHeight="1">
      <c r="A500" s="487"/>
      <c r="B500" s="677" t="s">
        <v>316</v>
      </c>
      <c r="C500" s="486"/>
      <c r="D500" s="1833" t="s">
        <v>1346</v>
      </c>
      <c r="E500" s="1833"/>
      <c r="F500" s="1833"/>
      <c r="G500" s="149"/>
    </row>
    <row r="501" spans="1:7" customFormat="1">
      <c r="A501" s="487"/>
      <c r="B501" s="487"/>
      <c r="C501" s="486"/>
      <c r="D501" s="1833"/>
      <c r="E501" s="1833"/>
      <c r="F501" s="1833"/>
      <c r="G501" s="149"/>
    </row>
    <row r="502" spans="1:7" customFormat="1">
      <c r="A502" s="487"/>
      <c r="B502" s="487"/>
      <c r="C502" s="486"/>
      <c r="D502" s="1833"/>
      <c r="E502" s="1833"/>
      <c r="F502" s="1833"/>
      <c r="G502" s="149"/>
    </row>
    <row r="503" spans="1:7" customFormat="1">
      <c r="A503" s="487"/>
      <c r="B503" s="487"/>
      <c r="C503" s="486"/>
      <c r="D503" s="1833"/>
      <c r="E503" s="1833"/>
      <c r="F503" s="1833"/>
      <c r="G503" s="149"/>
    </row>
    <row r="504" spans="1:7" customFormat="1">
      <c r="A504" s="260"/>
      <c r="B504" s="260"/>
      <c r="C504" s="313"/>
      <c r="D504" s="1833"/>
      <c r="E504" s="1833"/>
      <c r="F504" s="1833"/>
      <c r="G504" s="149"/>
    </row>
    <row r="505" spans="1:7" s="715" customFormat="1">
      <c r="A505" s="718"/>
      <c r="B505" s="718"/>
      <c r="C505" s="313"/>
      <c r="D505" s="739"/>
      <c r="E505" s="739"/>
      <c r="F505" s="739"/>
      <c r="G505" s="149"/>
    </row>
    <row r="506" spans="1:7" customFormat="1" ht="14.4" customHeight="1">
      <c r="A506" s="261"/>
      <c r="B506" s="677" t="s">
        <v>316</v>
      </c>
      <c r="C506" s="10"/>
      <c r="D506" s="1883" t="s">
        <v>1204</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c r="A510" s="1841" t="s">
        <v>1167</v>
      </c>
      <c r="B510" s="1841"/>
      <c r="C510" s="1841"/>
      <c r="D510" s="1841"/>
      <c r="E510" s="1841"/>
      <c r="F510" s="1841"/>
      <c r="G510" s="1841"/>
    </row>
    <row r="511" spans="1:7">
      <c r="A511" s="135"/>
      <c r="B511" s="135"/>
      <c r="C511" s="266"/>
      <c r="F511" s="134"/>
    </row>
    <row r="512" spans="1:7">
      <c r="B512" s="1869" t="s">
        <v>470</v>
      </c>
      <c r="C512" s="1869"/>
      <c r="D512" s="1869"/>
      <c r="E512" s="1869"/>
      <c r="F512" s="1869"/>
    </row>
    <row r="513" spans="1:7">
      <c r="A513" s="135"/>
      <c r="B513" s="135"/>
      <c r="C513" s="266"/>
      <c r="D513" s="135"/>
      <c r="F513" s="135"/>
    </row>
    <row r="514" spans="1:7">
      <c r="A514" s="1891" t="s">
        <v>1168</v>
      </c>
      <c r="B514" s="1891"/>
      <c r="C514" s="1891"/>
      <c r="D514" s="1891"/>
      <c r="E514" s="1891"/>
      <c r="F514" s="1891"/>
      <c r="G514" s="1891"/>
    </row>
    <row r="515" spans="1:7">
      <c r="A515" s="135"/>
      <c r="B515" s="135"/>
      <c r="C515" s="266"/>
      <c r="D515" s="135"/>
      <c r="F515" s="135"/>
    </row>
    <row r="516" spans="1:7">
      <c r="C516" s="266"/>
      <c r="D516" s="1844" t="s">
        <v>720</v>
      </c>
      <c r="E516" s="1844"/>
      <c r="F516" s="1844"/>
    </row>
    <row r="517" spans="1:7" s="680" customFormat="1">
      <c r="A517" s="697"/>
      <c r="B517" s="697"/>
      <c r="C517" s="266"/>
      <c r="D517" s="1834" t="s">
        <v>1225</v>
      </c>
      <c r="E517" s="1834"/>
      <c r="F517" s="1834"/>
      <c r="G517" s="7"/>
    </row>
    <row r="518" spans="1:7" s="680" customFormat="1">
      <c r="A518" s="697"/>
      <c r="B518" s="697"/>
      <c r="C518" s="266"/>
      <c r="D518" s="702"/>
      <c r="E518" s="702"/>
      <c r="F518" s="702"/>
      <c r="G518" s="7"/>
    </row>
    <row r="519" spans="1:7" ht="13.2" customHeight="1">
      <c r="A519" s="261"/>
      <c r="B519" s="677" t="s">
        <v>316</v>
      </c>
      <c r="C519" s="266"/>
      <c r="D519" s="1834" t="s">
        <v>949</v>
      </c>
      <c r="E519" s="1834"/>
      <c r="F519" s="1834"/>
      <c r="G519" s="12"/>
    </row>
    <row r="520" spans="1:7" ht="13.2" customHeight="1">
      <c r="A520" s="266"/>
      <c r="B520" s="266"/>
      <c r="C520" s="266"/>
      <c r="D520" s="702"/>
      <c r="E520" s="675"/>
      <c r="F520" s="675"/>
      <c r="G520" s="12"/>
    </row>
    <row r="521" spans="1:7" ht="14.4">
      <c r="A521" s="261"/>
      <c r="B521" s="677" t="s">
        <v>316</v>
      </c>
      <c r="C521" s="266"/>
      <c r="D521" s="1821" t="s">
        <v>1226</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4">
      <c r="A524" s="261"/>
      <c r="B524" s="677" t="s">
        <v>316</v>
      </c>
      <c r="C524" s="266"/>
      <c r="D524" s="1821" t="s">
        <v>1227</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4">
      <c r="A527" s="261"/>
      <c r="B527" s="677" t="s">
        <v>316</v>
      </c>
      <c r="C527" s="266"/>
      <c r="D527" s="1821" t="s">
        <v>1228</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4">
      <c r="A530" s="261"/>
      <c r="B530" s="677" t="s">
        <v>316</v>
      </c>
      <c r="C530" s="266"/>
      <c r="D530" s="1821" t="s">
        <v>1229</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4">
      <c r="A534" s="261"/>
      <c r="B534" s="677" t="s">
        <v>316</v>
      </c>
      <c r="C534" s="266"/>
      <c r="D534" s="1856" t="s">
        <v>1347</v>
      </c>
      <c r="E534" s="1856"/>
      <c r="F534" s="1856"/>
    </row>
    <row r="535" spans="1:7">
      <c r="A535" s="266"/>
      <c r="B535" s="266"/>
      <c r="C535" s="266"/>
      <c r="D535" s="1856"/>
      <c r="E535" s="1856"/>
      <c r="F535" s="1856"/>
    </row>
    <row r="536" spans="1:7">
      <c r="A536" s="266"/>
      <c r="B536" s="266"/>
      <c r="C536" s="266"/>
      <c r="D536" s="135"/>
      <c r="E536" s="135"/>
      <c r="F536" s="135"/>
    </row>
    <row r="537" spans="1:7" ht="14.4">
      <c r="A537" s="261"/>
      <c r="B537" s="677" t="s">
        <v>316</v>
      </c>
      <c r="C537" s="266"/>
      <c r="D537" s="1856" t="s">
        <v>1230</v>
      </c>
      <c r="E537" s="1856"/>
      <c r="F537" s="1856"/>
    </row>
    <row r="538" spans="1:7">
      <c r="A538" s="266"/>
      <c r="B538" s="266"/>
      <c r="C538" s="266"/>
      <c r="D538" s="1856"/>
      <c r="E538" s="1856"/>
      <c r="F538" s="1856"/>
    </row>
    <row r="539" spans="1:7">
      <c r="A539" s="266"/>
      <c r="B539" s="266"/>
      <c r="C539" s="266"/>
      <c r="D539" s="135"/>
      <c r="E539" s="135"/>
      <c r="F539" s="135"/>
    </row>
    <row r="540" spans="1:7" ht="14.4">
      <c r="A540" s="261"/>
      <c r="B540" s="677" t="s">
        <v>316</v>
      </c>
      <c r="C540" s="266"/>
      <c r="D540" s="1821" t="s">
        <v>1231</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4">
      <c r="A543" s="261"/>
      <c r="B543" s="677" t="s">
        <v>316</v>
      </c>
      <c r="C543" s="266"/>
      <c r="D543" s="1834" t="s">
        <v>1232</v>
      </c>
      <c r="E543" s="1834"/>
      <c r="F543" s="1834"/>
      <c r="G543" s="57"/>
    </row>
    <row r="544" spans="1:7">
      <c r="A544" s="23"/>
      <c r="B544" s="673"/>
      <c r="C544" s="266"/>
      <c r="D544" s="1834" t="s">
        <v>881</v>
      </c>
      <c r="E544" s="1834"/>
      <c r="F544" s="1834"/>
      <c r="G544" s="57"/>
    </row>
    <row r="545" spans="1:7">
      <c r="A545" s="23"/>
      <c r="B545" s="673"/>
      <c r="C545" s="266"/>
      <c r="D545" s="6"/>
      <c r="E545" s="1852" t="s">
        <v>1233</v>
      </c>
      <c r="F545" s="1852"/>
      <c r="G545" s="57"/>
    </row>
    <row r="546" spans="1:7" ht="14.4">
      <c r="A546" s="261"/>
      <c r="B546" s="261"/>
      <c r="C546" s="266"/>
      <c r="E546" s="135"/>
      <c r="F546" s="135"/>
      <c r="G546" s="57"/>
    </row>
    <row r="547" spans="1:7" ht="14.4">
      <c r="A547" s="261"/>
      <c r="B547" s="677" t="s">
        <v>316</v>
      </c>
      <c r="C547" s="266"/>
      <c r="D547" s="1896" t="s">
        <v>1234</v>
      </c>
      <c r="E547" s="1896"/>
      <c r="F547" s="1896"/>
      <c r="G547" s="57"/>
    </row>
    <row r="548" spans="1:7">
      <c r="C548" s="266"/>
      <c r="D548" s="1821" t="s">
        <v>1235</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4">
      <c r="A552" s="261"/>
      <c r="B552" s="677" t="s">
        <v>316</v>
      </c>
      <c r="C552" s="266"/>
      <c r="D552" s="1821" t="s">
        <v>1236</v>
      </c>
      <c r="E552" s="1821"/>
      <c r="F552" s="1821"/>
      <c r="G552" s="57"/>
    </row>
    <row r="553" spans="1:7" ht="14.4">
      <c r="A553" s="261"/>
      <c r="B553" s="261"/>
      <c r="C553" s="266"/>
      <c r="D553" s="1821"/>
      <c r="E553" s="1821"/>
      <c r="F553" s="1821"/>
      <c r="G553" s="57"/>
    </row>
    <row r="554" spans="1:7" ht="14.4">
      <c r="A554" s="261"/>
      <c r="B554" s="261"/>
      <c r="C554" s="266"/>
      <c r="D554" s="1821"/>
      <c r="E554" s="1821"/>
      <c r="F554" s="1821"/>
      <c r="G554" s="57"/>
    </row>
    <row r="555" spans="1:7" ht="14.4">
      <c r="A555" s="261"/>
      <c r="B555" s="261"/>
      <c r="C555" s="266"/>
      <c r="D555" s="1821"/>
      <c r="E555" s="1821"/>
      <c r="F555" s="1821"/>
      <c r="G555" s="57"/>
    </row>
    <row r="556" spans="1:7" ht="14.4">
      <c r="A556" s="261"/>
      <c r="B556" s="261"/>
      <c r="C556" s="266"/>
      <c r="D556" s="135"/>
      <c r="E556" s="135"/>
      <c r="F556" s="135"/>
      <c r="G556" s="57"/>
    </row>
    <row r="557" spans="1:7">
      <c r="A557" s="1841" t="s">
        <v>1169</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1185</v>
      </c>
      <c r="E560" s="1864"/>
      <c r="F560" s="1864"/>
      <c r="G560" s="57"/>
    </row>
    <row r="561" spans="1:7">
      <c r="A561" s="12"/>
      <c r="B561" s="12"/>
      <c r="C561" s="260"/>
      <c r="D561" s="377"/>
      <c r="G561" s="57"/>
    </row>
    <row r="562" spans="1:7">
      <c r="A562" s="260"/>
      <c r="B562" s="677" t="s">
        <v>316</v>
      </c>
      <c r="D562" s="1864" t="s">
        <v>955</v>
      </c>
      <c r="E562" s="1864"/>
      <c r="F562" s="1864"/>
      <c r="G562" s="57"/>
    </row>
    <row r="563" spans="1:7">
      <c r="A563" s="23"/>
      <c r="B563" s="673"/>
      <c r="D563" s="325"/>
    </row>
    <row r="564" spans="1:7">
      <c r="A564" s="23"/>
      <c r="B564" s="677" t="s">
        <v>316</v>
      </c>
      <c r="D564" s="1840" t="s">
        <v>1186</v>
      </c>
      <c r="E564" s="1840"/>
      <c r="F564" s="1840"/>
    </row>
    <row r="565" spans="1:7">
      <c r="A565" s="23"/>
      <c r="B565" s="673"/>
      <c r="D565" s="1840"/>
      <c r="E565" s="1840"/>
      <c r="F565" s="1840"/>
    </row>
    <row r="566" spans="1:7">
      <c r="A566" s="23"/>
      <c r="B566" s="686"/>
      <c r="D566" s="1840"/>
      <c r="E566" s="1840"/>
      <c r="F566" s="1840"/>
    </row>
    <row r="567" spans="1:7">
      <c r="A567" s="23"/>
      <c r="B567" s="673"/>
      <c r="D567" s="478"/>
    </row>
    <row r="568" spans="1:7" s="680" customFormat="1">
      <c r="A568" s="686"/>
      <c r="B568" s="677" t="s">
        <v>316</v>
      </c>
      <c r="C568" s="687"/>
      <c r="D568" s="1840" t="s">
        <v>1187</v>
      </c>
      <c r="E568" s="1840"/>
      <c r="F568" s="1840"/>
      <c r="G568" s="7"/>
    </row>
    <row r="569" spans="1:7" s="680" customFormat="1">
      <c r="A569" s="686"/>
      <c r="B569" s="686"/>
      <c r="C569" s="687"/>
      <c r="D569" s="1840"/>
      <c r="E569" s="1840"/>
      <c r="F569" s="1840"/>
      <c r="G569" s="7"/>
    </row>
    <row r="570" spans="1:7" s="680" customFormat="1">
      <c r="A570" s="686"/>
      <c r="B570" s="686"/>
      <c r="C570" s="687"/>
      <c r="D570" s="1840"/>
      <c r="E570" s="1840"/>
      <c r="F570" s="1840"/>
      <c r="G570" s="7"/>
    </row>
    <row r="571" spans="1:7" s="680" customFormat="1">
      <c r="A571" s="686"/>
      <c r="B571" s="686"/>
      <c r="C571" s="687"/>
      <c r="D571" s="1840"/>
      <c r="E571" s="1840"/>
      <c r="F571" s="1840"/>
      <c r="G571" s="7"/>
    </row>
    <row r="572" spans="1:7" s="680" customFormat="1">
      <c r="A572" s="686"/>
      <c r="B572" s="686"/>
      <c r="C572" s="687"/>
      <c r="D572" s="692"/>
      <c r="E572" s="692"/>
      <c r="F572" s="692"/>
      <c r="G572" s="7"/>
    </row>
    <row r="573" spans="1:7">
      <c r="A573" s="23"/>
      <c r="B573" s="677" t="s">
        <v>316</v>
      </c>
      <c r="D573" s="1840" t="s">
        <v>1188</v>
      </c>
      <c r="E573" s="1840"/>
      <c r="F573" s="1840"/>
    </row>
    <row r="574" spans="1:7">
      <c r="A574" s="23"/>
      <c r="B574" s="673"/>
      <c r="D574" s="1840"/>
      <c r="E574" s="1840"/>
      <c r="F574" s="1840"/>
    </row>
    <row r="575" spans="1:7">
      <c r="A575" s="23"/>
      <c r="B575" s="673"/>
      <c r="D575" s="377"/>
    </row>
    <row r="576" spans="1:7" s="680" customFormat="1">
      <c r="A576" s="686"/>
      <c r="B576" s="677" t="s">
        <v>316</v>
      </c>
      <c r="C576" s="687"/>
      <c r="D576" s="1864" t="s">
        <v>1189</v>
      </c>
      <c r="E576" s="1864"/>
      <c r="F576" s="1864"/>
      <c r="G576" s="7"/>
    </row>
    <row r="577" spans="1:7" s="680" customFormat="1">
      <c r="A577" s="686"/>
      <c r="B577" s="686"/>
      <c r="C577" s="687"/>
      <c r="D577" s="1864"/>
      <c r="E577" s="1864"/>
      <c r="F577" s="1864"/>
      <c r="G577" s="7"/>
    </row>
    <row r="578" spans="1:7" s="680" customFormat="1">
      <c r="A578" s="686"/>
      <c r="B578" s="686"/>
      <c r="C578" s="687"/>
      <c r="D578" s="377"/>
      <c r="E578" s="7"/>
      <c r="F578" s="7"/>
      <c r="G578" s="7"/>
    </row>
    <row r="579" spans="1:7" ht="14.4">
      <c r="A579" s="261"/>
      <c r="B579" s="677" t="s">
        <v>316</v>
      </c>
      <c r="D579" s="1864" t="s">
        <v>950</v>
      </c>
      <c r="E579" s="1864"/>
      <c r="F579" s="1864"/>
    </row>
    <row r="580" spans="1:7" ht="14.4">
      <c r="A580" s="261"/>
      <c r="B580" s="261"/>
      <c r="D580" s="377"/>
    </row>
    <row r="581" spans="1:7" ht="14.4">
      <c r="A581" s="261"/>
      <c r="B581" s="677" t="s">
        <v>316</v>
      </c>
      <c r="D581" s="1864" t="s">
        <v>1190</v>
      </c>
      <c r="E581" s="1864"/>
      <c r="F581" s="1864"/>
    </row>
    <row r="582" spans="1:7" ht="14.4">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c r="A588" s="1841" t="s">
        <v>1170</v>
      </c>
      <c r="B588" s="1841"/>
      <c r="C588" s="1841"/>
      <c r="D588" s="1841"/>
      <c r="E588" s="1841"/>
      <c r="F588" s="1841"/>
      <c r="G588" s="1841"/>
    </row>
    <row r="589" spans="1:7"/>
    <row r="590" spans="1:7">
      <c r="D590" s="1858" t="s">
        <v>1270</v>
      </c>
      <c r="E590" s="1858"/>
      <c r="F590" s="1858"/>
    </row>
    <row r="591" spans="1:7">
      <c r="D591" s="1897" t="s">
        <v>1271</v>
      </c>
      <c r="E591" s="1897"/>
      <c r="F591" s="1897"/>
    </row>
    <row r="592" spans="1:7" s="717" customFormat="1">
      <c r="A592" s="703"/>
      <c r="B592" s="703"/>
      <c r="C592" s="703"/>
      <c r="D592" s="721"/>
      <c r="E592" s="720"/>
      <c r="F592" s="720"/>
      <c r="G592" s="7"/>
    </row>
    <row r="593" spans="1:7" s="39" customFormat="1" ht="14.4">
      <c r="A593" s="403"/>
      <c r="B593" s="677" t="s">
        <v>316</v>
      </c>
      <c r="C593" s="273"/>
      <c r="D593" s="1860" t="s">
        <v>1272</v>
      </c>
      <c r="E593" s="1860"/>
      <c r="F593" s="1860"/>
      <c r="G593" s="130"/>
    </row>
    <row r="594" spans="1:7">
      <c r="D594" s="1860"/>
      <c r="E594" s="1860"/>
      <c r="F594" s="1860"/>
    </row>
    <row r="595" spans="1:7">
      <c r="D595" s="1860"/>
      <c r="E595" s="1860"/>
      <c r="F595" s="1860"/>
    </row>
    <row r="596" spans="1:7"/>
    <row r="597" spans="1:7">
      <c r="A597" s="1841" t="s">
        <v>1171</v>
      </c>
      <c r="B597" s="1841"/>
      <c r="C597" s="1841"/>
      <c r="D597" s="1841"/>
      <c r="E597" s="1841"/>
      <c r="F597" s="1841"/>
      <c r="G597" s="1841"/>
    </row>
    <row r="598" spans="1:7">
      <c r="A598" s="135"/>
      <c r="B598" s="135"/>
      <c r="G598" s="57"/>
    </row>
    <row r="599" spans="1:7">
      <c r="A599" s="257"/>
      <c r="B599" s="672"/>
      <c r="C599" s="255"/>
      <c r="D599" s="1898" t="s">
        <v>1273</v>
      </c>
      <c r="E599" s="1898"/>
      <c r="F599" s="1898"/>
      <c r="G599" s="57"/>
    </row>
    <row r="600" spans="1:7">
      <c r="A600" s="257"/>
      <c r="B600" s="672"/>
      <c r="C600" s="255"/>
      <c r="D600" s="1898"/>
      <c r="E600" s="1898"/>
      <c r="F600" s="1898"/>
      <c r="G600" s="57"/>
    </row>
    <row r="601" spans="1:7">
      <c r="C601" s="260"/>
      <c r="D601" s="1897" t="s">
        <v>1274</v>
      </c>
      <c r="E601" s="1897"/>
      <c r="F601" s="1897"/>
      <c r="G601" s="57"/>
    </row>
    <row r="602" spans="1:7" s="717" customFormat="1">
      <c r="A602" s="703"/>
      <c r="B602" s="703"/>
      <c r="C602" s="718"/>
      <c r="D602" s="722"/>
      <c r="E602" s="722"/>
      <c r="F602" s="722"/>
      <c r="G602" s="57"/>
    </row>
    <row r="603" spans="1:7">
      <c r="A603" s="23"/>
      <c r="B603" s="677" t="s">
        <v>316</v>
      </c>
      <c r="D603" s="1897" t="s">
        <v>453</v>
      </c>
      <c r="E603" s="1897"/>
      <c r="F603" s="1897"/>
      <c r="G603" s="57"/>
    </row>
    <row r="604" spans="1:7">
      <c r="C604" s="268"/>
      <c r="E604" s="12"/>
      <c r="G604" s="57"/>
    </row>
    <row r="605" spans="1:7">
      <c r="A605" s="23"/>
      <c r="B605" s="677" t="s">
        <v>316</v>
      </c>
      <c r="D605" s="1857" t="s">
        <v>1275</v>
      </c>
      <c r="E605" s="1857"/>
      <c r="F605" s="1857"/>
      <c r="G605" s="57"/>
    </row>
    <row r="606" spans="1:7">
      <c r="D606" s="1857"/>
      <c r="E606" s="1857"/>
      <c r="F606" s="1857"/>
      <c r="G606" s="57"/>
    </row>
    <row r="607" spans="1:7">
      <c r="D607" s="12"/>
      <c r="G607" s="57"/>
    </row>
    <row r="608" spans="1:7">
      <c r="B608" s="677" t="s">
        <v>316</v>
      </c>
      <c r="D608" s="1857" t="s">
        <v>1276</v>
      </c>
      <c r="E608" s="1857"/>
      <c r="F608" s="1857"/>
      <c r="G608" s="57"/>
    </row>
    <row r="609" spans="1:7">
      <c r="C609" s="268"/>
      <c r="D609" s="1857"/>
      <c r="E609" s="1857"/>
      <c r="F609" s="1857"/>
      <c r="G609" s="57"/>
    </row>
    <row r="610" spans="1:7">
      <c r="C610" s="268"/>
      <c r="G610" s="57"/>
    </row>
    <row r="611" spans="1:7">
      <c r="B611" s="677" t="s">
        <v>316</v>
      </c>
      <c r="C611" s="268"/>
      <c r="D611" s="1857" t="s">
        <v>1277</v>
      </c>
      <c r="E611" s="1857"/>
      <c r="F611" s="1857"/>
      <c r="G611" s="57"/>
    </row>
    <row r="612" spans="1:7">
      <c r="C612" s="268"/>
      <c r="D612" s="1857"/>
      <c r="E612" s="1857"/>
      <c r="F612" s="1857"/>
      <c r="G612" s="57"/>
    </row>
    <row r="613" spans="1:7">
      <c r="C613" s="268"/>
      <c r="G613" s="57"/>
    </row>
    <row r="614" spans="1:7">
      <c r="A614" s="1841" t="s">
        <v>1172</v>
      </c>
      <c r="B614" s="1841"/>
      <c r="C614" s="1841"/>
      <c r="D614" s="1841"/>
      <c r="E614" s="1841"/>
      <c r="F614" s="1841"/>
      <c r="G614" s="1841"/>
    </row>
    <row r="615" spans="1:7">
      <c r="A615" s="267"/>
      <c r="B615" s="267"/>
      <c r="C615" s="267"/>
      <c r="G615" s="57"/>
    </row>
    <row r="616" spans="1:7">
      <c r="C616" s="23"/>
      <c r="D616" s="1858" t="s">
        <v>1278</v>
      </c>
      <c r="E616" s="1858"/>
      <c r="F616" s="1858"/>
      <c r="G616" s="57"/>
    </row>
    <row r="617" spans="1:7">
      <c r="A617" s="23"/>
      <c r="B617" s="673"/>
      <c r="C617" s="265"/>
      <c r="D617" s="50"/>
      <c r="G617" s="57"/>
    </row>
    <row r="618" spans="1:7" ht="14.4">
      <c r="A618" s="261"/>
      <c r="B618" s="677" t="s">
        <v>316</v>
      </c>
      <c r="C618" s="265"/>
      <c r="D618" s="1859" t="s">
        <v>1279</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4.4">
      <c r="A625" s="261"/>
      <c r="B625" s="677" t="s">
        <v>316</v>
      </c>
      <c r="C625" s="265"/>
      <c r="D625" s="1859" t="s">
        <v>1280</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4">
      <c r="A628" s="261"/>
      <c r="B628" s="677" t="s">
        <v>316</v>
      </c>
      <c r="C628" s="266"/>
      <c r="D628" s="1860" t="s">
        <v>1281</v>
      </c>
      <c r="E628" s="1860"/>
      <c r="F628" s="1860"/>
      <c r="G628" s="57"/>
    </row>
    <row r="629" spans="1:7" ht="14.4">
      <c r="A629" s="261"/>
      <c r="B629" s="261"/>
      <c r="C629" s="266"/>
      <c r="D629" s="1860"/>
      <c r="E629" s="1860"/>
      <c r="F629" s="1860"/>
      <c r="G629" s="57"/>
    </row>
    <row r="630" spans="1:7" ht="14.4">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1282</v>
      </c>
      <c r="E633" s="1861"/>
      <c r="F633" s="1861"/>
      <c r="G633" s="57"/>
    </row>
    <row r="634" spans="1:7">
      <c r="A634" s="266"/>
      <c r="B634" s="266"/>
      <c r="C634" s="266"/>
      <c r="D634" s="725"/>
      <c r="E634" s="725"/>
      <c r="F634" s="725"/>
      <c r="G634" s="57"/>
    </row>
    <row r="635" spans="1:7">
      <c r="A635" s="1841" t="s">
        <v>1173</v>
      </c>
      <c r="B635" s="1841"/>
      <c r="C635" s="1841"/>
      <c r="D635" s="1841"/>
      <c r="E635" s="1841"/>
      <c r="F635" s="1841"/>
      <c r="G635" s="1841"/>
    </row>
    <row r="636" spans="1:7">
      <c r="A636" s="135"/>
      <c r="B636" s="135"/>
      <c r="C636" s="266"/>
      <c r="D636" s="147"/>
      <c r="E636" s="147"/>
      <c r="F636" s="147"/>
      <c r="G636" s="57"/>
    </row>
    <row r="637" spans="1:7">
      <c r="C637" s="267"/>
      <c r="D637" s="1862" t="s">
        <v>1332</v>
      </c>
      <c r="E637" s="1862"/>
      <c r="F637" s="1862"/>
      <c r="G637" s="57"/>
    </row>
    <row r="638" spans="1:7">
      <c r="A638" s="260"/>
      <c r="B638" s="260"/>
      <c r="C638" s="260"/>
      <c r="D638" s="1863" t="s">
        <v>1333</v>
      </c>
      <c r="E638" s="1863"/>
      <c r="F638" s="1863"/>
      <c r="G638" s="57"/>
    </row>
    <row r="639" spans="1:7" s="717" customFormat="1">
      <c r="A639" s="718"/>
      <c r="B639" s="718"/>
      <c r="C639" s="718"/>
      <c r="D639" s="732"/>
      <c r="E639" s="732"/>
      <c r="F639" s="732"/>
      <c r="G639" s="57"/>
    </row>
    <row r="640" spans="1:7" ht="14.4" customHeight="1">
      <c r="A640" s="261"/>
      <c r="B640" s="677" t="s">
        <v>316</v>
      </c>
      <c r="C640" s="266"/>
      <c r="D640" s="1819" t="s">
        <v>1334</v>
      </c>
      <c r="E640" s="1819"/>
      <c r="F640" s="1819"/>
      <c r="G640" s="57"/>
    </row>
    <row r="641" spans="1:11" ht="14.4">
      <c r="A641" s="261"/>
      <c r="B641" s="261"/>
      <c r="C641" s="266"/>
      <c r="D641" s="1819"/>
      <c r="E641" s="1819"/>
      <c r="F641" s="1819"/>
      <c r="G641" s="57"/>
    </row>
    <row r="642" spans="1:11" ht="14.4">
      <c r="A642" s="261"/>
      <c r="B642" s="261"/>
      <c r="C642" s="266"/>
      <c r="D642" s="1819"/>
      <c r="E642" s="1819"/>
      <c r="F642" s="1819"/>
      <c r="G642" s="57"/>
    </row>
    <row r="643" spans="1:11" ht="14.4">
      <c r="A643" s="261"/>
      <c r="B643" s="261"/>
      <c r="C643" s="266"/>
      <c r="D643" s="1819"/>
      <c r="E643" s="1819"/>
      <c r="F643" s="1819"/>
      <c r="G643" s="57"/>
    </row>
    <row r="644" spans="1:11" s="680" customFormat="1" ht="14.4">
      <c r="A644" s="261"/>
      <c r="B644" s="261"/>
      <c r="C644" s="266"/>
      <c r="D644" s="1819"/>
      <c r="E644" s="1819"/>
      <c r="F644" s="1819"/>
      <c r="G644" s="57"/>
    </row>
    <row r="645" spans="1:11" s="717" customFormat="1" ht="14.4">
      <c r="A645" s="712"/>
      <c r="B645" s="712"/>
      <c r="C645" s="266"/>
      <c r="D645" s="734"/>
      <c r="E645" s="734"/>
      <c r="F645" s="734"/>
      <c r="G645" s="57"/>
    </row>
    <row r="646" spans="1:11" s="680" customFormat="1" ht="14.4">
      <c r="A646" s="261"/>
      <c r="B646" s="677" t="s">
        <v>316</v>
      </c>
      <c r="C646" s="266"/>
      <c r="D646" s="1880" t="s">
        <v>1184</v>
      </c>
      <c r="E646" s="1880"/>
      <c r="F646" s="1880"/>
      <c r="G646" s="57"/>
    </row>
    <row r="647" spans="1:11" s="680" customFormat="1" ht="14.4">
      <c r="A647" s="261"/>
      <c r="B647" s="261"/>
      <c r="C647" s="266"/>
      <c r="D647" s="1881" t="s">
        <v>1335</v>
      </c>
      <c r="E647" s="1881"/>
      <c r="F647" s="1881"/>
      <c r="G647" s="57"/>
    </row>
    <row r="648" spans="1:11" s="680" customFormat="1" ht="14.4">
      <c r="A648" s="261"/>
      <c r="B648" s="261"/>
      <c r="C648" s="266"/>
      <c r="D648" s="1881"/>
      <c r="E648" s="1881"/>
      <c r="F648" s="1881"/>
      <c r="G648" s="57"/>
    </row>
    <row r="649" spans="1:11" s="680" customFormat="1" ht="14.4">
      <c r="A649" s="261"/>
      <c r="B649" s="261"/>
      <c r="C649" s="266"/>
      <c r="D649" s="1881"/>
      <c r="E649" s="1881"/>
      <c r="F649" s="1881"/>
      <c r="G649" s="57"/>
    </row>
    <row r="650" spans="1:11" s="680" customFormat="1" ht="14.4">
      <c r="A650" s="261"/>
      <c r="B650" s="261"/>
      <c r="C650" s="266"/>
      <c r="D650" s="1881"/>
      <c r="E650" s="1881"/>
      <c r="F650" s="1881"/>
      <c r="G650" s="57"/>
    </row>
    <row r="651" spans="1:11" s="680" customFormat="1" ht="14.4">
      <c r="A651" s="261"/>
      <c r="B651" s="261"/>
      <c r="C651" s="266"/>
      <c r="D651" s="1881"/>
      <c r="E651" s="1881"/>
      <c r="F651" s="1881"/>
      <c r="G651" s="57"/>
    </row>
    <row r="652" spans="1:11" s="680" customFormat="1" ht="14.4">
      <c r="A652" s="261"/>
      <c r="B652" s="261"/>
      <c r="C652" s="266"/>
      <c r="D652" s="1882" t="s">
        <v>1336</v>
      </c>
      <c r="E652" s="1882"/>
      <c r="F652" s="1882"/>
      <c r="G652" s="57"/>
    </row>
    <row r="653" spans="1:11">
      <c r="A653" s="266"/>
      <c r="B653" s="266"/>
      <c r="C653" s="266"/>
      <c r="D653" s="147"/>
      <c r="E653" s="147"/>
      <c r="F653" s="147"/>
      <c r="G653" s="57"/>
    </row>
    <row r="654" spans="1:11">
      <c r="A654" s="1841" t="s">
        <v>1174</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1210</v>
      </c>
      <c r="E658" s="1834"/>
      <c r="F658" s="1834"/>
      <c r="G658" s="57"/>
      <c r="H658" s="269"/>
      <c r="I658" s="269"/>
      <c r="J658" s="269"/>
      <c r="K658" s="269"/>
    </row>
    <row r="659" spans="1:11">
      <c r="A659" s="260"/>
      <c r="B659" s="260"/>
      <c r="C659" s="260"/>
      <c r="G659" s="57"/>
      <c r="H659" s="269"/>
      <c r="I659" s="269"/>
      <c r="J659" s="269"/>
      <c r="K659" s="269"/>
    </row>
    <row r="660" spans="1:11" ht="14.4">
      <c r="A660" s="261"/>
      <c r="B660" s="677" t="s">
        <v>316</v>
      </c>
      <c r="C660" s="260"/>
      <c r="D660" s="1834" t="s">
        <v>951</v>
      </c>
      <c r="E660" s="1834"/>
      <c r="F660" s="1834"/>
      <c r="G660" s="57"/>
      <c r="H660" s="269"/>
      <c r="I660" s="269"/>
      <c r="J660" s="269"/>
      <c r="K660" s="269"/>
    </row>
    <row r="661" spans="1:11">
      <c r="A661" s="260"/>
      <c r="B661" s="260"/>
      <c r="C661" s="260"/>
      <c r="D661" s="1834" t="s">
        <v>962</v>
      </c>
      <c r="E661" s="1834"/>
      <c r="F661" s="1834"/>
      <c r="G661" s="57"/>
      <c r="H661" s="269"/>
      <c r="I661" s="269"/>
      <c r="J661" s="269"/>
      <c r="K661" s="269"/>
    </row>
    <row r="662" spans="1:11">
      <c r="A662" s="260"/>
      <c r="B662" s="260"/>
      <c r="C662" s="260"/>
      <c r="D662" s="6"/>
      <c r="E662" s="1830" t="s">
        <v>1211</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21" t="s">
        <v>1212</v>
      </c>
      <c r="E665" s="1821"/>
      <c r="F665" s="1821"/>
      <c r="G665" s="57"/>
      <c r="H665" s="269"/>
      <c r="I665" s="269"/>
      <c r="J665" s="269"/>
      <c r="K665" s="269"/>
    </row>
    <row r="666" spans="1:11">
      <c r="A666" s="23"/>
      <c r="B666" s="673"/>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4">
      <c r="A669" s="261"/>
      <c r="B669" s="677" t="s">
        <v>316</v>
      </c>
      <c r="C669" s="260"/>
      <c r="D669" s="1834" t="s">
        <v>991</v>
      </c>
      <c r="E669" s="1834"/>
      <c r="F669" s="1834"/>
      <c r="G669" s="57"/>
      <c r="H669" s="269"/>
      <c r="I669" s="269"/>
      <c r="J669" s="269"/>
      <c r="K669" s="269"/>
    </row>
    <row r="670" spans="1:11" ht="14.4">
      <c r="A670" s="261"/>
      <c r="B670" s="261"/>
      <c r="C670" s="260"/>
      <c r="D670" s="1834" t="s">
        <v>962</v>
      </c>
      <c r="E670" s="1834"/>
      <c r="F670" s="1834"/>
      <c r="G670" s="57"/>
      <c r="H670" s="269"/>
      <c r="I670" s="269"/>
      <c r="J670" s="269"/>
      <c r="K670" s="269"/>
    </row>
    <row r="671" spans="1:11">
      <c r="A671" s="260"/>
      <c r="B671" s="260"/>
      <c r="C671" s="260"/>
      <c r="D671" s="6"/>
      <c r="E671" s="1852" t="s">
        <v>1213</v>
      </c>
      <c r="F671" s="1852"/>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856" t="s">
        <v>1223</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ht="14.4">
      <c r="A680" s="261"/>
      <c r="B680" s="677" t="s">
        <v>316</v>
      </c>
      <c r="C680" s="260"/>
      <c r="D680" s="1856" t="s">
        <v>1214</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856" t="s">
        <v>1224</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56" t="s">
        <v>1221</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56" t="s">
        <v>1222</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56" t="s">
        <v>1215</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56" t="s">
        <v>1216</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21" t="s">
        <v>1217</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856" t="s">
        <v>1350</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1218</v>
      </c>
      <c r="E724" s="1889"/>
      <c r="F724" s="1889"/>
      <c r="G724" s="57"/>
      <c r="H724" s="269"/>
      <c r="I724" s="269"/>
      <c r="J724" s="269"/>
      <c r="K724" s="269"/>
    </row>
    <row r="725" spans="1:11" s="680" customFormat="1">
      <c r="A725" s="260"/>
      <c r="B725" s="260"/>
      <c r="C725" s="260"/>
      <c r="D725" s="531"/>
      <c r="E725" s="7"/>
      <c r="F725" s="7"/>
      <c r="G725" s="57"/>
      <c r="H725" s="269"/>
      <c r="I725" s="269"/>
      <c r="J725" s="269"/>
      <c r="K725" s="269"/>
    </row>
    <row r="726" spans="1:11">
      <c r="A726" s="1891" t="s">
        <v>1175</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2" customHeight="1">
      <c r="C728" s="260"/>
      <c r="D728" s="1870" t="s">
        <v>1191</v>
      </c>
      <c r="E728" s="1870"/>
      <c r="F728" s="1870"/>
      <c r="G728" s="271"/>
      <c r="H728" s="269"/>
      <c r="I728" s="269"/>
      <c r="J728" s="269"/>
      <c r="K728" s="269"/>
    </row>
    <row r="729" spans="1:11">
      <c r="A729" s="260"/>
      <c r="B729" s="260"/>
      <c r="C729" s="260"/>
      <c r="D729" s="1887" t="s">
        <v>1192</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21" t="s">
        <v>1193</v>
      </c>
      <c r="E731" s="1821"/>
      <c r="F731" s="1821"/>
      <c r="G731" s="271"/>
      <c r="H731" s="272"/>
      <c r="I731" s="272"/>
      <c r="J731" s="272"/>
      <c r="K731" s="272"/>
    </row>
    <row r="732" spans="1:11" s="39" customFormat="1" ht="10.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7" t="s">
        <v>316</v>
      </c>
      <c r="C738" s="408"/>
      <c r="D738" s="1822" t="s">
        <v>1194</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4.4">
      <c r="A743" s="261"/>
      <c r="B743" s="677" t="s">
        <v>316</v>
      </c>
      <c r="C743" s="408"/>
      <c r="D743" s="1888" t="s">
        <v>1195</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4.4">
      <c r="A747" s="261"/>
      <c r="B747" s="677" t="s">
        <v>316</v>
      </c>
      <c r="C747" s="273"/>
      <c r="D747" s="1822" t="s">
        <v>1196</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1197</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3" t="s">
        <v>1198</v>
      </c>
      <c r="B754" s="1893"/>
      <c r="C754" s="1893"/>
      <c r="D754" s="1893"/>
      <c r="E754" s="1893"/>
      <c r="F754" s="1893"/>
      <c r="G754" s="1893"/>
    </row>
    <row r="755" spans="1:11">
      <c r="A755" s="260"/>
      <c r="B755" s="260"/>
      <c r="C755" s="260"/>
      <c r="D755" s="276"/>
      <c r="F755" s="147"/>
      <c r="G755" s="271"/>
    </row>
    <row r="756" spans="1:11">
      <c r="A756" s="273"/>
      <c r="B756" s="273"/>
      <c r="C756" s="442"/>
      <c r="D756" s="1894" t="s">
        <v>1182</v>
      </c>
      <c r="E756" s="1894"/>
      <c r="F756" s="1894"/>
      <c r="G756" s="271"/>
    </row>
    <row r="757" spans="1:11">
      <c r="A757" s="501"/>
      <c r="B757" s="501"/>
      <c r="C757" s="500"/>
      <c r="D757" s="1884" t="s">
        <v>1199</v>
      </c>
      <c r="E757" s="1884"/>
      <c r="F757" s="1884"/>
      <c r="G757" s="271"/>
    </row>
    <row r="758" spans="1:11">
      <c r="A758" s="273"/>
      <c r="B758" s="273"/>
      <c r="C758" s="442"/>
      <c r="D758" s="691"/>
      <c r="E758" s="691"/>
      <c r="F758" s="691"/>
      <c r="G758" s="271"/>
    </row>
    <row r="759" spans="1:11" ht="14.4">
      <c r="A759" s="261"/>
      <c r="B759" s="677" t="s">
        <v>316</v>
      </c>
      <c r="C759" s="442"/>
      <c r="D759" s="1885" t="s">
        <v>1067</v>
      </c>
      <c r="E759" s="1885"/>
      <c r="F759" s="1885"/>
      <c r="G759" s="271"/>
    </row>
    <row r="760" spans="1:11">
      <c r="A760" s="273"/>
      <c r="B760" s="273"/>
      <c r="C760" s="442"/>
      <c r="D760" s="690"/>
      <c r="E760" s="1886" t="s">
        <v>1183</v>
      </c>
      <c r="F760" s="1886"/>
      <c r="G760" s="271"/>
    </row>
    <row r="761" spans="1:11">
      <c r="A761" s="267"/>
      <c r="B761" s="267"/>
      <c r="C761" s="267"/>
      <c r="D761" s="135"/>
      <c r="F761" s="57"/>
      <c r="G761" s="271"/>
    </row>
    <row r="762" spans="1:11">
      <c r="A762" s="1890" t="s">
        <v>471</v>
      </c>
      <c r="B762" s="1890"/>
      <c r="C762" s="1890"/>
      <c r="D762" s="1890"/>
      <c r="E762" s="1890"/>
      <c r="F762" s="1890"/>
      <c r="G762" s="1890"/>
    </row>
    <row r="763" spans="1:11">
      <c r="A763" s="255"/>
      <c r="B763" s="671"/>
      <c r="C763" s="266"/>
      <c r="D763" s="271"/>
      <c r="E763" s="271"/>
      <c r="F763" s="271"/>
      <c r="G763" s="271"/>
    </row>
    <row r="764" spans="1:11">
      <c r="A764" s="135"/>
      <c r="B764" s="1892" t="s">
        <v>1066</v>
      </c>
      <c r="C764" s="1892"/>
      <c r="D764" s="1892"/>
      <c r="E764" s="1892"/>
      <c r="F764" s="1892"/>
      <c r="G764" s="271"/>
    </row>
    <row r="765" spans="1:11">
      <c r="A765" s="23"/>
      <c r="B765" s="673"/>
      <c r="G765" s="271"/>
    </row>
    <row r="766" spans="1:11">
      <c r="A766" s="1890" t="s">
        <v>472</v>
      </c>
      <c r="B766" s="1890"/>
      <c r="C766" s="1890"/>
      <c r="D766" s="1890"/>
      <c r="E766" s="1890"/>
      <c r="F766" s="1890"/>
      <c r="G766" s="1890"/>
    </row>
    <row r="767" spans="1:11">
      <c r="A767" s="255"/>
      <c r="B767" s="671"/>
      <c r="C767" s="255"/>
      <c r="D767" s="263"/>
      <c r="G767" s="271"/>
    </row>
    <row r="768" spans="1:11">
      <c r="A768" s="135"/>
      <c r="B768" s="1836" t="s">
        <v>470</v>
      </c>
      <c r="C768" s="1836"/>
      <c r="D768" s="1836"/>
      <c r="E768" s="1836"/>
      <c r="F768" s="1836"/>
      <c r="G768" s="271"/>
    </row>
    <row r="769" spans="1:7" ht="14.4">
      <c r="A769" s="261"/>
      <c r="B769" s="261"/>
      <c r="D769" s="135"/>
      <c r="E769" s="135"/>
      <c r="F769" s="271"/>
      <c r="G769" s="271"/>
    </row>
    <row r="770" spans="1:7">
      <c r="A770" s="1890" t="s">
        <v>473</v>
      </c>
      <c r="B770" s="1890"/>
      <c r="C770" s="1890"/>
      <c r="D770" s="1890"/>
      <c r="E770" s="1890"/>
      <c r="F770" s="1890"/>
      <c r="G770" s="1890"/>
    </row>
    <row r="771" spans="1:7">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c r="A777" s="266"/>
      <c r="B777" s="266"/>
      <c r="C777" s="266"/>
      <c r="D777" s="258"/>
      <c r="F777" s="271"/>
    </row>
    <row r="778" spans="1:7">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c r="A781" s="266"/>
      <c r="B781" s="266"/>
      <c r="C781" s="266"/>
      <c r="D781" s="258"/>
      <c r="F781" s="271"/>
    </row>
    <row r="782" spans="1:7">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c r="A789" s="135"/>
      <c r="B789" s="135"/>
      <c r="D789" s="258"/>
    </row>
    <row r="790" spans="1:7">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77734375" style="720" customWidth="1"/>
    <col min="11" max="16384" width="8.88671875" style="720" hidden="1"/>
  </cols>
  <sheetData>
    <row r="1" spans="1:10" ht="14.25" customHeight="1"/>
    <row r="2" spans="1:10" ht="15.6">
      <c r="A2" s="1899" t="s">
        <v>2315</v>
      </c>
      <c r="B2" s="1900"/>
      <c r="C2" s="1900"/>
      <c r="D2" s="1900"/>
      <c r="E2" s="1900"/>
      <c r="F2" s="1900"/>
      <c r="G2" s="1900"/>
      <c r="H2" s="1900"/>
      <c r="I2" s="1900"/>
      <c r="J2" s="1900"/>
    </row>
    <row r="3" spans="1:10" ht="15">
      <c r="A3" s="1904" t="s">
        <v>1495</v>
      </c>
      <c r="B3" s="1905"/>
      <c r="C3" s="1905"/>
      <c r="D3" s="1905"/>
      <c r="E3" s="1905"/>
      <c r="F3" s="1905"/>
      <c r="G3" s="1905"/>
      <c r="H3" s="1905"/>
      <c r="I3" s="1905"/>
      <c r="J3" s="1905"/>
    </row>
    <row r="4" spans="1:10" ht="13.2"/>
    <row r="5" spans="1:10" ht="12.75" customHeight="1">
      <c r="A5" s="1901" t="s">
        <v>2318</v>
      </c>
      <c r="B5" s="1901"/>
      <c r="C5" s="1901"/>
      <c r="D5" s="1901"/>
      <c r="E5" s="1901"/>
      <c r="F5" s="1901"/>
      <c r="G5" s="1901"/>
      <c r="H5" s="1901"/>
      <c r="I5" s="1901"/>
      <c r="J5" s="1901"/>
    </row>
    <row r="6" spans="1:10" ht="13.2">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3.2">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3.2"/>
    <row r="11" spans="1:10" ht="12.75" customHeight="1">
      <c r="A11" s="1906" t="s">
        <v>2321</v>
      </c>
      <c r="B11" s="1906"/>
      <c r="C11" s="1906"/>
      <c r="D11" s="1906"/>
      <c r="E11" s="1906"/>
      <c r="F11" s="1906"/>
      <c r="G11" s="1906"/>
      <c r="H11" s="1906"/>
      <c r="I11" s="1906"/>
      <c r="J11" s="1906"/>
    </row>
    <row r="12" spans="1:10" ht="13.2">
      <c r="A12" s="1906"/>
      <c r="B12" s="1906"/>
      <c r="C12" s="1906"/>
      <c r="D12" s="1906"/>
      <c r="E12" s="1906"/>
      <c r="F12" s="1906"/>
      <c r="G12" s="1906"/>
      <c r="H12" s="1906"/>
      <c r="I12" s="1906"/>
      <c r="J12" s="1906"/>
    </row>
    <row r="13" spans="1:10" s="1669" customFormat="1" ht="13.2">
      <c r="A13" s="1906"/>
      <c r="B13" s="1906"/>
      <c r="C13" s="1906"/>
      <c r="D13" s="1906"/>
      <c r="E13" s="1906"/>
      <c r="F13" s="1906"/>
      <c r="G13" s="1906"/>
      <c r="H13" s="1906"/>
      <c r="I13" s="1906"/>
      <c r="J13" s="1906"/>
    </row>
    <row r="14" spans="1:10" ht="13.2">
      <c r="A14" s="1907"/>
      <c r="B14" s="1907"/>
      <c r="C14" s="1907"/>
      <c r="D14" s="1907"/>
      <c r="E14" s="1907"/>
      <c r="F14" s="1907"/>
      <c r="G14" s="1907"/>
      <c r="H14" s="1907"/>
      <c r="I14" s="1907"/>
      <c r="J14" s="1907"/>
    </row>
    <row r="15" spans="1:10" ht="13.2">
      <c r="A15" s="1907"/>
      <c r="B15" s="1907"/>
      <c r="C15" s="1907"/>
      <c r="D15" s="1907"/>
      <c r="E15" s="1907"/>
      <c r="F15" s="1907"/>
      <c r="G15" s="1907"/>
      <c r="H15" s="1907"/>
      <c r="I15" s="1907"/>
      <c r="J15" s="1907"/>
    </row>
    <row r="16" spans="1:10" ht="13.2">
      <c r="A16" s="1907"/>
      <c r="B16" s="1907"/>
      <c r="C16" s="1907"/>
      <c r="D16" s="1907"/>
      <c r="E16" s="1907"/>
      <c r="F16" s="1907"/>
      <c r="G16" s="1907"/>
      <c r="H16" s="1907"/>
      <c r="I16" s="1907"/>
      <c r="J16" s="1907"/>
    </row>
    <row r="17" spans="1:10" s="1669" customFormat="1" ht="13.2">
      <c r="A17" s="1728"/>
      <c r="B17" s="1728"/>
      <c r="C17" s="1728"/>
      <c r="D17" s="1728"/>
      <c r="E17" s="1728"/>
      <c r="F17" s="1728"/>
      <c r="G17" s="1728"/>
      <c r="H17" s="1728"/>
      <c r="I17" s="1728"/>
      <c r="J17" s="1728"/>
    </row>
    <row r="18" spans="1:10" ht="13.2">
      <c r="A18" s="771" t="s">
        <v>2320</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08" t="s">
        <v>1388</v>
      </c>
      <c r="B20" s="1905"/>
      <c r="C20" s="1905"/>
      <c r="D20" s="1905"/>
      <c r="E20" s="190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1" t="s">
        <v>1389</v>
      </c>
      <c r="B57" s="1902"/>
      <c r="C57" s="1902"/>
      <c r="D57" s="1902"/>
      <c r="E57" s="1902"/>
      <c r="F57" s="1902"/>
      <c r="G57" s="1902"/>
      <c r="H57" s="1902"/>
      <c r="I57" s="1902"/>
      <c r="J57" s="1902"/>
    </row>
    <row r="58" spans="1:10" ht="13.2">
      <c r="A58" s="1902"/>
      <c r="B58" s="1902"/>
      <c r="C58" s="1902"/>
      <c r="D58" s="1902"/>
      <c r="E58" s="1902"/>
      <c r="F58" s="1902"/>
      <c r="G58" s="1902"/>
      <c r="H58" s="1902"/>
      <c r="I58" s="1902"/>
      <c r="J58" s="1902"/>
    </row>
    <row r="59" spans="1:10" ht="13.2">
      <c r="A59" s="1902"/>
      <c r="B59" s="1902"/>
      <c r="C59" s="1902"/>
      <c r="D59" s="1902"/>
      <c r="E59" s="1902"/>
      <c r="F59" s="1902"/>
      <c r="G59" s="1902"/>
      <c r="H59" s="1902"/>
      <c r="I59" s="1902"/>
      <c r="J59" s="1902"/>
    </row>
    <row r="60" spans="1:10" ht="13.2"/>
    <row r="61" spans="1:10" ht="13.2">
      <c r="A61" s="670" t="s">
        <v>1388</v>
      </c>
    </row>
    <row r="62" spans="1:10" ht="13.2"/>
    <row r="63" spans="1:10" ht="13.2"/>
    <row r="64" spans="1:10" ht="13.2"/>
    <row r="65" spans="1:9" ht="13.2"/>
    <row r="66" spans="1:9" ht="13.2"/>
    <row r="67" spans="1:9" ht="13.2"/>
    <row r="68" spans="1:9" ht="13.2"/>
    <row r="69" spans="1:9" ht="13.2"/>
    <row r="70" spans="1:9" ht="13.2"/>
    <row r="71" spans="1:9" ht="13.2"/>
    <row r="72" spans="1:9" ht="13.2">
      <c r="A72" s="1903" t="s">
        <v>2316</v>
      </c>
      <c r="B72" s="1903"/>
      <c r="C72" s="1903"/>
      <c r="D72" s="1903"/>
      <c r="E72" s="1903"/>
      <c r="F72" s="1903"/>
      <c r="G72" s="1903"/>
      <c r="H72" s="1903"/>
      <c r="I72" s="1903"/>
    </row>
    <row r="73" spans="1:9" ht="13.2">
      <c r="A73" s="1827" t="s">
        <v>1091</v>
      </c>
      <c r="B73" s="1827"/>
      <c r="C73" s="1827"/>
      <c r="D73" s="1827"/>
      <c r="E73" s="1827"/>
    </row>
    <row r="74" spans="1:9" ht="13.2">
      <c r="A74" s="1827" t="s">
        <v>1390</v>
      </c>
      <c r="B74" s="1827"/>
      <c r="C74" s="1827"/>
      <c r="D74" s="1827"/>
      <c r="E74" s="1827"/>
    </row>
    <row r="75" spans="1:9" ht="13.2">
      <c r="A75" s="1827" t="s">
        <v>2317</v>
      </c>
      <c r="B75" s="1827"/>
      <c r="C75" s="1827"/>
      <c r="D75" s="1827"/>
      <c r="E75" s="182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80" zoomScaleNormal="100" zoomScaleSheetLayoutView="100" workbookViewId="0">
      <selection activeCell="B1105" sqref="B1105"/>
    </sheetView>
  </sheetViews>
  <sheetFormatPr defaultColWidth="0" defaultRowHeight="13.2" zeroHeight="1"/>
  <cols>
    <col min="1" max="1" width="3.5546875" style="786" customWidth="1"/>
    <col min="2" max="2" width="13.5546875" style="786" customWidth="1"/>
    <col min="3" max="3" width="2.5546875" style="786" customWidth="1"/>
    <col min="4" max="5" width="3.5546875" style="787" customWidth="1"/>
    <col min="6" max="6" width="65.5546875" style="787" customWidth="1"/>
    <col min="7" max="7" width="1.5546875" style="787" customWidth="1"/>
    <col min="8" max="8" width="3.5546875" style="788" customWidth="1"/>
    <col min="9" max="9" width="24.44140625" style="1674" customWidth="1"/>
    <col min="10" max="16" width="0" style="788" hidden="1" customWidth="1"/>
    <col min="17" max="16384" width="8.88671875" style="788" hidden="1"/>
  </cols>
  <sheetData>
    <row r="1" spans="1:13"/>
    <row r="2" spans="1:13">
      <c r="A2" s="1960" t="s">
        <v>2483</v>
      </c>
      <c r="B2" s="1960"/>
      <c r="C2" s="1960"/>
      <c r="D2" s="1960"/>
      <c r="E2" s="1960"/>
      <c r="F2" s="1960"/>
      <c r="G2" s="1960"/>
      <c r="H2" s="1960"/>
      <c r="I2" s="1960"/>
    </row>
    <row r="3" spans="1:13">
      <c r="A3" s="1961" t="s">
        <v>2170</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1252</v>
      </c>
      <c r="B6" s="1947"/>
      <c r="C6" s="1948"/>
      <c r="D6" s="1948"/>
      <c r="E6" s="1948"/>
      <c r="F6" s="1948"/>
      <c r="G6" s="1948"/>
      <c r="I6" s="1732" t="s">
        <v>2330</v>
      </c>
    </row>
    <row r="7" spans="1:13" s="789" customFormat="1">
      <c r="A7" s="1947" t="s">
        <v>1253</v>
      </c>
      <c r="B7" s="1947"/>
      <c r="C7" s="1948"/>
      <c r="D7" s="1948"/>
      <c r="E7" s="1948"/>
      <c r="F7" s="1948"/>
      <c r="G7" s="1948"/>
      <c r="I7" s="1732" t="s">
        <v>2331</v>
      </c>
    </row>
    <row r="8" spans="1:13">
      <c r="A8" s="790"/>
      <c r="B8" s="790"/>
      <c r="C8" s="791"/>
      <c r="D8" s="791"/>
      <c r="E8" s="791"/>
      <c r="F8" s="791"/>
    </row>
    <row r="9" spans="1:13">
      <c r="A9" s="1877" t="s">
        <v>1255</v>
      </c>
      <c r="B9" s="1877"/>
      <c r="C9" s="1877"/>
      <c r="D9" s="1877"/>
      <c r="E9" s="1877"/>
      <c r="F9" s="1877"/>
      <c r="G9" s="1877"/>
      <c r="H9" s="1749"/>
      <c r="I9" s="1750"/>
    </row>
    <row r="10" spans="1:13">
      <c r="A10" s="791"/>
      <c r="B10" s="791"/>
      <c r="E10" s="792"/>
    </row>
    <row r="11" spans="1:13" ht="13.65" customHeight="1">
      <c r="C11" s="791"/>
      <c r="D11" s="1949" t="s">
        <v>1254</v>
      </c>
      <c r="E11" s="1949"/>
      <c r="F11" s="1949"/>
    </row>
    <row r="12" spans="1:13">
      <c r="C12" s="791"/>
      <c r="D12" s="1949"/>
      <c r="E12" s="1949"/>
      <c r="F12" s="1949"/>
    </row>
    <row r="13" spans="1:13">
      <c r="A13" s="793"/>
      <c r="B13" s="793"/>
      <c r="C13" s="793"/>
      <c r="D13" s="1861" t="s">
        <v>1237</v>
      </c>
      <c r="E13" s="1861"/>
      <c r="F13" s="1861"/>
      <c r="M13" s="1631"/>
    </row>
    <row r="14" spans="1:13">
      <c r="A14" s="793"/>
      <c r="B14" s="793"/>
      <c r="C14" s="793"/>
      <c r="D14" s="794"/>
      <c r="L14" s="1804"/>
    </row>
    <row r="15" spans="1:13" ht="14.4">
      <c r="A15" s="795"/>
      <c r="B15" s="796" t="s">
        <v>2649</v>
      </c>
      <c r="C15" s="797"/>
      <c r="D15" s="1859" t="s">
        <v>2514</v>
      </c>
      <c r="E15" s="1859"/>
      <c r="F15" s="1859"/>
      <c r="I15" s="1674" t="s">
        <v>2332</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2511</v>
      </c>
      <c r="F18" s="1803"/>
      <c r="G18" s="1671"/>
      <c r="I18" s="1674"/>
    </row>
    <row r="19" spans="1:9">
      <c r="A19" s="793"/>
      <c r="B19" s="793"/>
      <c r="C19" s="793"/>
    </row>
    <row r="20" spans="1:9" ht="14.4">
      <c r="A20" s="795"/>
      <c r="B20" s="796" t="s">
        <v>2650</v>
      </c>
      <c r="D20" s="1859" t="s">
        <v>2515</v>
      </c>
      <c r="E20" s="1859"/>
      <c r="F20" s="1859"/>
      <c r="I20" s="1674" t="s">
        <v>2333</v>
      </c>
    </row>
    <row r="21" spans="1:9" s="1672" customFormat="1" ht="14.4">
      <c r="A21" s="795"/>
      <c r="B21" s="786"/>
      <c r="C21" s="786"/>
      <c r="D21" s="1859"/>
      <c r="E21" s="1859"/>
      <c r="F21" s="1859"/>
      <c r="G21" s="1671"/>
      <c r="I21" s="1674"/>
    </row>
    <row r="22" spans="1:9" s="1672" customFormat="1" ht="14.4">
      <c r="A22" s="795"/>
      <c r="B22" s="786"/>
      <c r="C22" s="786"/>
      <c r="D22" s="1802"/>
      <c r="E22" s="1631" t="s">
        <v>2510</v>
      </c>
      <c r="F22" s="1802"/>
      <c r="G22" s="1671"/>
      <c r="I22" s="1674"/>
    </row>
    <row r="23" spans="1:9" ht="14.4">
      <c r="A23" s="795"/>
      <c r="B23" s="795"/>
      <c r="D23" s="798"/>
    </row>
    <row r="24" spans="1:9" ht="14.4">
      <c r="A24" s="795"/>
      <c r="B24" s="796" t="s">
        <v>2649</v>
      </c>
      <c r="D24" s="1859" t="s">
        <v>1240</v>
      </c>
      <c r="E24" s="1859"/>
      <c r="F24" s="1859"/>
      <c r="I24" s="1674" t="s">
        <v>2333</v>
      </c>
    </row>
    <row r="25" spans="1:9" ht="14.4">
      <c r="A25" s="795"/>
      <c r="B25" s="795"/>
      <c r="D25" s="1859"/>
      <c r="E25" s="1859"/>
      <c r="F25" s="1859"/>
    </row>
    <row r="26" spans="1:9"/>
    <row r="27" spans="1:9" ht="14.4">
      <c r="A27" s="795"/>
      <c r="B27" s="796" t="s">
        <v>2650</v>
      </c>
      <c r="D27" s="1943" t="s">
        <v>2512</v>
      </c>
      <c r="E27" s="1943"/>
      <c r="F27" s="1943"/>
      <c r="I27" s="1674" t="s">
        <v>2336</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2650</v>
      </c>
      <c r="C33" s="799"/>
      <c r="D33" s="1860" t="s">
        <v>1242</v>
      </c>
      <c r="E33" s="1860"/>
      <c r="F33" s="1860"/>
      <c r="G33" s="800"/>
      <c r="I33" s="1733" t="s">
        <v>2332</v>
      </c>
    </row>
    <row r="34" spans="1:9" s="789" customFormat="1">
      <c r="A34" s="799"/>
      <c r="B34" s="799"/>
      <c r="C34" s="799"/>
      <c r="D34" s="1860"/>
      <c r="E34" s="1860"/>
      <c r="F34" s="1860"/>
      <c r="G34" s="800"/>
      <c r="I34" s="1733"/>
    </row>
    <row r="35" spans="1:9" ht="14.4">
      <c r="A35" s="795"/>
      <c r="B35" s="795"/>
      <c r="D35" s="801"/>
    </row>
    <row r="36" spans="1:9" ht="14.4" customHeight="1">
      <c r="A36" s="795"/>
      <c r="B36" s="796" t="s">
        <v>2650</v>
      </c>
      <c r="D36" s="1860" t="s">
        <v>1420</v>
      </c>
      <c r="E36" s="1860"/>
      <c r="F36" s="1860"/>
      <c r="I36" s="1733" t="s">
        <v>2404</v>
      </c>
    </row>
    <row r="37" spans="1:9" ht="14.4">
      <c r="A37" s="795"/>
      <c r="B37" s="795"/>
      <c r="D37" s="1860"/>
      <c r="E37" s="1860"/>
      <c r="F37" s="1860"/>
    </row>
    <row r="38" spans="1:9" ht="14.4">
      <c r="A38" s="795"/>
      <c r="B38" s="795"/>
      <c r="D38" s="1860"/>
      <c r="E38" s="1860"/>
      <c r="F38" s="1860"/>
    </row>
    <row r="39" spans="1:9" ht="14.4">
      <c r="A39" s="795"/>
      <c r="B39" s="795"/>
      <c r="D39" s="1860"/>
      <c r="E39" s="1860"/>
      <c r="F39" s="1860"/>
    </row>
    <row r="40" spans="1:9" ht="14.4">
      <c r="A40" s="795"/>
      <c r="B40" s="795"/>
      <c r="D40" s="788"/>
    </row>
    <row r="41" spans="1:9" ht="14.4">
      <c r="A41" s="795"/>
      <c r="B41" s="796" t="s">
        <v>2650</v>
      </c>
      <c r="D41" s="1860" t="s">
        <v>1244</v>
      </c>
      <c r="E41" s="1860"/>
      <c r="F41" s="1860"/>
    </row>
    <row r="42" spans="1:9" ht="14.4">
      <c r="A42" s="795"/>
      <c r="B42" s="795"/>
      <c r="D42" s="1860"/>
      <c r="E42" s="1860"/>
      <c r="F42" s="1860"/>
    </row>
    <row r="43" spans="1:9" ht="14.4">
      <c r="A43" s="795"/>
      <c r="B43" s="795"/>
      <c r="D43" s="1860"/>
      <c r="E43" s="1860"/>
      <c r="F43" s="1860"/>
    </row>
    <row r="44" spans="1:9" ht="14.4">
      <c r="A44" s="795"/>
      <c r="B44" s="795"/>
      <c r="D44" s="1860"/>
      <c r="E44" s="1860"/>
      <c r="F44" s="1860"/>
    </row>
    <row r="45" spans="1:9" ht="14.4">
      <c r="A45" s="795"/>
      <c r="B45" s="795"/>
      <c r="D45" s="1860"/>
      <c r="E45" s="1860"/>
      <c r="F45" s="1860"/>
    </row>
    <row r="46" spans="1:9" ht="14.4">
      <c r="A46" s="795"/>
      <c r="B46" s="795"/>
      <c r="D46" s="779"/>
      <c r="E46" s="779"/>
      <c r="F46" s="779"/>
    </row>
    <row r="47" spans="1:9" ht="14.4">
      <c r="A47" s="795"/>
      <c r="B47" s="796" t="s">
        <v>2649</v>
      </c>
      <c r="D47" s="1860" t="s">
        <v>1245</v>
      </c>
      <c r="E47" s="1860"/>
      <c r="F47" s="1860"/>
      <c r="I47" s="1733" t="s">
        <v>2404</v>
      </c>
    </row>
    <row r="48" spans="1:9" ht="14.4">
      <c r="A48" s="795"/>
      <c r="B48" s="795"/>
      <c r="D48" s="1860"/>
      <c r="E48" s="1860"/>
      <c r="F48" s="1860"/>
    </row>
    <row r="49" spans="1:9" ht="14.4">
      <c r="A49" s="795"/>
      <c r="B49" s="795"/>
      <c r="D49" s="1860"/>
      <c r="E49" s="1860"/>
      <c r="F49" s="1860"/>
    </row>
    <row r="50" spans="1:9" ht="23.25" customHeight="1">
      <c r="A50" s="795"/>
      <c r="B50" s="795"/>
      <c r="D50" s="1860"/>
      <c r="E50" s="1860"/>
      <c r="F50" s="1860"/>
    </row>
    <row r="51" spans="1:9" ht="14.4">
      <c r="A51" s="795"/>
      <c r="B51" s="795"/>
      <c r="D51" s="783"/>
    </row>
    <row r="52" spans="1:9" ht="14.4" customHeight="1">
      <c r="A52" s="795"/>
      <c r="B52" s="796" t="s">
        <v>2649</v>
      </c>
      <c r="D52" s="1860" t="s">
        <v>1246</v>
      </c>
      <c r="E52" s="1860"/>
      <c r="F52" s="1860"/>
      <c r="I52" s="1733" t="s">
        <v>2404</v>
      </c>
    </row>
    <row r="53" spans="1:9" ht="14.4">
      <c r="A53" s="795"/>
      <c r="B53" s="795"/>
      <c r="D53" s="1860"/>
      <c r="E53" s="1860"/>
      <c r="F53" s="1860"/>
    </row>
    <row r="54" spans="1:9" ht="14.4">
      <c r="A54" s="795"/>
      <c r="B54" s="795"/>
      <c r="D54" s="1860"/>
      <c r="E54" s="1860"/>
      <c r="F54" s="1860"/>
    </row>
    <row r="55" spans="1:9" s="616" customFormat="1" ht="14.4">
      <c r="A55" s="795"/>
      <c r="B55" s="795"/>
      <c r="C55" s="802"/>
      <c r="D55" s="800"/>
      <c r="E55" s="691"/>
      <c r="F55" s="691"/>
      <c r="G55" s="691"/>
      <c r="I55" s="640"/>
    </row>
    <row r="56" spans="1:9" s="616" customFormat="1" ht="14.4">
      <c r="A56" s="803"/>
      <c r="B56" s="796" t="s">
        <v>2650</v>
      </c>
      <c r="C56" s="804"/>
      <c r="D56" s="1945" t="s">
        <v>1247</v>
      </c>
      <c r="E56" s="1945"/>
      <c r="F56" s="1945"/>
      <c r="G56" s="691"/>
      <c r="I56" s="1674"/>
    </row>
    <row r="57" spans="1:9" s="616" customFormat="1" ht="14.4">
      <c r="A57" s="803"/>
      <c r="B57" s="803"/>
      <c r="C57" s="804"/>
      <c r="D57" s="1945"/>
      <c r="E57" s="1945"/>
      <c r="F57" s="1945"/>
      <c r="G57" s="691"/>
      <c r="I57" s="640"/>
    </row>
    <row r="58" spans="1:9" s="616" customFormat="1" ht="14.4">
      <c r="A58" s="803"/>
      <c r="B58" s="803"/>
      <c r="C58" s="1676"/>
      <c r="D58" s="1815" t="s">
        <v>2513</v>
      </c>
      <c r="E58" s="1801"/>
      <c r="F58" s="1801"/>
      <c r="G58" s="691"/>
      <c r="I58" s="640"/>
    </row>
    <row r="59" spans="1:9" s="616" customFormat="1" ht="14.4">
      <c r="A59" s="803"/>
      <c r="B59" s="803"/>
      <c r="C59" s="1676"/>
      <c r="D59" s="1801"/>
      <c r="E59" s="1804" t="s">
        <v>2511</v>
      </c>
      <c r="F59" s="1801"/>
      <c r="G59" s="691"/>
      <c r="I59" s="640"/>
    </row>
    <row r="60" spans="1:9" s="789" customFormat="1">
      <c r="A60" s="799"/>
      <c r="B60" s="799"/>
      <c r="C60" s="799"/>
      <c r="D60" s="731"/>
      <c r="E60" s="800"/>
      <c r="F60" s="800"/>
      <c r="G60" s="800"/>
      <c r="I60" s="1733"/>
    </row>
    <row r="61" spans="1:9" ht="14.4">
      <c r="A61" s="795"/>
      <c r="B61" s="796" t="s">
        <v>2649</v>
      </c>
      <c r="D61" s="1860" t="s">
        <v>1248</v>
      </c>
      <c r="E61" s="1860"/>
      <c r="F61" s="1860"/>
      <c r="I61" s="1674" t="s">
        <v>2334</v>
      </c>
    </row>
    <row r="62" spans="1:9">
      <c r="D62" s="1860"/>
      <c r="E62" s="1860"/>
      <c r="F62" s="1860"/>
    </row>
    <row r="63" spans="1:9">
      <c r="D63" s="1860"/>
      <c r="E63" s="1860"/>
      <c r="F63" s="1860"/>
    </row>
    <row r="64" spans="1:9">
      <c r="D64" s="691"/>
    </row>
    <row r="65" spans="1:9" ht="14.4">
      <c r="A65" s="795"/>
      <c r="B65" s="796" t="s">
        <v>2649</v>
      </c>
      <c r="D65" s="1860" t="s">
        <v>1249</v>
      </c>
      <c r="E65" s="1860"/>
      <c r="F65" s="1860"/>
      <c r="I65" s="1674" t="s">
        <v>2335</v>
      </c>
    </row>
    <row r="66" spans="1:9">
      <c r="D66" s="1860"/>
      <c r="E66" s="1860"/>
      <c r="F66" s="1860"/>
    </row>
    <row r="67" spans="1:9"/>
    <row r="68" spans="1:9" ht="14.4">
      <c r="A68" s="795"/>
      <c r="B68" s="796" t="s">
        <v>2650</v>
      </c>
      <c r="D68" s="1860" t="s">
        <v>1250</v>
      </c>
      <c r="E68" s="1860"/>
      <c r="F68" s="1860"/>
    </row>
    <row r="69" spans="1:9">
      <c r="D69" s="1860"/>
      <c r="E69" s="1860"/>
      <c r="F69" s="1860"/>
      <c r="I69" s="1674" t="s">
        <v>2336</v>
      </c>
    </row>
    <row r="70" spans="1:9">
      <c r="D70" s="1860"/>
      <c r="E70" s="1860"/>
      <c r="F70" s="1860"/>
    </row>
    <row r="71" spans="1:9">
      <c r="D71" s="788"/>
    </row>
    <row r="72" spans="1:9" ht="14.4">
      <c r="A72" s="795"/>
      <c r="B72" s="796" t="s">
        <v>2650</v>
      </c>
      <c r="D72" s="1859" t="s">
        <v>1251</v>
      </c>
      <c r="E72" s="1859"/>
      <c r="F72" s="1859"/>
      <c r="I72" s="1674" t="s">
        <v>2336</v>
      </c>
    </row>
    <row r="73" spans="1:9">
      <c r="D73" s="1859"/>
      <c r="E73" s="1859"/>
      <c r="F73" s="1859"/>
    </row>
    <row r="74" spans="1:9" ht="14.4">
      <c r="A74" s="795"/>
      <c r="B74" s="795"/>
      <c r="D74" s="798"/>
    </row>
    <row r="75" spans="1:9">
      <c r="A75" s="1841" t="s">
        <v>1158</v>
      </c>
      <c r="B75" s="1841"/>
      <c r="C75" s="1841"/>
      <c r="D75" s="1841"/>
      <c r="E75" s="1841"/>
      <c r="F75" s="1841"/>
      <c r="G75" s="1841"/>
      <c r="H75" s="1749"/>
      <c r="I75" s="1750"/>
    </row>
    <row r="76" spans="1:9"/>
    <row r="77" spans="1:9">
      <c r="C77" s="805"/>
      <c r="D77" s="1927" t="s">
        <v>1256</v>
      </c>
      <c r="E77" s="1927"/>
      <c r="F77" s="1927"/>
    </row>
    <row r="78" spans="1:9">
      <c r="A78" s="798"/>
      <c r="B78" s="798"/>
      <c r="D78" s="1859" t="s">
        <v>1283</v>
      </c>
      <c r="E78" s="1859"/>
      <c r="F78" s="1859"/>
    </row>
    <row r="79" spans="1:9">
      <c r="A79" s="798"/>
      <c r="B79" s="798"/>
    </row>
    <row r="80" spans="1:9" ht="13.65" customHeight="1">
      <c r="A80" s="795"/>
      <c r="B80" s="796" t="s">
        <v>2650</v>
      </c>
      <c r="D80" s="1859" t="s">
        <v>1468</v>
      </c>
      <c r="E80" s="1859"/>
      <c r="F80" s="1859"/>
      <c r="I80" s="1674" t="s">
        <v>2337</v>
      </c>
    </row>
    <row r="81" spans="1:9" ht="14.4">
      <c r="A81" s="795"/>
      <c r="B81" s="795"/>
      <c r="D81" s="1859"/>
      <c r="E81" s="1859"/>
      <c r="F81" s="1859"/>
    </row>
    <row r="82" spans="1:9" ht="14.4">
      <c r="A82" s="795"/>
      <c r="B82" s="795"/>
      <c r="D82" s="1859"/>
      <c r="E82" s="1859"/>
      <c r="F82" s="1859"/>
    </row>
    <row r="83" spans="1:9" ht="14.4">
      <c r="A83" s="795"/>
      <c r="B83" s="795"/>
      <c r="D83" s="1859"/>
      <c r="E83" s="1859"/>
      <c r="F83" s="1859"/>
    </row>
    <row r="84" spans="1:9" ht="14.4">
      <c r="A84" s="795"/>
      <c r="B84" s="795"/>
      <c r="D84" s="1859"/>
      <c r="E84" s="1859"/>
      <c r="F84" s="1859"/>
    </row>
    <row r="85" spans="1:9" ht="14.4">
      <c r="A85" s="795"/>
      <c r="B85" s="795"/>
      <c r="D85" s="1859"/>
      <c r="E85" s="1859"/>
      <c r="F85" s="1859"/>
    </row>
    <row r="86" spans="1:9" ht="14.4">
      <c r="A86" s="795"/>
      <c r="B86" s="795"/>
      <c r="D86" s="1859"/>
      <c r="E86" s="1859"/>
      <c r="F86" s="1859"/>
    </row>
    <row r="87" spans="1:9" ht="14.4">
      <c r="A87" s="795"/>
      <c r="B87" s="795"/>
      <c r="D87" s="1859"/>
      <c r="E87" s="1859"/>
      <c r="F87" s="1859"/>
    </row>
    <row r="88" spans="1:9" ht="14.4">
      <c r="A88" s="795"/>
      <c r="B88" s="795"/>
      <c r="D88" s="876"/>
      <c r="E88" s="876"/>
      <c r="F88" s="876"/>
    </row>
    <row r="89" spans="1:9" ht="15" customHeight="1">
      <c r="A89" s="795"/>
      <c r="B89" s="796" t="s">
        <v>2650</v>
      </c>
      <c r="D89" s="1859" t="s">
        <v>2171</v>
      </c>
      <c r="E89" s="1859"/>
      <c r="F89" s="1859"/>
      <c r="I89" s="1674" t="s">
        <v>2338</v>
      </c>
    </row>
    <row r="90" spans="1:9" ht="14.4">
      <c r="A90" s="795"/>
      <c r="B90" s="795"/>
      <c r="D90" s="1859"/>
      <c r="E90" s="1859"/>
      <c r="F90" s="1859"/>
    </row>
    <row r="91" spans="1:9" ht="14.4">
      <c r="A91" s="795"/>
      <c r="B91" s="795"/>
      <c r="D91" s="1614"/>
      <c r="E91" s="1614"/>
      <c r="F91" s="1614"/>
    </row>
    <row r="92" spans="1:9" ht="14.4">
      <c r="A92" s="795"/>
      <c r="B92" s="796" t="s">
        <v>2649</v>
      </c>
      <c r="D92" s="1859" t="s">
        <v>2174</v>
      </c>
      <c r="E92" s="1859"/>
      <c r="F92" s="1859"/>
      <c r="I92" s="1674" t="s">
        <v>2339</v>
      </c>
    </row>
    <row r="93" spans="1:9" ht="14.4">
      <c r="A93" s="795"/>
      <c r="B93" s="795"/>
      <c r="D93" s="1859"/>
      <c r="E93" s="1859"/>
      <c r="F93" s="1859"/>
    </row>
    <row r="94" spans="1:9" ht="14.4">
      <c r="A94" s="795"/>
      <c r="B94" s="795"/>
      <c r="D94" s="1859"/>
      <c r="E94" s="1859"/>
      <c r="F94" s="1859"/>
    </row>
    <row r="95" spans="1:9" ht="14.4">
      <c r="A95" s="795"/>
      <c r="B95" s="795"/>
      <c r="D95" s="1614"/>
      <c r="E95" s="1614"/>
      <c r="F95" s="1614"/>
    </row>
    <row r="96" spans="1:9" ht="14.4">
      <c r="A96" s="795"/>
      <c r="B96" s="796" t="s">
        <v>2650</v>
      </c>
      <c r="D96" s="1859" t="s">
        <v>2173</v>
      </c>
      <c r="E96" s="1859"/>
      <c r="F96" s="1859"/>
      <c r="I96" s="1674" t="s">
        <v>2384</v>
      </c>
    </row>
    <row r="97" spans="1:9" s="1630" customFormat="1" ht="14.4">
      <c r="A97" s="1628"/>
      <c r="B97" s="1628"/>
      <c r="C97" s="1629"/>
      <c r="D97" s="1859"/>
      <c r="E97" s="1859"/>
      <c r="F97" s="1859"/>
      <c r="I97" s="1734"/>
    </row>
    <row r="98" spans="1:9" ht="14.4">
      <c r="A98" s="795"/>
      <c r="B98" s="795"/>
      <c r="D98" s="1620"/>
      <c r="E98" s="1804" t="s">
        <v>2516</v>
      </c>
      <c r="F98" s="1614"/>
    </row>
    <row r="99" spans="1:9" ht="14.4">
      <c r="A99" s="795"/>
      <c r="B99" s="795"/>
      <c r="D99" s="876"/>
      <c r="E99" s="876"/>
      <c r="F99" s="876"/>
    </row>
    <row r="100" spans="1:9" ht="14.4">
      <c r="A100" s="795"/>
      <c r="B100" s="796" t="s">
        <v>2649</v>
      </c>
      <c r="D100" s="1859" t="s">
        <v>2172</v>
      </c>
      <c r="E100" s="1859"/>
      <c r="F100" s="1859"/>
      <c r="I100" s="1674" t="s">
        <v>2340</v>
      </c>
    </row>
    <row r="101" spans="1:9" ht="14.4">
      <c r="A101" s="795"/>
      <c r="B101" s="795"/>
      <c r="D101" s="1859"/>
      <c r="E101" s="1859"/>
      <c r="F101" s="1859"/>
    </row>
    <row r="102" spans="1:9" ht="14.4">
      <c r="A102" s="795"/>
      <c r="B102" s="795"/>
      <c r="D102" s="1614"/>
      <c r="E102" s="1614"/>
      <c r="F102" s="1614"/>
    </row>
    <row r="103" spans="1:9" ht="14.4" customHeight="1">
      <c r="A103" s="795"/>
      <c r="B103" s="796" t="s">
        <v>2649</v>
      </c>
      <c r="D103" s="1859" t="s">
        <v>1396</v>
      </c>
      <c r="E103" s="1859"/>
      <c r="F103" s="1859"/>
      <c r="G103" s="788"/>
      <c r="I103" s="1674" t="s">
        <v>2341</v>
      </c>
    </row>
    <row r="104" spans="1:9" ht="14.4">
      <c r="A104" s="795"/>
      <c r="B104" s="795"/>
      <c r="D104" s="1859"/>
      <c r="E104" s="1859"/>
      <c r="F104" s="1859"/>
      <c r="G104" s="788"/>
    </row>
    <row r="105" spans="1:9" ht="14.4">
      <c r="A105" s="795"/>
      <c r="B105" s="795"/>
      <c r="D105" s="1859"/>
      <c r="E105" s="1859"/>
      <c r="F105" s="1859"/>
      <c r="G105" s="788"/>
    </row>
    <row r="106" spans="1:9" ht="14.4">
      <c r="A106" s="795"/>
      <c r="B106" s="795"/>
      <c r="D106" s="1859"/>
      <c r="E106" s="1859"/>
      <c r="F106" s="1859"/>
      <c r="G106" s="788"/>
    </row>
    <row r="107" spans="1:9" ht="14.4">
      <c r="A107" s="795"/>
      <c r="B107" s="795"/>
      <c r="D107" s="1859"/>
      <c r="E107" s="1859"/>
      <c r="F107" s="1859"/>
      <c r="G107" s="788"/>
    </row>
    <row r="108" spans="1:9" ht="14.4">
      <c r="A108" s="795"/>
      <c r="B108" s="795"/>
      <c r="D108" s="1859"/>
      <c r="E108" s="1859"/>
      <c r="F108" s="1859"/>
      <c r="G108" s="788"/>
    </row>
    <row r="109" spans="1:9" ht="14.4">
      <c r="A109" s="795"/>
      <c r="B109" s="795"/>
      <c r="D109" s="1859"/>
      <c r="E109" s="1859"/>
      <c r="F109" s="1859"/>
      <c r="G109" s="788"/>
    </row>
    <row r="110" spans="1:9" ht="14.4">
      <c r="A110" s="795"/>
      <c r="B110" s="795"/>
      <c r="D110" s="1859"/>
      <c r="E110" s="1859"/>
      <c r="F110" s="1859"/>
      <c r="G110" s="788"/>
    </row>
    <row r="111" spans="1:9" ht="14.4">
      <c r="A111" s="795"/>
      <c r="B111" s="795"/>
      <c r="D111" s="1859"/>
      <c r="E111" s="1859"/>
      <c r="F111" s="1859"/>
      <c r="G111" s="788"/>
    </row>
    <row r="112" spans="1:9" ht="14.4">
      <c r="A112" s="795"/>
      <c r="B112" s="795"/>
      <c r="D112" s="1859"/>
      <c r="E112" s="1859"/>
      <c r="F112" s="1859"/>
      <c r="G112" s="788"/>
    </row>
    <row r="113" spans="1:11" ht="14.4">
      <c r="A113" s="795"/>
      <c r="B113" s="795"/>
      <c r="D113" s="1859"/>
      <c r="E113" s="1859"/>
      <c r="F113" s="1859"/>
      <c r="G113" s="788"/>
    </row>
    <row r="114" spans="1:11" ht="14.4">
      <c r="A114" s="795"/>
      <c r="B114" s="795"/>
      <c r="D114" s="1859"/>
      <c r="E114" s="1859"/>
      <c r="F114" s="1859"/>
      <c r="G114" s="788"/>
    </row>
    <row r="115" spans="1:11" ht="14.4">
      <c r="A115" s="795"/>
      <c r="B115" s="795"/>
      <c r="D115" s="1859"/>
      <c r="E115" s="1859"/>
      <c r="F115" s="1859"/>
      <c r="G115" s="788"/>
    </row>
    <row r="116" spans="1:11" ht="14.4">
      <c r="A116" s="795"/>
      <c r="B116" s="795"/>
      <c r="D116" s="1859"/>
      <c r="E116" s="1859"/>
      <c r="F116" s="1859"/>
    </row>
    <row r="117" spans="1:11" ht="14.4">
      <c r="A117" s="795"/>
      <c r="B117" s="795"/>
      <c r="D117" s="1859"/>
      <c r="E117" s="1859"/>
      <c r="F117" s="1859"/>
    </row>
    <row r="118" spans="1:11" ht="14.4">
      <c r="A118" s="795"/>
      <c r="B118" s="795"/>
      <c r="D118" s="902"/>
      <c r="E118" s="902"/>
      <c r="F118" s="902"/>
    </row>
    <row r="119" spans="1:11" ht="14.25" customHeight="1">
      <c r="A119" s="795"/>
      <c r="B119" s="796" t="s">
        <v>2649</v>
      </c>
      <c r="D119" s="1879" t="s">
        <v>1258</v>
      </c>
      <c r="E119" s="1879"/>
      <c r="F119" s="1879"/>
    </row>
    <row r="120" spans="1:11" ht="14.4">
      <c r="A120" s="795"/>
      <c r="B120" s="795"/>
      <c r="D120" s="1879"/>
      <c r="E120" s="1879"/>
      <c r="F120" s="1879"/>
    </row>
    <row r="121" spans="1:11" ht="14.4">
      <c r="A121" s="795"/>
      <c r="B121" s="795"/>
      <c r="D121" s="1879"/>
      <c r="E121" s="1879"/>
      <c r="F121" s="1879"/>
    </row>
    <row r="122" spans="1:11" ht="14.4">
      <c r="A122" s="795"/>
      <c r="B122" s="795"/>
      <c r="D122" s="1879"/>
      <c r="E122" s="1879"/>
      <c r="F122" s="1879"/>
    </row>
    <row r="123" spans="1:11" ht="14.4">
      <c r="A123" s="795"/>
      <c r="B123" s="795"/>
      <c r="D123" s="1879"/>
      <c r="E123" s="1879"/>
      <c r="F123" s="1879"/>
    </row>
    <row r="124" spans="1:11" ht="14.4">
      <c r="A124" s="795"/>
      <c r="B124" s="795"/>
      <c r="D124" s="1879"/>
      <c r="E124" s="1879"/>
      <c r="F124" s="1879"/>
    </row>
    <row r="125" spans="1:11" ht="14.4">
      <c r="A125" s="795"/>
      <c r="B125" s="795"/>
      <c r="D125" s="1879"/>
      <c r="E125" s="1879"/>
      <c r="F125" s="1879"/>
    </row>
    <row r="126" spans="1:11" ht="14.4">
      <c r="A126" s="795"/>
      <c r="B126" s="795"/>
      <c r="D126" s="1879"/>
      <c r="E126" s="1879"/>
      <c r="F126" s="1879"/>
    </row>
    <row r="127" spans="1:11">
      <c r="C127" s="720"/>
      <c r="D127" s="903"/>
      <c r="E127" s="903"/>
      <c r="F127" s="903"/>
      <c r="G127" s="720"/>
      <c r="H127" s="720"/>
      <c r="I127" s="620"/>
      <c r="J127" s="720"/>
      <c r="K127" s="720"/>
    </row>
    <row r="128" spans="1:11" ht="14.4">
      <c r="A128" s="795"/>
      <c r="B128" s="796" t="s">
        <v>2650</v>
      </c>
      <c r="C128" s="720"/>
      <c r="D128" s="1879" t="s">
        <v>1260</v>
      </c>
      <c r="E128" s="1879"/>
      <c r="F128" s="1879"/>
      <c r="G128" s="720"/>
      <c r="H128" s="720"/>
      <c r="I128" s="620" t="s">
        <v>2342</v>
      </c>
      <c r="J128" s="720"/>
      <c r="K128" s="720"/>
    </row>
    <row r="129" spans="1:11" ht="14.4">
      <c r="A129" s="795"/>
      <c r="B129" s="795"/>
      <c r="C129" s="720"/>
      <c r="D129" s="1879"/>
      <c r="E129" s="1879"/>
      <c r="F129" s="1879"/>
      <c r="G129" s="720"/>
      <c r="H129" s="720"/>
      <c r="I129" s="620"/>
      <c r="J129" s="720"/>
      <c r="K129" s="720"/>
    </row>
    <row r="130" spans="1:11"/>
    <row r="131" spans="1:11" ht="14.4">
      <c r="A131" s="795"/>
      <c r="B131" s="796" t="s">
        <v>2650</v>
      </c>
      <c r="C131" s="802"/>
      <c r="D131" s="1859" t="s">
        <v>1261</v>
      </c>
      <c r="E131" s="1859"/>
      <c r="F131" s="1859"/>
      <c r="I131" s="620" t="s">
        <v>2342</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ht="14.4">
      <c r="A137" s="795"/>
      <c r="B137" s="796" t="s">
        <v>2650</v>
      </c>
      <c r="C137" s="802"/>
      <c r="D137" s="1860" t="s">
        <v>1262</v>
      </c>
      <c r="E137" s="1860"/>
      <c r="F137" s="1860"/>
      <c r="G137" s="670"/>
      <c r="I137" s="620" t="s">
        <v>2343</v>
      </c>
    </row>
    <row r="138" spans="1:11" s="810" customFormat="1" ht="13.65" customHeight="1">
      <c r="A138" s="807"/>
      <c r="B138" s="807"/>
      <c r="C138" s="808"/>
      <c r="D138" s="1860"/>
      <c r="E138" s="1860"/>
      <c r="F138" s="1860"/>
      <c r="G138" s="809"/>
      <c r="I138" s="1735"/>
    </row>
    <row r="139" spans="1:11" s="720" customFormat="1" ht="13.65" customHeight="1">
      <c r="A139" s="786"/>
      <c r="B139" s="786"/>
      <c r="C139" s="802"/>
      <c r="D139" s="1860"/>
      <c r="E139" s="1860"/>
      <c r="F139" s="1860"/>
      <c r="G139" s="670"/>
      <c r="I139" s="620"/>
    </row>
    <row r="140" spans="1:11" s="720" customFormat="1" ht="13.65" customHeight="1">
      <c r="A140" s="786"/>
      <c r="B140" s="786"/>
      <c r="C140" s="802"/>
      <c r="D140" s="1860"/>
      <c r="E140" s="1860"/>
      <c r="F140" s="1860"/>
      <c r="G140" s="670"/>
      <c r="I140" s="620"/>
    </row>
    <row r="141" spans="1:11" s="720" customFormat="1" ht="13.65" customHeight="1">
      <c r="A141" s="786"/>
      <c r="B141" s="786"/>
      <c r="C141" s="802"/>
      <c r="D141" s="1860"/>
      <c r="E141" s="1860"/>
      <c r="F141" s="1860"/>
      <c r="G141" s="670"/>
      <c r="I141" s="620"/>
    </row>
    <row r="142" spans="1:11" s="720" customFormat="1" ht="13.65" customHeight="1">
      <c r="A142" s="811"/>
      <c r="B142" s="811"/>
      <c r="C142" s="802"/>
      <c r="D142" s="1860"/>
      <c r="E142" s="1860"/>
      <c r="F142" s="1860"/>
      <c r="G142" s="670"/>
      <c r="I142" s="620"/>
    </row>
    <row r="143" spans="1:11" s="616" customFormat="1" ht="13.65" customHeight="1">
      <c r="A143" s="799"/>
      <c r="B143" s="799"/>
      <c r="C143" s="804"/>
      <c r="D143" s="1860"/>
      <c r="E143" s="1860"/>
      <c r="F143" s="1860"/>
      <c r="G143" s="691"/>
      <c r="I143" s="640"/>
    </row>
    <row r="144" spans="1:11" s="616" customFormat="1" ht="13.65" customHeight="1">
      <c r="A144" s="799"/>
      <c r="B144" s="799"/>
      <c r="C144" s="804"/>
      <c r="D144" s="1860"/>
      <c r="E144" s="1860"/>
      <c r="F144" s="1860"/>
      <c r="G144" s="691"/>
      <c r="I144" s="640"/>
    </row>
    <row r="145" spans="1:9" s="616" customFormat="1" ht="13.65" customHeight="1">
      <c r="A145" s="799"/>
      <c r="B145" s="799"/>
      <c r="C145" s="1676"/>
      <c r="D145" s="1860"/>
      <c r="E145" s="1860"/>
      <c r="F145" s="1860"/>
      <c r="G145" s="691"/>
      <c r="I145" s="640"/>
    </row>
    <row r="146" spans="1:9" s="720" customFormat="1" ht="13.65" customHeight="1">
      <c r="A146" s="786"/>
      <c r="B146" s="786"/>
      <c r="C146" s="802"/>
      <c r="D146" s="1860"/>
      <c r="E146" s="1860"/>
      <c r="F146" s="1860"/>
      <c r="G146" s="670"/>
      <c r="I146" s="620"/>
    </row>
    <row r="147" spans="1:9" s="720" customFormat="1" ht="13.65" customHeight="1">
      <c r="A147" s="786"/>
      <c r="B147" s="786"/>
      <c r="C147" s="802"/>
      <c r="D147" s="1860"/>
      <c r="E147" s="1860"/>
      <c r="F147" s="1860"/>
      <c r="G147" s="670"/>
      <c r="I147" s="620"/>
    </row>
    <row r="148" spans="1:9" s="720" customFormat="1" ht="13.65" customHeight="1">
      <c r="A148" s="786"/>
      <c r="B148" s="786"/>
      <c r="C148" s="802"/>
      <c r="D148" s="1860"/>
      <c r="E148" s="1860"/>
      <c r="F148" s="1860"/>
      <c r="G148" s="670"/>
      <c r="I148" s="620"/>
    </row>
    <row r="149" spans="1:9" s="720" customFormat="1" ht="13.65" customHeight="1">
      <c r="A149" s="786"/>
      <c r="B149" s="786"/>
      <c r="C149" s="802"/>
      <c r="D149" s="1860"/>
      <c r="E149" s="1860"/>
      <c r="F149" s="1860"/>
      <c r="G149" s="670"/>
      <c r="I149" s="620"/>
    </row>
    <row r="150" spans="1:9" s="720" customFormat="1" ht="13.65" customHeight="1">
      <c r="A150" s="786"/>
      <c r="B150" s="786"/>
      <c r="C150" s="802"/>
      <c r="D150" s="794"/>
      <c r="E150" s="783"/>
      <c r="F150" s="783"/>
      <c r="G150" s="670"/>
      <c r="I150" s="620"/>
    </row>
    <row r="151" spans="1:9" s="720" customFormat="1" ht="13.65" customHeight="1">
      <c r="A151" s="786"/>
      <c r="B151" s="796" t="s">
        <v>2650</v>
      </c>
      <c r="C151" s="802"/>
      <c r="D151" s="1941" t="s">
        <v>1370</v>
      </c>
      <c r="E151" s="1941"/>
      <c r="F151" s="1941"/>
      <c r="G151" s="670"/>
      <c r="I151" s="620" t="s">
        <v>2344</v>
      </c>
    </row>
    <row r="152" spans="1:9" s="720" customFormat="1" ht="13.65" customHeight="1">
      <c r="A152" s="786"/>
      <c r="B152" s="786"/>
      <c r="C152" s="802"/>
      <c r="D152" s="1941"/>
      <c r="E152" s="1941"/>
      <c r="F152" s="1941"/>
      <c r="G152" s="670"/>
      <c r="I152" s="620"/>
    </row>
    <row r="153" spans="1:9" s="720" customFormat="1" ht="13.65" customHeight="1">
      <c r="A153" s="786"/>
      <c r="B153" s="786"/>
      <c r="C153" s="802"/>
      <c r="D153" s="1941"/>
      <c r="E153" s="1941"/>
      <c r="F153" s="1941"/>
      <c r="G153" s="670"/>
      <c r="I153" s="620"/>
    </row>
    <row r="154" spans="1:9" s="720" customFormat="1" ht="13.65" customHeight="1">
      <c r="A154" s="786"/>
      <c r="B154" s="786"/>
      <c r="C154" s="802"/>
      <c r="D154" s="1941"/>
      <c r="E154" s="1941"/>
      <c r="F154" s="1941"/>
      <c r="G154" s="670"/>
      <c r="I154" s="620"/>
    </row>
    <row r="155" spans="1:9" s="720" customFormat="1" ht="13.65" customHeight="1">
      <c r="A155" s="786"/>
      <c r="B155" s="786"/>
      <c r="C155" s="802"/>
      <c r="D155" s="1941"/>
      <c r="E155" s="1941"/>
      <c r="F155" s="1941"/>
      <c r="G155" s="670"/>
      <c r="I155" s="620"/>
    </row>
    <row r="156" spans="1:9" s="720" customFormat="1" ht="13.65" customHeight="1">
      <c r="A156" s="786"/>
      <c r="B156" s="786"/>
      <c r="C156" s="802"/>
      <c r="D156" s="1941"/>
      <c r="E156" s="1941"/>
      <c r="F156" s="1941"/>
      <c r="G156" s="670"/>
      <c r="I156" s="620"/>
    </row>
    <row r="157" spans="1:9" s="720" customFormat="1" ht="13.65" customHeight="1">
      <c r="A157" s="786"/>
      <c r="B157" s="786"/>
      <c r="C157" s="802"/>
      <c r="D157" s="1941"/>
      <c r="E157" s="1941"/>
      <c r="F157" s="1941"/>
      <c r="G157" s="670"/>
      <c r="I157" s="620"/>
    </row>
    <row r="158" spans="1:9" s="720" customFormat="1" ht="13.65" customHeight="1">
      <c r="A158" s="786"/>
      <c r="B158" s="786"/>
      <c r="C158" s="802"/>
      <c r="D158" s="1941"/>
      <c r="E158" s="1941"/>
      <c r="F158" s="1941"/>
      <c r="G158" s="670"/>
      <c r="I158" s="620"/>
    </row>
    <row r="159" spans="1:9" s="720" customFormat="1" ht="13.65" customHeight="1">
      <c r="A159" s="786"/>
      <c r="B159" s="786"/>
      <c r="C159" s="802"/>
      <c r="D159" s="1941"/>
      <c r="E159" s="1941"/>
      <c r="F159" s="1941"/>
      <c r="G159" s="670"/>
      <c r="I159" s="620"/>
    </row>
    <row r="160" spans="1:9" s="720" customFormat="1" ht="13.65" customHeight="1">
      <c r="A160" s="786"/>
      <c r="B160" s="786"/>
      <c r="C160" s="802"/>
      <c r="D160" s="1941"/>
      <c r="E160" s="1941"/>
      <c r="F160" s="1941"/>
      <c r="G160" s="670"/>
      <c r="I160" s="620"/>
    </row>
    <row r="161" spans="1:9" s="720" customFormat="1" ht="13.65" customHeight="1">
      <c r="A161" s="786"/>
      <c r="B161" s="786"/>
      <c r="C161" s="802"/>
      <c r="D161" s="1941"/>
      <c r="E161" s="1941"/>
      <c r="F161" s="1941"/>
      <c r="G161" s="670"/>
      <c r="I161" s="620"/>
    </row>
    <row r="162" spans="1:9" s="720" customFormat="1" ht="13.65" customHeight="1">
      <c r="A162" s="786"/>
      <c r="B162" s="786"/>
      <c r="C162" s="802"/>
      <c r="D162" s="1941"/>
      <c r="E162" s="1941"/>
      <c r="F162" s="1941"/>
      <c r="G162" s="670"/>
      <c r="I162" s="620"/>
    </row>
    <row r="163" spans="1:9" s="720" customFormat="1" ht="13.65" customHeight="1">
      <c r="A163" s="786"/>
      <c r="B163" s="786"/>
      <c r="C163" s="802"/>
      <c r="D163" s="1941"/>
      <c r="E163" s="1941"/>
      <c r="F163" s="1941"/>
      <c r="G163" s="670"/>
      <c r="I163" s="620"/>
    </row>
    <row r="164" spans="1:9" s="720" customFormat="1" ht="13.65" customHeight="1">
      <c r="A164" s="786"/>
      <c r="B164" s="786"/>
      <c r="C164" s="802"/>
      <c r="D164" s="1941"/>
      <c r="E164" s="1941"/>
      <c r="F164" s="1941"/>
      <c r="G164" s="670"/>
      <c r="I164" s="620"/>
    </row>
    <row r="165" spans="1:9" s="720" customFormat="1" ht="13.65" customHeight="1">
      <c r="A165" s="786"/>
      <c r="B165" s="786"/>
      <c r="C165" s="802"/>
      <c r="D165" s="1941"/>
      <c r="E165" s="1941"/>
      <c r="F165" s="1941"/>
      <c r="G165" s="670"/>
      <c r="I165" s="620"/>
    </row>
    <row r="166" spans="1:9" s="720" customFormat="1" ht="13.65" customHeight="1">
      <c r="A166" s="786"/>
      <c r="B166" s="786"/>
      <c r="C166" s="802"/>
      <c r="D166" s="1941"/>
      <c r="E166" s="1941"/>
      <c r="F166" s="1941"/>
      <c r="G166" s="670"/>
      <c r="I166" s="620"/>
    </row>
    <row r="167" spans="1:9" s="720" customFormat="1" ht="13.65" customHeight="1">
      <c r="A167" s="786"/>
      <c r="B167" s="786"/>
      <c r="C167" s="802"/>
      <c r="D167" s="1941"/>
      <c r="E167" s="1941"/>
      <c r="F167" s="1941"/>
      <c r="G167" s="670"/>
      <c r="I167" s="620"/>
    </row>
    <row r="168" spans="1:9" s="720" customFormat="1" ht="13.65" customHeight="1">
      <c r="A168" s="786"/>
      <c r="B168" s="786"/>
      <c r="C168" s="802"/>
      <c r="D168" s="1941"/>
      <c r="E168" s="1941"/>
      <c r="F168" s="1941"/>
      <c r="G168" s="670"/>
      <c r="I168" s="620"/>
    </row>
    <row r="169" spans="1:9" s="720" customFormat="1" ht="13.65" customHeight="1">
      <c r="A169" s="786"/>
      <c r="B169" s="786"/>
      <c r="C169" s="802"/>
      <c r="D169" s="1942" t="s">
        <v>1404</v>
      </c>
      <c r="E169" s="1942"/>
      <c r="F169" s="1942"/>
      <c r="G169" s="854"/>
      <c r="I169" s="620"/>
    </row>
    <row r="170" spans="1:9" s="720" customFormat="1" ht="13.65" customHeight="1">
      <c r="A170" s="786"/>
      <c r="B170" s="786"/>
      <c r="C170" s="802"/>
      <c r="D170" s="1940"/>
      <c r="E170" s="1940"/>
      <c r="F170" s="1940"/>
      <c r="G170" s="1940"/>
      <c r="I170" s="620"/>
    </row>
    <row r="171" spans="1:9" s="720" customFormat="1" ht="14.4" customHeight="1">
      <c r="A171" s="811"/>
      <c r="B171" s="796" t="s">
        <v>2649</v>
      </c>
      <c r="C171" s="812"/>
      <c r="D171" s="1833" t="s">
        <v>1431</v>
      </c>
      <c r="E171" s="1833"/>
      <c r="F171" s="1833"/>
      <c r="G171" s="813"/>
      <c r="I171" s="620" t="s">
        <v>2339</v>
      </c>
    </row>
    <row r="172" spans="1:9" s="720" customFormat="1" ht="14.4" customHeight="1">
      <c r="A172" s="811"/>
      <c r="B172" s="811"/>
      <c r="C172" s="812"/>
      <c r="D172" s="1833"/>
      <c r="E172" s="1833"/>
      <c r="F172" s="1833"/>
      <c r="G172" s="813"/>
      <c r="I172" s="620"/>
    </row>
    <row r="173" spans="1:9" s="720" customFormat="1" ht="13.65" customHeight="1">
      <c r="A173" s="811"/>
      <c r="B173" s="811"/>
      <c r="C173" s="812"/>
      <c r="D173" s="1833"/>
      <c r="E173" s="1833"/>
      <c r="F173" s="1833"/>
      <c r="G173" s="813"/>
      <c r="I173" s="620"/>
    </row>
    <row r="174" spans="1:9" s="720" customFormat="1" ht="13.65" customHeight="1">
      <c r="A174" s="811"/>
      <c r="B174" s="811"/>
      <c r="C174" s="812"/>
      <c r="D174" s="794"/>
      <c r="E174" s="812"/>
      <c r="F174" s="812"/>
      <c r="G174" s="813"/>
      <c r="I174" s="620"/>
    </row>
    <row r="175" spans="1:9" s="720" customFormat="1" ht="13.65" customHeight="1">
      <c r="A175" s="811"/>
      <c r="B175" s="796" t="s">
        <v>2649</v>
      </c>
      <c r="C175" s="812"/>
      <c r="D175" s="1829" t="s">
        <v>1264</v>
      </c>
      <c r="E175" s="1829"/>
      <c r="F175" s="1829"/>
      <c r="G175" s="813"/>
      <c r="I175" s="620" t="s">
        <v>2345</v>
      </c>
    </row>
    <row r="176" spans="1:9" s="720" customFormat="1" ht="13.65" customHeight="1">
      <c r="A176" s="811"/>
      <c r="B176" s="811"/>
      <c r="C176" s="812"/>
      <c r="D176" s="1829"/>
      <c r="E176" s="1829"/>
      <c r="F176" s="1829"/>
      <c r="G176" s="813"/>
      <c r="I176" s="620"/>
    </row>
    <row r="177" spans="1:9" s="720" customFormat="1" ht="13.65" customHeight="1">
      <c r="A177" s="811"/>
      <c r="B177" s="811"/>
      <c r="C177" s="812"/>
      <c r="D177" s="1829"/>
      <c r="E177" s="1829"/>
      <c r="F177" s="1829"/>
      <c r="G177" s="813"/>
      <c r="I177" s="620"/>
    </row>
    <row r="178" spans="1:9" s="720" customFormat="1" ht="13.65" customHeight="1">
      <c r="A178" s="811"/>
      <c r="B178" s="811"/>
      <c r="C178" s="812"/>
      <c r="D178" s="1829"/>
      <c r="E178" s="1829"/>
      <c r="F178" s="1829"/>
      <c r="G178" s="813"/>
      <c r="I178" s="620"/>
    </row>
    <row r="179" spans="1:9" s="720" customFormat="1" ht="13.65" customHeight="1">
      <c r="A179" s="786"/>
      <c r="B179" s="786"/>
      <c r="C179" s="802"/>
      <c r="D179" s="783"/>
      <c r="E179" s="783"/>
      <c r="F179" s="783"/>
      <c r="G179" s="670"/>
      <c r="I179" s="620"/>
    </row>
    <row r="180" spans="1:9" s="720" customFormat="1" ht="13.65" customHeight="1">
      <c r="A180" s="786"/>
      <c r="B180" s="796" t="s">
        <v>2649</v>
      </c>
      <c r="C180" s="802"/>
      <c r="D180" s="1864" t="s">
        <v>1265</v>
      </c>
      <c r="E180" s="1864"/>
      <c r="F180" s="1864"/>
      <c r="G180" s="670"/>
      <c r="I180" s="620" t="s">
        <v>2346</v>
      </c>
    </row>
    <row r="181" spans="1:9" s="720" customFormat="1" ht="13.65" customHeight="1">
      <c r="A181" s="786"/>
      <c r="B181" s="786"/>
      <c r="C181" s="802"/>
      <c r="D181" s="1864"/>
      <c r="E181" s="1864"/>
      <c r="F181" s="1864"/>
      <c r="G181" s="670"/>
      <c r="I181" s="620"/>
    </row>
    <row r="182" spans="1:9" s="720" customFormat="1" ht="13.65" customHeight="1">
      <c r="A182" s="786"/>
      <c r="B182" s="786"/>
      <c r="C182" s="802"/>
      <c r="D182" s="1864"/>
      <c r="E182" s="1864"/>
      <c r="F182" s="1864"/>
      <c r="G182" s="670"/>
      <c r="I182" s="620"/>
    </row>
    <row r="183" spans="1:9" s="720" customFormat="1" ht="13.65" customHeight="1">
      <c r="A183" s="814"/>
      <c r="B183" s="814"/>
      <c r="C183" s="802"/>
      <c r="D183" s="787"/>
      <c r="E183" s="783"/>
      <c r="F183" s="783"/>
      <c r="G183" s="670"/>
      <c r="I183" s="620"/>
    </row>
    <row r="184" spans="1:9">
      <c r="A184" s="1841" t="s">
        <v>2322</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2323</v>
      </c>
      <c r="C187" s="1727"/>
      <c r="D187" s="1727"/>
      <c r="E187" s="1727"/>
      <c r="F187" s="1727"/>
      <c r="G187" s="1671"/>
      <c r="I187" s="1674"/>
    </row>
    <row r="188" spans="1:9" ht="12" customHeight="1">
      <c r="A188" s="791"/>
      <c r="B188" s="791"/>
      <c r="C188" s="791"/>
    </row>
    <row r="189" spans="1:9">
      <c r="A189" s="1841" t="s">
        <v>1160</v>
      </c>
      <c r="B189" s="1841"/>
      <c r="C189" s="1841"/>
      <c r="D189" s="1841"/>
      <c r="E189" s="1841"/>
      <c r="F189" s="1841"/>
      <c r="G189" s="1841"/>
      <c r="H189" s="1749"/>
      <c r="I189" s="1750"/>
    </row>
    <row r="190" spans="1:9" ht="12" customHeight="1">
      <c r="A190" s="815"/>
      <c r="B190" s="815"/>
      <c r="C190" s="816"/>
      <c r="D190" s="817"/>
      <c r="E190" s="818"/>
      <c r="F190" s="817"/>
      <c r="G190" s="817"/>
    </row>
    <row r="191" spans="1:9" ht="13.65" customHeight="1">
      <c r="A191" s="815"/>
      <c r="B191" s="815"/>
      <c r="C191" s="816"/>
      <c r="D191" s="1865" t="s">
        <v>2175</v>
      </c>
      <c r="E191" s="1865"/>
      <c r="F191" s="1865"/>
      <c r="G191" s="817"/>
    </row>
    <row r="192" spans="1:9">
      <c r="A192" s="815"/>
      <c r="B192" s="815"/>
      <c r="C192" s="816"/>
      <c r="D192" s="1865"/>
      <c r="E192" s="1865"/>
      <c r="F192" s="1865"/>
      <c r="G192" s="817"/>
    </row>
    <row r="193" spans="1:9">
      <c r="A193" s="815"/>
      <c r="B193" s="815"/>
      <c r="C193" s="816"/>
      <c r="D193" s="1866" t="s">
        <v>1397</v>
      </c>
      <c r="E193" s="1866"/>
      <c r="F193" s="1866"/>
      <c r="G193" s="817"/>
    </row>
    <row r="194" spans="1:9">
      <c r="A194" s="815"/>
      <c r="B194" s="815"/>
      <c r="C194" s="816"/>
      <c r="D194" s="1615"/>
      <c r="E194" s="1615"/>
      <c r="F194" s="1615"/>
      <c r="G194" s="817"/>
    </row>
    <row r="195" spans="1:9">
      <c r="A195" s="815"/>
      <c r="B195" s="796" t="s">
        <v>2650</v>
      </c>
      <c r="C195" s="816"/>
      <c r="D195" s="1834" t="s">
        <v>2176</v>
      </c>
      <c r="E195" s="1834"/>
      <c r="F195" s="1834"/>
      <c r="G195" s="817"/>
      <c r="I195" s="1674" t="s">
        <v>2395</v>
      </c>
    </row>
    <row r="196" spans="1:9">
      <c r="A196" s="815"/>
      <c r="B196" s="815"/>
      <c r="C196" s="816"/>
      <c r="D196" s="1887" t="s">
        <v>2491</v>
      </c>
      <c r="E196" s="1887"/>
      <c r="F196" s="1887"/>
      <c r="G196" s="817"/>
    </row>
    <row r="197" spans="1:9">
      <c r="A197" s="815"/>
      <c r="B197" s="815"/>
      <c r="C197" s="816"/>
      <c r="D197" s="1631" t="s">
        <v>2177</v>
      </c>
      <c r="E197" s="1946" t="s">
        <v>2517</v>
      </c>
      <c r="F197" s="1946"/>
      <c r="G197" s="817"/>
    </row>
    <row r="198" spans="1:9">
      <c r="A198" s="815"/>
      <c r="B198" s="815"/>
      <c r="C198" s="816"/>
      <c r="D198" s="155"/>
      <c r="E198" s="155"/>
      <c r="F198" s="155"/>
      <c r="G198" s="817"/>
    </row>
    <row r="199" spans="1:9">
      <c r="A199" s="815"/>
      <c r="B199" s="796" t="s">
        <v>2649</v>
      </c>
      <c r="C199" s="816"/>
      <c r="D199" s="1887" t="s">
        <v>2178</v>
      </c>
      <c r="E199" s="1887"/>
      <c r="F199" s="1887"/>
      <c r="G199" s="817"/>
      <c r="I199" s="1674" t="s">
        <v>2396</v>
      </c>
    </row>
    <row r="200" spans="1:9">
      <c r="A200" s="815"/>
      <c r="B200" s="815"/>
      <c r="C200" s="816"/>
      <c r="D200" s="1834" t="s">
        <v>2491</v>
      </c>
      <c r="E200" s="1834"/>
      <c r="F200" s="1834"/>
      <c r="G200" s="817"/>
    </row>
    <row r="201" spans="1:9">
      <c r="A201" s="815"/>
      <c r="B201" s="815"/>
      <c r="C201" s="816"/>
      <c r="D201" s="1613" t="s">
        <v>2179</v>
      </c>
      <c r="E201" s="1946" t="s">
        <v>2518</v>
      </c>
      <c r="F201" s="1946"/>
      <c r="G201" s="817"/>
    </row>
    <row r="202" spans="1:9">
      <c r="A202" s="815"/>
      <c r="B202" s="815"/>
      <c r="C202" s="816"/>
      <c r="D202" s="155"/>
      <c r="E202" s="155"/>
      <c r="F202" s="155"/>
      <c r="G202" s="817"/>
    </row>
    <row r="203" spans="1:9">
      <c r="A203" s="815"/>
      <c r="B203" s="796" t="s">
        <v>2649</v>
      </c>
      <c r="C203" s="816"/>
      <c r="D203" s="1887" t="s">
        <v>2180</v>
      </c>
      <c r="E203" s="1887"/>
      <c r="F203" s="1887"/>
      <c r="G203" s="817"/>
      <c r="I203" s="1674" t="s">
        <v>2397</v>
      </c>
    </row>
    <row r="204" spans="1:9">
      <c r="A204" s="815"/>
      <c r="B204" s="815"/>
      <c r="C204" s="816"/>
      <c r="D204" s="1834" t="s">
        <v>2491</v>
      </c>
      <c r="E204" s="1834"/>
      <c r="F204" s="1834"/>
      <c r="G204" s="817"/>
    </row>
    <row r="205" spans="1:9">
      <c r="A205" s="815"/>
      <c r="B205" s="815"/>
      <c r="C205" s="816"/>
      <c r="D205" s="1613" t="s">
        <v>2177</v>
      </c>
      <c r="E205" s="1946" t="s">
        <v>2519</v>
      </c>
      <c r="F205" s="1946"/>
      <c r="G205" s="817"/>
    </row>
    <row r="206" spans="1:9">
      <c r="A206" s="815"/>
      <c r="B206" s="815"/>
      <c r="C206" s="816"/>
      <c r="D206" s="1615"/>
      <c r="E206" s="1615"/>
      <c r="F206" s="1615"/>
      <c r="G206" s="817"/>
    </row>
    <row r="207" spans="1:9" ht="14.25" customHeight="1">
      <c r="A207" s="795"/>
      <c r="B207" s="796" t="s">
        <v>2649</v>
      </c>
      <c r="C207" s="816"/>
      <c r="D207" s="1805" t="s">
        <v>2484</v>
      </c>
      <c r="E207" s="876"/>
      <c r="F207" s="876"/>
      <c r="G207" s="817"/>
      <c r="I207" s="1674" t="s">
        <v>2398</v>
      </c>
    </row>
    <row r="208" spans="1:9" ht="14.4">
      <c r="A208" s="795"/>
      <c r="B208" s="795"/>
      <c r="C208" s="816"/>
      <c r="D208" s="1834" t="s">
        <v>2491</v>
      </c>
      <c r="E208" s="1834"/>
      <c r="F208" s="1834"/>
      <c r="G208" s="817"/>
    </row>
    <row r="209" spans="1:9">
      <c r="A209" s="816"/>
      <c r="B209" s="816"/>
      <c r="C209" s="816"/>
      <c r="D209" s="876"/>
      <c r="E209" s="1946" t="s">
        <v>2520</v>
      </c>
      <c r="F209" s="1946"/>
    </row>
    <row r="210" spans="1:9">
      <c r="A210" s="816"/>
      <c r="B210" s="816"/>
      <c r="C210" s="816"/>
      <c r="D210" s="801"/>
      <c r="E210" s="817"/>
      <c r="F210" s="817"/>
    </row>
    <row r="211" spans="1:9">
      <c r="A211" s="816"/>
      <c r="B211" s="796" t="s">
        <v>2649</v>
      </c>
      <c r="C211" s="816"/>
      <c r="D211" s="1887" t="s">
        <v>2181</v>
      </c>
      <c r="E211" s="1887"/>
      <c r="F211" s="1887"/>
      <c r="I211" s="1674" t="s">
        <v>2399</v>
      </c>
    </row>
    <row r="212" spans="1:9">
      <c r="A212" s="816"/>
      <c r="B212" s="816"/>
      <c r="C212" s="816"/>
      <c r="D212" s="1834" t="s">
        <v>2491</v>
      </c>
      <c r="E212" s="1834"/>
      <c r="F212" s="1834"/>
    </row>
    <row r="213" spans="1:9">
      <c r="A213" s="816"/>
      <c r="B213" s="816"/>
      <c r="C213" s="816"/>
      <c r="D213" s="1613" t="s">
        <v>2177</v>
      </c>
      <c r="E213" s="1946" t="s">
        <v>2521</v>
      </c>
      <c r="F213" s="1946"/>
    </row>
    <row r="214" spans="1:9">
      <c r="A214" s="816"/>
      <c r="B214" s="816"/>
      <c r="C214" s="816"/>
      <c r="D214" s="777"/>
      <c r="E214" s="777"/>
      <c r="F214" s="777"/>
    </row>
    <row r="215" spans="1:9" s="616" customFormat="1" ht="14.4">
      <c r="A215" s="795"/>
      <c r="B215" s="796" t="s">
        <v>2649</v>
      </c>
      <c r="C215" s="804"/>
      <c r="D215" s="1859" t="s">
        <v>1422</v>
      </c>
      <c r="E215" s="1859"/>
      <c r="F215" s="1859"/>
      <c r="G215" s="691"/>
      <c r="I215" s="640"/>
    </row>
    <row r="216" spans="1:9" s="616" customFormat="1" ht="14.4" customHeight="1">
      <c r="A216" s="795"/>
      <c r="C216" s="804"/>
      <c r="D216" s="1859"/>
      <c r="E216" s="1859"/>
      <c r="F216" s="1859"/>
      <c r="G216" s="691"/>
      <c r="I216" s="640"/>
    </row>
    <row r="217" spans="1:9" s="616" customFormat="1" ht="14.4">
      <c r="A217" s="795"/>
      <c r="B217" s="816"/>
      <c r="C217" s="804"/>
      <c r="D217" s="1859"/>
      <c r="E217" s="1859"/>
      <c r="F217" s="1859"/>
      <c r="G217" s="691"/>
      <c r="I217" s="640"/>
    </row>
    <row r="218" spans="1:9" s="616" customFormat="1" ht="14.4">
      <c r="A218" s="795"/>
      <c r="B218" s="816"/>
      <c r="C218" s="804"/>
      <c r="D218" s="1859"/>
      <c r="E218" s="1859"/>
      <c r="F218" s="1859"/>
      <c r="G218" s="691"/>
      <c r="I218" s="640"/>
    </row>
    <row r="219" spans="1:9">
      <c r="A219" s="816"/>
      <c r="B219" s="816"/>
      <c r="C219" s="816"/>
      <c r="D219" s="777"/>
      <c r="E219" s="777"/>
      <c r="F219" s="777"/>
    </row>
    <row r="220" spans="1:9">
      <c r="A220" s="1841" t="s">
        <v>1161</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1290</v>
      </c>
      <c r="E223" s="1931"/>
      <c r="F223" s="1931"/>
    </row>
    <row r="224" spans="1:9" ht="12" customHeight="1">
      <c r="A224" s="814"/>
      <c r="B224" s="814"/>
      <c r="C224" s="814"/>
    </row>
    <row r="225" spans="1:9" ht="13.65" customHeight="1">
      <c r="A225" s="814"/>
      <c r="C225" s="814"/>
      <c r="D225" s="1858" t="s">
        <v>579</v>
      </c>
      <c r="E225" s="1858"/>
      <c r="F225" s="1858"/>
      <c r="I225" s="1674" t="s">
        <v>2347</v>
      </c>
    </row>
    <row r="226" spans="1:9" ht="14.4">
      <c r="A226" s="795"/>
      <c r="B226" s="796" t="s">
        <v>2650</v>
      </c>
      <c r="D226" s="1859" t="s">
        <v>2182</v>
      </c>
      <c r="E226" s="1859"/>
      <c r="F226" s="1859"/>
    </row>
    <row r="227" spans="1:9" ht="14.25" customHeight="1">
      <c r="A227" s="795"/>
      <c r="B227" s="795"/>
      <c r="D227" s="1859"/>
      <c r="E227" s="1859"/>
      <c r="F227" s="1859"/>
    </row>
    <row r="228" spans="1:9" ht="14.25" customHeight="1">
      <c r="A228" s="795"/>
      <c r="B228" s="795"/>
      <c r="D228" s="1859"/>
      <c r="E228" s="1859"/>
      <c r="F228" s="1859"/>
    </row>
    <row r="229" spans="1:9" ht="14.4">
      <c r="A229" s="795"/>
      <c r="B229" s="795"/>
      <c r="D229" s="1859"/>
      <c r="E229" s="1859"/>
      <c r="F229" s="1859"/>
    </row>
    <row r="230" spans="1:9" ht="14.4">
      <c r="A230" s="795"/>
      <c r="B230" s="795"/>
      <c r="D230" s="1614"/>
      <c r="E230" s="1614"/>
      <c r="F230" s="1614"/>
    </row>
    <row r="231" spans="1:9" ht="14.4">
      <c r="A231" s="795"/>
      <c r="B231" s="796" t="s">
        <v>2650</v>
      </c>
      <c r="D231" s="1859" t="s">
        <v>2183</v>
      </c>
      <c r="E231" s="1859"/>
      <c r="F231" s="1859"/>
      <c r="I231" s="1674" t="s">
        <v>2348</v>
      </c>
    </row>
    <row r="232" spans="1:9" ht="14.4">
      <c r="A232" s="795"/>
      <c r="B232" s="795"/>
      <c r="D232" s="1859"/>
      <c r="E232" s="1859"/>
      <c r="F232" s="1859"/>
    </row>
    <row r="233" spans="1:9" ht="14.4">
      <c r="A233" s="795"/>
      <c r="B233" s="795"/>
      <c r="D233" s="1859"/>
      <c r="E233" s="1859"/>
      <c r="F233" s="1859"/>
    </row>
    <row r="234" spans="1:9" ht="14.4">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ht="14.4">
      <c r="A237" s="795"/>
      <c r="B237" s="795"/>
      <c r="D237" s="1859" t="s">
        <v>1286</v>
      </c>
      <c r="E237" s="1859"/>
      <c r="F237" s="1859"/>
      <c r="I237" s="1674" t="s">
        <v>2347</v>
      </c>
    </row>
    <row r="238" spans="1:9" ht="14.4">
      <c r="A238" s="795"/>
      <c r="B238" s="795"/>
      <c r="D238" s="1859"/>
      <c r="E238" s="1859"/>
      <c r="F238" s="1859"/>
    </row>
    <row r="239" spans="1:9" ht="14.4">
      <c r="A239" s="795"/>
      <c r="B239" s="795"/>
      <c r="D239" s="1859"/>
      <c r="E239" s="1859"/>
      <c r="F239" s="1859"/>
    </row>
    <row r="240" spans="1:9" ht="14.4">
      <c r="A240" s="795"/>
      <c r="B240" s="795"/>
      <c r="D240" s="1859"/>
      <c r="E240" s="1859"/>
      <c r="F240" s="1859"/>
    </row>
    <row r="241" spans="1:9" ht="14.4">
      <c r="A241" s="795"/>
      <c r="B241" s="795"/>
      <c r="D241" s="1859"/>
      <c r="E241" s="1859"/>
      <c r="F241" s="1859"/>
    </row>
    <row r="242" spans="1:9" ht="14.4">
      <c r="A242" s="795"/>
      <c r="B242" s="795"/>
      <c r="D242" s="798"/>
      <c r="E242" s="798"/>
      <c r="F242" s="798"/>
    </row>
    <row r="243" spans="1:9" ht="14.4">
      <c r="A243" s="795"/>
      <c r="B243" s="796" t="s">
        <v>2650</v>
      </c>
      <c r="D243" s="1935" t="s">
        <v>2186</v>
      </c>
      <c r="E243" s="1935"/>
      <c r="F243" s="1935"/>
      <c r="I243" s="1674" t="s">
        <v>2386</v>
      </c>
    </row>
    <row r="244" spans="1:9" ht="14.4">
      <c r="A244" s="795"/>
      <c r="B244" s="795"/>
      <c r="D244" s="1935"/>
      <c r="E244" s="1935"/>
      <c r="F244" s="1935"/>
    </row>
    <row r="245" spans="1:9" ht="14.4">
      <c r="A245" s="795"/>
      <c r="B245" s="795"/>
      <c r="D245" s="1935"/>
      <c r="E245" s="1935"/>
      <c r="F245" s="1935"/>
    </row>
    <row r="246" spans="1:9" ht="14.4">
      <c r="A246" s="795"/>
      <c r="B246" s="795"/>
      <c r="E246" s="1806" t="s">
        <v>2485</v>
      </c>
    </row>
    <row r="247" spans="1:9" ht="14.4">
      <c r="A247" s="795"/>
      <c r="B247" s="795"/>
      <c r="D247" s="798"/>
      <c r="E247" s="798"/>
      <c r="F247" s="798"/>
    </row>
    <row r="248" spans="1:9" ht="14.4" customHeight="1">
      <c r="A248" s="795"/>
      <c r="B248" s="796" t="s">
        <v>2649</v>
      </c>
      <c r="D248" s="1935" t="s">
        <v>1289</v>
      </c>
      <c r="E248" s="1935"/>
      <c r="F248" s="1935"/>
      <c r="I248" s="1674" t="s">
        <v>2406</v>
      </c>
    </row>
    <row r="249" spans="1:9" ht="14.4">
      <c r="A249" s="795"/>
      <c r="B249" s="795"/>
      <c r="D249" s="1935"/>
      <c r="E249" s="1935"/>
      <c r="F249" s="1935"/>
    </row>
    <row r="250" spans="1:9" ht="14.4">
      <c r="A250" s="795"/>
      <c r="B250" s="795"/>
      <c r="D250" s="1935"/>
      <c r="E250" s="1935"/>
      <c r="F250" s="1935"/>
    </row>
    <row r="251" spans="1:9" ht="14.4">
      <c r="A251" s="795"/>
      <c r="B251" s="795"/>
      <c r="D251" s="1935"/>
      <c r="E251" s="1935"/>
      <c r="F251" s="1935"/>
    </row>
    <row r="252" spans="1:9" ht="14.4">
      <c r="A252" s="795"/>
      <c r="B252" s="795"/>
      <c r="D252" s="1935"/>
      <c r="E252" s="1935"/>
      <c r="F252" s="1935"/>
    </row>
    <row r="253" spans="1:9" ht="14.4">
      <c r="A253" s="795"/>
      <c r="B253" s="795"/>
      <c r="D253" s="1625"/>
      <c r="E253" s="1625"/>
      <c r="F253" s="1625"/>
    </row>
    <row r="254" spans="1:9" ht="14.4">
      <c r="A254" s="795"/>
      <c r="B254" s="796" t="s">
        <v>2650</v>
      </c>
      <c r="D254" s="1624" t="s">
        <v>2184</v>
      </c>
      <c r="E254" s="1625"/>
      <c r="F254" s="1625"/>
      <c r="I254" s="1674" t="s">
        <v>2385</v>
      </c>
    </row>
    <row r="255" spans="1:9" ht="14.4">
      <c r="A255" s="795"/>
      <c r="B255" s="795"/>
      <c r="E255" s="1806" t="s">
        <v>2486</v>
      </c>
    </row>
    <row r="256" spans="1:9">
      <c r="D256" s="798"/>
      <c r="E256" s="798"/>
      <c r="F256" s="798"/>
    </row>
    <row r="257" spans="1:9" ht="14.4">
      <c r="A257" s="795"/>
      <c r="B257" s="796" t="s">
        <v>2650</v>
      </c>
      <c r="D257" s="1859" t="s">
        <v>1288</v>
      </c>
      <c r="E257" s="1859"/>
      <c r="F257" s="1859"/>
    </row>
    <row r="258" spans="1:9" ht="14.4">
      <c r="A258" s="795"/>
      <c r="B258" s="795"/>
      <c r="D258" s="1859"/>
      <c r="E258" s="1859"/>
      <c r="F258" s="1859"/>
    </row>
    <row r="259" spans="1:9">
      <c r="D259" s="819"/>
    </row>
    <row r="260" spans="1:9">
      <c r="A260" s="1841" t="s">
        <v>1162</v>
      </c>
      <c r="B260" s="1841"/>
      <c r="C260" s="1841"/>
      <c r="D260" s="1841"/>
      <c r="E260" s="1841"/>
      <c r="F260" s="1841"/>
      <c r="G260" s="1841"/>
      <c r="H260" s="1749"/>
      <c r="I260" s="1750"/>
    </row>
    <row r="261" spans="1:9">
      <c r="D261" s="819"/>
    </row>
    <row r="262" spans="1:9">
      <c r="C262" s="805"/>
      <c r="D262" s="1858" t="s">
        <v>1291</v>
      </c>
      <c r="E262" s="1858"/>
      <c r="F262" s="1858"/>
    </row>
    <row r="263" spans="1:9">
      <c r="A263" s="791"/>
      <c r="B263" s="791"/>
      <c r="C263" s="791"/>
      <c r="D263" s="798"/>
      <c r="E263" s="798"/>
      <c r="F263" s="798"/>
    </row>
    <row r="264" spans="1:9">
      <c r="A264" s="793"/>
      <c r="B264" s="793"/>
      <c r="C264" s="793"/>
      <c r="D264" s="1858" t="s">
        <v>275</v>
      </c>
      <c r="E264" s="1858"/>
      <c r="F264" s="1858"/>
      <c r="I264" s="1674" t="s">
        <v>2387</v>
      </c>
    </row>
    <row r="265" spans="1:9" ht="14.4" customHeight="1">
      <c r="A265" s="795"/>
      <c r="B265" s="796" t="s">
        <v>2650</v>
      </c>
      <c r="D265" s="1937" t="s">
        <v>1398</v>
      </c>
      <c r="E265" s="1937"/>
      <c r="F265" s="1937"/>
    </row>
    <row r="266" spans="1:9">
      <c r="D266" s="1937"/>
      <c r="E266" s="1937"/>
      <c r="F266" s="1937"/>
    </row>
    <row r="267" spans="1:9">
      <c r="E267" s="1806" t="s">
        <v>2487</v>
      </c>
    </row>
    <row r="268" spans="1:9">
      <c r="D268" s="798"/>
      <c r="E268" s="798"/>
      <c r="F268" s="798"/>
    </row>
    <row r="269" spans="1:9" ht="14.4" customHeight="1">
      <c r="A269" s="795"/>
      <c r="B269" s="796" t="s">
        <v>2649</v>
      </c>
      <c r="D269" s="1935" t="s">
        <v>2185</v>
      </c>
      <c r="E269" s="1935"/>
      <c r="F269" s="1935"/>
      <c r="I269" s="1674" t="s">
        <v>2407</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ht="14.4">
      <c r="A276" s="795"/>
      <c r="B276" s="796" t="s">
        <v>2649</v>
      </c>
      <c r="D276" s="1859" t="s">
        <v>1294</v>
      </c>
      <c r="E276" s="1859"/>
      <c r="F276" s="1859"/>
    </row>
    <row r="277" spans="1:9">
      <c r="D277" s="1859"/>
      <c r="E277" s="1859"/>
      <c r="F277" s="1859"/>
    </row>
    <row r="278" spans="1:9">
      <c r="D278" s="1859"/>
      <c r="E278" s="1859"/>
      <c r="F278" s="1859"/>
    </row>
    <row r="279" spans="1:9">
      <c r="D279" s="820"/>
      <c r="E279" s="798"/>
      <c r="F279" s="798"/>
    </row>
    <row r="280" spans="1:9">
      <c r="A280" s="1841" t="s">
        <v>1163</v>
      </c>
      <c r="B280" s="1841"/>
      <c r="C280" s="1841"/>
      <c r="D280" s="1841"/>
      <c r="E280" s="1841"/>
      <c r="F280" s="1841"/>
      <c r="G280" s="1841"/>
      <c r="H280" s="1749"/>
      <c r="I280" s="1750"/>
    </row>
    <row r="281" spans="1:9">
      <c r="D281" s="820"/>
      <c r="E281" s="798"/>
      <c r="F281" s="798"/>
    </row>
    <row r="282" spans="1:9">
      <c r="C282" s="791"/>
      <c r="D282" s="1927" t="s">
        <v>1296</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1297</v>
      </c>
      <c r="E286" s="1953"/>
      <c r="F286" s="1953"/>
    </row>
    <row r="287" spans="1:9">
      <c r="E287" s="798"/>
      <c r="F287" s="798"/>
    </row>
    <row r="288" spans="1:9" ht="14.4">
      <c r="A288" s="795"/>
      <c r="B288" s="796" t="s">
        <v>2649</v>
      </c>
      <c r="D288" s="1859" t="s">
        <v>1298</v>
      </c>
      <c r="E288" s="1859"/>
      <c r="F288" s="1859"/>
      <c r="I288" s="1674" t="s">
        <v>2349</v>
      </c>
    </row>
    <row r="289" spans="1:9" ht="14.4">
      <c r="A289" s="795"/>
      <c r="B289" s="795"/>
      <c r="D289" s="1859"/>
      <c r="E289" s="1859"/>
      <c r="F289" s="1859"/>
    </row>
    <row r="290" spans="1:9">
      <c r="D290" s="798"/>
      <c r="E290" s="798"/>
      <c r="F290" s="798"/>
    </row>
    <row r="291" spans="1:9" ht="14.4">
      <c r="A291" s="795"/>
      <c r="B291" s="796" t="s">
        <v>2649</v>
      </c>
      <c r="D291" s="1935" t="s">
        <v>1299</v>
      </c>
      <c r="E291" s="1935"/>
      <c r="F291" s="1935"/>
      <c r="I291" s="1674" t="s">
        <v>2349</v>
      </c>
    </row>
    <row r="292" spans="1:9" ht="14.4">
      <c r="A292" s="795"/>
      <c r="B292" s="795"/>
      <c r="D292" s="1935"/>
      <c r="E292" s="1935"/>
      <c r="F292" s="1935"/>
    </row>
    <row r="293" spans="1:9" ht="14.4">
      <c r="A293" s="795"/>
      <c r="B293" s="795"/>
      <c r="D293" s="1935"/>
      <c r="E293" s="1935"/>
      <c r="F293" s="1935"/>
    </row>
    <row r="294" spans="1:9">
      <c r="D294" s="798"/>
      <c r="E294" s="798"/>
      <c r="F294" s="798"/>
    </row>
    <row r="295" spans="1:9" ht="14.4">
      <c r="A295" s="795"/>
      <c r="B295" s="796" t="s">
        <v>2649</v>
      </c>
      <c r="D295" s="1859" t="s">
        <v>1300</v>
      </c>
      <c r="E295" s="1859"/>
      <c r="F295" s="1859"/>
      <c r="I295" s="1674" t="s">
        <v>2349</v>
      </c>
    </row>
    <row r="296" spans="1:9" ht="14.4">
      <c r="A296" s="795"/>
      <c r="B296" s="795"/>
      <c r="D296" s="1859"/>
      <c r="E296" s="1859"/>
      <c r="F296" s="1859"/>
    </row>
    <row r="297" spans="1:9">
      <c r="A297" s="814"/>
      <c r="B297" s="814"/>
      <c r="E297" s="798"/>
      <c r="F297" s="798"/>
    </row>
    <row r="298" spans="1:9">
      <c r="A298" s="1841" t="s">
        <v>1164</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1301</v>
      </c>
      <c r="E301" s="1861"/>
      <c r="F301" s="1861"/>
    </row>
    <row r="302" spans="1:9">
      <c r="C302" s="814"/>
      <c r="D302" s="821"/>
    </row>
    <row r="303" spans="1:9">
      <c r="A303" s="799"/>
      <c r="B303" s="796" t="s">
        <v>2649</v>
      </c>
      <c r="D303" s="1861" t="s">
        <v>1302</v>
      </c>
      <c r="E303" s="1861"/>
      <c r="F303" s="1861"/>
      <c r="I303" s="1674" t="s">
        <v>2350</v>
      </c>
    </row>
    <row r="304" spans="1:9" s="789" customFormat="1" ht="14.4">
      <c r="A304" s="803"/>
      <c r="B304" s="803"/>
      <c r="C304" s="799"/>
      <c r="D304" s="822"/>
      <c r="E304" s="823"/>
      <c r="F304" s="823"/>
      <c r="G304" s="800"/>
      <c r="I304" s="1733"/>
    </row>
    <row r="305" spans="1:9" s="789" customFormat="1" ht="13.65" customHeight="1">
      <c r="A305" s="799"/>
      <c r="B305" s="796" t="s">
        <v>2649</v>
      </c>
      <c r="C305" s="799"/>
      <c r="D305" s="1956" t="s">
        <v>1426</v>
      </c>
      <c r="E305" s="1956"/>
      <c r="F305" s="1956"/>
      <c r="G305" s="800"/>
      <c r="I305" s="1733" t="s">
        <v>2350</v>
      </c>
    </row>
    <row r="306" spans="1:9" s="789" customFormat="1" ht="14.4">
      <c r="A306" s="803"/>
      <c r="B306" s="803"/>
      <c r="C306" s="799"/>
      <c r="D306" s="1956"/>
      <c r="E306" s="1956"/>
      <c r="F306" s="1956"/>
      <c r="G306" s="800"/>
      <c r="I306" s="1733"/>
    </row>
    <row r="307" spans="1:9" s="789" customFormat="1" ht="14.4">
      <c r="A307" s="803"/>
      <c r="B307" s="803"/>
      <c r="C307" s="799"/>
      <c r="D307" s="1956"/>
      <c r="E307" s="1956"/>
      <c r="F307" s="1956"/>
      <c r="G307" s="800"/>
      <c r="I307" s="1733"/>
    </row>
    <row r="308" spans="1:9" s="789" customFormat="1" ht="14.4">
      <c r="A308" s="803"/>
      <c r="B308" s="803"/>
      <c r="C308" s="799"/>
      <c r="D308" s="1956"/>
      <c r="E308" s="1956"/>
      <c r="F308" s="1956"/>
      <c r="G308" s="800"/>
      <c r="I308" s="1733"/>
    </row>
    <row r="309" spans="1:9" s="789" customFormat="1" ht="14.4">
      <c r="A309" s="803"/>
      <c r="B309" s="803"/>
      <c r="C309" s="799"/>
      <c r="D309" s="1956"/>
      <c r="E309" s="1956"/>
      <c r="F309" s="1956"/>
      <c r="G309" s="800"/>
      <c r="I309" s="1733"/>
    </row>
    <row r="310" spans="1:9" s="789" customFormat="1" ht="14.4">
      <c r="A310" s="803"/>
      <c r="B310" s="803"/>
      <c r="C310" s="799"/>
      <c r="D310" s="822"/>
      <c r="E310" s="823"/>
      <c r="F310" s="823"/>
      <c r="G310" s="800"/>
      <c r="I310" s="1733"/>
    </row>
    <row r="311" spans="1:9" s="789" customFormat="1" ht="13.65" customHeight="1">
      <c r="A311" s="799"/>
      <c r="B311" s="796" t="s">
        <v>2649</v>
      </c>
      <c r="C311" s="799"/>
      <c r="D311" s="1956" t="s">
        <v>1304</v>
      </c>
      <c r="E311" s="1956"/>
      <c r="F311" s="1956"/>
      <c r="G311" s="800"/>
      <c r="I311" s="1733" t="s">
        <v>2350</v>
      </c>
    </row>
    <row r="312" spans="1:9" s="789" customFormat="1">
      <c r="A312" s="799"/>
      <c r="B312" s="799"/>
      <c r="C312" s="799"/>
      <c r="D312" s="1956"/>
      <c r="E312" s="1956"/>
      <c r="F312" s="1956"/>
      <c r="G312" s="800"/>
      <c r="I312" s="1733"/>
    </row>
    <row r="313" spans="1:9" s="789" customFormat="1" ht="14.4">
      <c r="A313" s="803"/>
      <c r="B313" s="803"/>
      <c r="C313" s="799"/>
      <c r="D313" s="822"/>
      <c r="E313" s="823"/>
      <c r="F313" s="823"/>
      <c r="G313" s="800"/>
      <c r="I313" s="1733"/>
    </row>
    <row r="314" spans="1:9">
      <c r="A314" s="799"/>
      <c r="B314" s="796" t="s">
        <v>2649</v>
      </c>
      <c r="D314" s="1861" t="s">
        <v>1305</v>
      </c>
      <c r="E314" s="1861"/>
      <c r="F314" s="1861"/>
      <c r="I314" s="1674" t="s">
        <v>2336</v>
      </c>
    </row>
    <row r="315" spans="1:9">
      <c r="E315" s="798"/>
      <c r="F315" s="798"/>
    </row>
    <row r="316" spans="1:9" ht="14.4">
      <c r="A316" s="795"/>
      <c r="B316" s="796" t="s">
        <v>2649</v>
      </c>
      <c r="D316" s="1935" t="s">
        <v>1452</v>
      </c>
      <c r="E316" s="1935"/>
      <c r="F316" s="1935"/>
      <c r="I316" s="1674" t="s">
        <v>2351</v>
      </c>
    </row>
    <row r="317" spans="1:9" ht="14.4">
      <c r="A317" s="795"/>
      <c r="B317" s="795"/>
      <c r="D317" s="1935"/>
      <c r="E317" s="1935"/>
      <c r="F317" s="1935"/>
    </row>
    <row r="318" spans="1:9" ht="14.4">
      <c r="A318" s="795"/>
      <c r="B318" s="795"/>
      <c r="D318" s="1935"/>
      <c r="E318" s="1935"/>
      <c r="F318" s="1935"/>
    </row>
    <row r="319" spans="1:9" ht="14.4">
      <c r="A319" s="795"/>
      <c r="B319" s="795"/>
      <c r="D319" s="1935"/>
      <c r="E319" s="1935"/>
      <c r="F319" s="1935"/>
    </row>
    <row r="320" spans="1:9" ht="14.4">
      <c r="A320" s="795"/>
      <c r="B320" s="795"/>
      <c r="D320" s="1935"/>
      <c r="E320" s="1935"/>
      <c r="F320" s="1935"/>
    </row>
    <row r="321" spans="1:9" ht="14.4">
      <c r="A321" s="795"/>
      <c r="B321" s="795"/>
      <c r="D321" s="1935"/>
      <c r="E321" s="1935"/>
      <c r="F321" s="1935"/>
    </row>
    <row r="322" spans="1:9" ht="14.4">
      <c r="A322" s="795"/>
      <c r="B322" s="795"/>
      <c r="D322" s="1935"/>
      <c r="E322" s="1935"/>
      <c r="F322" s="1935"/>
    </row>
    <row r="323" spans="1:9" ht="14.4">
      <c r="A323" s="795"/>
      <c r="B323" s="795"/>
      <c r="D323" s="1935"/>
      <c r="E323" s="1935"/>
      <c r="F323" s="1935"/>
    </row>
    <row r="324" spans="1:9" ht="14.4">
      <c r="A324" s="795"/>
      <c r="B324" s="795"/>
      <c r="D324" s="1935"/>
      <c r="E324" s="1935"/>
      <c r="F324" s="1935"/>
    </row>
    <row r="325" spans="1:9" ht="14.4">
      <c r="A325" s="795"/>
      <c r="B325" s="795"/>
      <c r="D325" s="1935"/>
      <c r="E325" s="1935"/>
      <c r="F325" s="1935"/>
    </row>
    <row r="326" spans="1:9" ht="14.4">
      <c r="A326" s="795"/>
      <c r="B326" s="795"/>
      <c r="D326" s="1935"/>
      <c r="E326" s="1935"/>
      <c r="F326" s="1935"/>
    </row>
    <row r="327" spans="1:9" ht="14.4">
      <c r="A327" s="795"/>
      <c r="B327" s="795"/>
      <c r="D327" s="1935"/>
      <c r="E327" s="1935"/>
      <c r="F327" s="1935"/>
    </row>
    <row r="328" spans="1:9" ht="14.4">
      <c r="A328" s="795"/>
      <c r="B328" s="795"/>
      <c r="D328" s="1935"/>
      <c r="E328" s="1935"/>
      <c r="F328" s="1935"/>
    </row>
    <row r="329" spans="1:9" ht="14.4">
      <c r="A329" s="795"/>
      <c r="B329" s="795"/>
      <c r="D329" s="1935"/>
      <c r="E329" s="1935"/>
      <c r="F329" s="1935"/>
    </row>
    <row r="330" spans="1:9" ht="14.4">
      <c r="A330" s="795"/>
      <c r="B330" s="795"/>
      <c r="D330" s="1935"/>
      <c r="E330" s="1935"/>
      <c r="F330" s="1935"/>
    </row>
    <row r="331" spans="1:9">
      <c r="D331" s="798"/>
      <c r="E331" s="798"/>
      <c r="F331" s="798"/>
    </row>
    <row r="332" spans="1:9" ht="14.4">
      <c r="A332" s="795"/>
      <c r="B332" s="796" t="s">
        <v>2649</v>
      </c>
      <c r="D332" s="1935" t="s">
        <v>1307</v>
      </c>
      <c r="E332" s="1935"/>
      <c r="F332" s="1935"/>
      <c r="I332" s="1674" t="s">
        <v>2351</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2649</v>
      </c>
      <c r="D342" s="1859" t="s">
        <v>2492</v>
      </c>
      <c r="E342" s="1859"/>
      <c r="F342" s="1859"/>
      <c r="I342" s="1674" t="s">
        <v>2388</v>
      </c>
    </row>
    <row r="343" spans="1:9">
      <c r="D343" s="1859"/>
      <c r="E343" s="1859"/>
      <c r="F343" s="1859"/>
      <c r="G343" s="788"/>
    </row>
    <row r="344" spans="1:9">
      <c r="D344" s="1859"/>
      <c r="E344" s="1859"/>
      <c r="F344" s="1859"/>
      <c r="G344" s="788"/>
    </row>
    <row r="345" spans="1:9">
      <c r="D345" s="1859"/>
      <c r="E345" s="1859"/>
      <c r="F345" s="185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8" thickBot="1">
      <c r="A349" s="1724"/>
      <c r="B349" s="1724"/>
      <c r="C349" s="1724"/>
      <c r="D349" s="1936" t="s">
        <v>1060</v>
      </c>
      <c r="E349" s="1936"/>
      <c r="F349" s="1936"/>
      <c r="G349" s="1747"/>
      <c r="H349" s="1747"/>
      <c r="I349" s="1748"/>
    </row>
    <row r="350" spans="1:9" ht="13.8" thickTop="1">
      <c r="D350" s="1957" t="s">
        <v>1309</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4">
      <c r="A353" s="795"/>
      <c r="B353" s="796" t="s">
        <v>2649</v>
      </c>
      <c r="C353" s="827"/>
      <c r="D353" s="1861" t="s">
        <v>2490</v>
      </c>
      <c r="E353" s="1861"/>
      <c r="F353" s="1861"/>
      <c r="I353" s="1962" t="s">
        <v>2403</v>
      </c>
    </row>
    <row r="354" spans="1:9" ht="12.75" customHeight="1">
      <c r="D354" s="1807"/>
      <c r="E354" s="1631" t="s">
        <v>2489</v>
      </c>
      <c r="F354" s="1807"/>
      <c r="I354" s="1963"/>
    </row>
    <row r="355" spans="1:9">
      <c r="D355" s="1935" t="s">
        <v>1450</v>
      </c>
      <c r="E355" s="1935"/>
      <c r="F355" s="1935"/>
      <c r="I355" s="1963"/>
    </row>
    <row r="356" spans="1:9">
      <c r="D356" s="1935"/>
      <c r="E356" s="1935"/>
      <c r="F356" s="1935"/>
      <c r="I356" s="1963"/>
    </row>
    <row r="357" spans="1:9">
      <c r="D357" s="1935"/>
      <c r="E357" s="1935"/>
      <c r="F357" s="1935"/>
      <c r="I357" s="1964"/>
    </row>
    <row r="358" spans="1:9" ht="14.4">
      <c r="A358" s="795"/>
      <c r="B358" s="796" t="s">
        <v>2649</v>
      </c>
      <c r="C358" s="812"/>
      <c r="D358" s="1855" t="s">
        <v>1310</v>
      </c>
      <c r="E358" s="1855"/>
      <c r="F358" s="1855"/>
      <c r="G358" s="788"/>
      <c r="I358" s="617"/>
    </row>
    <row r="359" spans="1:9">
      <c r="A359" s="812"/>
      <c r="B359" s="812"/>
      <c r="C359" s="812"/>
      <c r="D359" s="784"/>
      <c r="E359" s="784"/>
      <c r="F359" s="798"/>
      <c r="G359" s="788"/>
    </row>
    <row r="360" spans="1:9">
      <c r="A360" s="812"/>
      <c r="B360" s="796" t="s">
        <v>2649</v>
      </c>
      <c r="C360" s="812"/>
      <c r="D360" s="1850" t="s">
        <v>1429</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45" customHeight="1">
      <c r="A373" s="812"/>
      <c r="B373" s="796" t="s">
        <v>2649</v>
      </c>
      <c r="C373" s="812"/>
      <c r="D373" s="1965" t="s">
        <v>1430</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2649</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4">
      <c r="A385" s="795"/>
      <c r="B385" s="796" t="s">
        <v>2649</v>
      </c>
      <c r="C385" s="812"/>
      <c r="D385" s="1848" t="s">
        <v>1312</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1313</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25" customHeight="1">
      <c r="A398" s="812"/>
      <c r="B398" s="812"/>
      <c r="C398" s="812"/>
      <c r="D398" s="1848"/>
      <c r="E398" s="1848"/>
      <c r="F398" s="1848"/>
      <c r="G398" s="788"/>
    </row>
    <row r="399" spans="1:7" ht="13.65" customHeight="1">
      <c r="A399" s="812"/>
      <c r="B399" s="812"/>
      <c r="C399" s="812"/>
      <c r="D399" s="1849" t="s">
        <v>1314</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2649</v>
      </c>
      <c r="C418" s="812"/>
      <c r="D418" s="1849" t="s">
        <v>1315</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4" customHeight="1">
      <c r="A421" s="795"/>
      <c r="B421" s="796" t="s">
        <v>2649</v>
      </c>
      <c r="D421" s="1849" t="s">
        <v>2389</v>
      </c>
      <c r="E421" s="1849"/>
      <c r="F421" s="1849"/>
    </row>
    <row r="422" spans="1:7" ht="14.4" customHeight="1">
      <c r="A422" s="795"/>
      <c r="D422" s="1849"/>
      <c r="E422" s="1849"/>
      <c r="F422" s="1849"/>
    </row>
    <row r="423" spans="1:7" ht="14.4" customHeight="1">
      <c r="A423" s="795"/>
      <c r="D423" s="1849"/>
      <c r="E423" s="1849"/>
      <c r="F423" s="1849"/>
    </row>
    <row r="424" spans="1:7" ht="14.4" customHeight="1">
      <c r="A424" s="795"/>
      <c r="D424" s="1849"/>
      <c r="E424" s="1849"/>
      <c r="F424" s="1849"/>
    </row>
    <row r="425" spans="1:7" ht="14.4" customHeight="1">
      <c r="A425" s="795"/>
      <c r="D425" s="1849"/>
      <c r="E425" s="1849"/>
      <c r="F425" s="1849"/>
    </row>
    <row r="426" spans="1:7" ht="14.4" customHeight="1">
      <c r="A426" s="795"/>
      <c r="D426" s="876"/>
      <c r="E426" s="876"/>
      <c r="F426" s="876"/>
    </row>
    <row r="427" spans="1:7" ht="13.65" customHeight="1">
      <c r="A427" s="795"/>
      <c r="B427" s="796" t="s">
        <v>2649</v>
      </c>
      <c r="C427" s="812"/>
      <c r="D427" s="1850" t="s">
        <v>1453</v>
      </c>
      <c r="E427" s="1850"/>
      <c r="F427" s="1850"/>
      <c r="G427" s="788"/>
    </row>
    <row r="428" spans="1:7" ht="14.4">
      <c r="A428" s="826"/>
      <c r="B428" s="826"/>
      <c r="C428" s="812"/>
      <c r="D428" s="1850"/>
      <c r="E428" s="1850"/>
      <c r="F428" s="1850"/>
      <c r="G428" s="788"/>
    </row>
    <row r="429" spans="1:7" ht="14.4">
      <c r="A429" s="826"/>
      <c r="B429" s="826"/>
      <c r="C429" s="812"/>
      <c r="D429" s="1850"/>
      <c r="E429" s="1850"/>
      <c r="F429" s="1850"/>
      <c r="G429" s="788"/>
    </row>
    <row r="430" spans="1:7" ht="14.4">
      <c r="A430" s="826"/>
      <c r="B430" s="826"/>
      <c r="C430" s="812"/>
      <c r="D430" s="1850"/>
      <c r="E430" s="1850"/>
      <c r="F430" s="1850"/>
      <c r="G430" s="788"/>
    </row>
    <row r="431" spans="1:7" ht="15.75" customHeight="1">
      <c r="A431" s="826"/>
      <c r="B431" s="826"/>
      <c r="C431" s="812"/>
      <c r="D431" s="1958" t="s">
        <v>1500</v>
      </c>
      <c r="E431" s="1850"/>
      <c r="F431" s="1850"/>
      <c r="G431" s="788"/>
    </row>
    <row r="432" spans="1:7">
      <c r="D432" s="798"/>
      <c r="E432" s="798"/>
      <c r="F432" s="798"/>
      <c r="G432" s="788"/>
    </row>
    <row r="433" spans="1:7" ht="14.4">
      <c r="A433" s="795"/>
      <c r="B433" s="796" t="s">
        <v>2649</v>
      </c>
      <c r="C433" s="827"/>
      <c r="D433" s="1859" t="s">
        <v>1317</v>
      </c>
      <c r="E433" s="1859"/>
      <c r="F433" s="1859"/>
      <c r="G433" s="788"/>
    </row>
    <row r="434" spans="1:7" ht="14.4">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65" customHeight="1">
      <c r="A463" s="786"/>
      <c r="B463" s="786"/>
      <c r="C463" s="786"/>
      <c r="D463" s="1859"/>
      <c r="E463" s="1859"/>
      <c r="F463" s="1859"/>
      <c r="G463" s="828"/>
      <c r="I463" s="1736"/>
    </row>
    <row r="464" spans="1:9">
      <c r="D464" s="798"/>
      <c r="E464" s="798"/>
      <c r="F464" s="798"/>
      <c r="G464" s="788"/>
    </row>
    <row r="465" spans="1:7" ht="14.4">
      <c r="A465" s="795"/>
      <c r="B465" s="796" t="s">
        <v>2649</v>
      </c>
      <c r="C465" s="827"/>
      <c r="D465" s="1859" t="s">
        <v>1320</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ht="14.4">
      <c r="B469" s="796" t="s">
        <v>2649</v>
      </c>
      <c r="C469" s="795"/>
      <c r="D469" s="1935" t="s">
        <v>1399</v>
      </c>
      <c r="E469" s="1935"/>
      <c r="F469" s="1935"/>
      <c r="G469" s="788"/>
    </row>
    <row r="470" spans="1:7">
      <c r="D470" s="1935"/>
      <c r="E470" s="1935"/>
      <c r="F470" s="1935"/>
      <c r="G470" s="788"/>
    </row>
    <row r="471" spans="1:7">
      <c r="D471" s="798"/>
      <c r="E471" s="798"/>
      <c r="F471" s="798"/>
      <c r="G471" s="788"/>
    </row>
    <row r="472" spans="1:7" ht="14.4">
      <c r="B472" s="796" t="s">
        <v>2649</v>
      </c>
      <c r="C472" s="795"/>
      <c r="D472" s="1935" t="s">
        <v>1322</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2649</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2649</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2649</v>
      </c>
      <c r="C484" s="788"/>
      <c r="D484" s="1935"/>
      <c r="E484" s="1935"/>
      <c r="F484" s="1935"/>
      <c r="G484" s="788"/>
    </row>
    <row r="485" spans="1:9">
      <c r="A485" s="788"/>
      <c r="C485" s="788"/>
      <c r="D485" s="1935"/>
      <c r="E485" s="1935"/>
      <c r="F485" s="1935"/>
      <c r="G485" s="788"/>
    </row>
    <row r="486" spans="1:9">
      <c r="A486" s="788"/>
      <c r="B486" s="796" t="s">
        <v>2649</v>
      </c>
      <c r="C486" s="788"/>
      <c r="D486" s="1935" t="s">
        <v>1323</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2649</v>
      </c>
      <c r="D492" s="1931" t="s">
        <v>1324</v>
      </c>
      <c r="E492" s="1931"/>
      <c r="F492" s="1931"/>
    </row>
    <row r="493" spans="1:9">
      <c r="A493" s="798"/>
      <c r="B493" s="798"/>
    </row>
    <row r="494" spans="1:9">
      <c r="A494" s="1841" t="s">
        <v>1165</v>
      </c>
      <c r="B494" s="1841"/>
      <c r="C494" s="1841"/>
      <c r="D494" s="1841"/>
      <c r="E494" s="1841"/>
      <c r="F494" s="1841"/>
      <c r="G494" s="1841"/>
      <c r="H494" s="1749"/>
      <c r="I494" s="1750"/>
    </row>
    <row r="495" spans="1:9">
      <c r="A495" s="798"/>
      <c r="B495" s="798"/>
    </row>
    <row r="496" spans="1:9">
      <c r="D496" s="1837" t="s">
        <v>948</v>
      </c>
      <c r="E496" s="1837"/>
      <c r="F496" s="1837"/>
    </row>
    <row r="497" spans="1:9" s="789" customFormat="1" ht="14.4">
      <c r="A497" s="803"/>
      <c r="B497" s="803"/>
      <c r="C497" s="799"/>
      <c r="D497" s="1838" t="s">
        <v>1325</v>
      </c>
      <c r="E497" s="1838"/>
      <c r="F497" s="1838"/>
      <c r="G497" s="800"/>
      <c r="I497" s="1733"/>
    </row>
    <row r="498" spans="1:9" s="789" customFormat="1" ht="14.4">
      <c r="A498" s="803"/>
      <c r="B498" s="803"/>
      <c r="C498" s="799"/>
      <c r="D498" s="785"/>
      <c r="E498" s="670"/>
      <c r="F498" s="670"/>
      <c r="G498" s="800"/>
      <c r="I498" s="1733"/>
    </row>
    <row r="499" spans="1:9" s="789" customFormat="1" ht="14.4">
      <c r="A499" s="795"/>
      <c r="B499" s="796" t="s">
        <v>2649</v>
      </c>
      <c r="C499" s="799"/>
      <c r="D499" s="1839" t="s">
        <v>1326</v>
      </c>
      <c r="E499" s="1839"/>
      <c r="F499" s="1839"/>
      <c r="G499" s="800"/>
      <c r="I499" s="1733" t="s">
        <v>2353</v>
      </c>
    </row>
    <row r="500" spans="1:9" s="789" customFormat="1" ht="14.4">
      <c r="A500" s="795"/>
      <c r="B500" s="795"/>
      <c r="C500" s="799"/>
      <c r="D500" s="1839"/>
      <c r="E500" s="1839"/>
      <c r="F500" s="1839"/>
      <c r="G500" s="800"/>
      <c r="I500" s="1733"/>
    </row>
    <row r="501" spans="1:9" s="789" customFormat="1" ht="14.4">
      <c r="A501" s="795"/>
      <c r="B501" s="795"/>
      <c r="C501" s="799"/>
      <c r="D501" s="783"/>
      <c r="E501" s="670"/>
      <c r="F501" s="670"/>
      <c r="G501" s="800"/>
      <c r="I501" s="1733"/>
    </row>
    <row r="502" spans="1:9" ht="12.75" customHeight="1">
      <c r="B502" s="796" t="s">
        <v>2649</v>
      </c>
      <c r="D502" s="1840" t="s">
        <v>1501</v>
      </c>
      <c r="E502" s="1840"/>
      <c r="F502" s="1840"/>
      <c r="I502" s="1674" t="s">
        <v>2354</v>
      </c>
    </row>
    <row r="503" spans="1:9" ht="14.4">
      <c r="A503" s="795"/>
      <c r="D503" s="1840"/>
      <c r="E503" s="1840"/>
      <c r="F503" s="1840"/>
    </row>
    <row r="504" spans="1:9" ht="14.4">
      <c r="A504" s="795"/>
      <c r="B504" s="795"/>
      <c r="D504" s="1840"/>
      <c r="E504" s="1840"/>
      <c r="F504" s="1840"/>
    </row>
    <row r="505" spans="1:9" ht="14.4">
      <c r="A505" s="795"/>
      <c r="B505" s="795"/>
      <c r="D505" s="1840"/>
      <c r="E505" s="1840"/>
      <c r="F505" s="1840"/>
    </row>
    <row r="506" spans="1:9" ht="14.4">
      <c r="A506" s="795"/>
      <c r="D506" s="891"/>
      <c r="E506" s="891"/>
      <c r="F506" s="891"/>
      <c r="G506" s="788"/>
    </row>
    <row r="507" spans="1:9" ht="14.4">
      <c r="A507" s="795"/>
      <c r="B507" s="796" t="s">
        <v>2649</v>
      </c>
      <c r="D507" s="1861" t="s">
        <v>1329</v>
      </c>
      <c r="E507" s="1861"/>
      <c r="F507" s="1861"/>
      <c r="G507" s="788"/>
      <c r="I507" s="1674" t="s">
        <v>2355</v>
      </c>
    </row>
    <row r="508" spans="1:9" ht="14.4">
      <c r="A508" s="795"/>
      <c r="B508" s="795"/>
      <c r="D508" s="783"/>
      <c r="E508" s="670"/>
      <c r="F508" s="670"/>
      <c r="G508" s="788"/>
    </row>
    <row r="509" spans="1:9" ht="14.4">
      <c r="A509" s="795"/>
      <c r="B509" s="796" t="s">
        <v>2649</v>
      </c>
      <c r="D509" s="1859" t="s">
        <v>1330</v>
      </c>
      <c r="E509" s="1859"/>
      <c r="F509" s="1859"/>
      <c r="G509" s="788"/>
      <c r="I509" s="1674" t="s">
        <v>2355</v>
      </c>
    </row>
    <row r="510" spans="1:9" ht="14.4">
      <c r="A510" s="795"/>
      <c r="D510" s="1859"/>
      <c r="E510" s="1859"/>
      <c r="F510" s="1859"/>
      <c r="G510" s="788"/>
    </row>
    <row r="511" spans="1:9">
      <c r="A511" s="814"/>
      <c r="B511" s="814"/>
      <c r="D511" s="731"/>
      <c r="E511" s="670"/>
      <c r="F511" s="670"/>
      <c r="G511" s="788"/>
    </row>
    <row r="512" spans="1:9">
      <c r="A512" s="814"/>
      <c r="B512" s="796" t="s">
        <v>2649</v>
      </c>
      <c r="D512" s="1861" t="s">
        <v>1331</v>
      </c>
      <c r="E512" s="1861"/>
      <c r="F512" s="1861"/>
      <c r="G512" s="788"/>
      <c r="I512" s="1674" t="s">
        <v>2410</v>
      </c>
    </row>
    <row r="513" spans="1:9" ht="14.4">
      <c r="A513" s="795"/>
      <c r="B513" s="795"/>
      <c r="D513" s="798"/>
    </row>
    <row r="514" spans="1:9">
      <c r="A514" s="1841" t="s">
        <v>1166</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65" customHeight="1">
      <c r="A520" s="793"/>
      <c r="B520" s="796" t="s">
        <v>2650</v>
      </c>
      <c r="C520" s="797"/>
      <c r="D520" s="1833" t="s">
        <v>2187</v>
      </c>
      <c r="E520" s="1833"/>
      <c r="F520" s="1833"/>
      <c r="G520" s="670"/>
      <c r="I520" s="620" t="s">
        <v>2390</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2649</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52" t="s">
        <v>1204</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2" customHeight="1">
      <c r="A529" s="793"/>
      <c r="B529" s="796" t="s">
        <v>2649</v>
      </c>
      <c r="C529" s="797"/>
      <c r="D529" s="1943" t="s">
        <v>1230</v>
      </c>
      <c r="E529" s="1943"/>
      <c r="F529" s="1943"/>
      <c r="G529" s="670"/>
      <c r="I529" s="620" t="s">
        <v>2356</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1167</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1168</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1225</v>
      </c>
      <c r="E539" s="1861"/>
      <c r="F539" s="1861"/>
    </row>
    <row r="540" spans="1:9">
      <c r="C540" s="827"/>
      <c r="D540" s="783"/>
      <c r="E540" s="783"/>
      <c r="F540" s="783"/>
    </row>
    <row r="541" spans="1:9" ht="13.65" customHeight="1">
      <c r="A541" s="795"/>
      <c r="B541" s="796" t="s">
        <v>2650</v>
      </c>
      <c r="C541" s="827"/>
      <c r="D541" s="1861" t="s">
        <v>949</v>
      </c>
      <c r="E541" s="1861"/>
      <c r="F541" s="1861"/>
      <c r="G541" s="788"/>
      <c r="I541" s="1674" t="s">
        <v>2408</v>
      </c>
    </row>
    <row r="542" spans="1:9" ht="13.65" customHeight="1">
      <c r="A542" s="827"/>
      <c r="B542" s="827"/>
      <c r="C542" s="827"/>
      <c r="D542" s="783"/>
      <c r="E542" s="616"/>
      <c r="F542" s="616"/>
      <c r="G542" s="788"/>
    </row>
    <row r="543" spans="1:9" ht="14.4">
      <c r="A543" s="795"/>
      <c r="B543" s="796" t="s">
        <v>2650</v>
      </c>
      <c r="C543" s="827"/>
      <c r="D543" s="1859" t="s">
        <v>1226</v>
      </c>
      <c r="E543" s="1859"/>
      <c r="F543" s="1859"/>
      <c r="G543" s="788"/>
      <c r="I543" s="1674" t="s">
        <v>2408</v>
      </c>
    </row>
    <row r="544" spans="1:9">
      <c r="A544" s="827"/>
      <c r="B544" s="827"/>
      <c r="C544" s="827"/>
      <c r="D544" s="1859"/>
      <c r="E544" s="1859"/>
      <c r="F544" s="1859"/>
      <c r="G544" s="788"/>
    </row>
    <row r="545" spans="1:9">
      <c r="A545" s="827"/>
      <c r="B545" s="827"/>
      <c r="C545" s="827"/>
      <c r="D545" s="798"/>
      <c r="E545" s="798"/>
      <c r="F545" s="798"/>
      <c r="G545" s="788"/>
    </row>
    <row r="546" spans="1:9" ht="14.4">
      <c r="A546" s="795"/>
      <c r="B546" s="796" t="s">
        <v>2650</v>
      </c>
      <c r="C546" s="827"/>
      <c r="D546" s="1859" t="s">
        <v>1227</v>
      </c>
      <c r="E546" s="1859"/>
      <c r="F546" s="1859"/>
      <c r="G546" s="788"/>
      <c r="I546" s="1674" t="s">
        <v>2357</v>
      </c>
    </row>
    <row r="547" spans="1:9">
      <c r="A547" s="827"/>
      <c r="B547" s="827"/>
      <c r="C547" s="827"/>
      <c r="D547" s="1859"/>
      <c r="E547" s="1859"/>
      <c r="F547" s="1859"/>
      <c r="G547" s="788"/>
    </row>
    <row r="548" spans="1:9">
      <c r="A548" s="827"/>
      <c r="B548" s="827"/>
      <c r="C548" s="827"/>
      <c r="D548" s="798"/>
      <c r="E548" s="798"/>
      <c r="F548" s="798"/>
      <c r="G548" s="788"/>
    </row>
    <row r="549" spans="1:9" ht="14.4">
      <c r="A549" s="795"/>
      <c r="B549" s="796" t="s">
        <v>2650</v>
      </c>
      <c r="C549" s="827"/>
      <c r="D549" s="1859" t="s">
        <v>1228</v>
      </c>
      <c r="E549" s="1859"/>
      <c r="F549" s="1859"/>
      <c r="G549" s="788"/>
      <c r="I549" s="1674" t="s">
        <v>2358</v>
      </c>
    </row>
    <row r="550" spans="1:9">
      <c r="A550" s="827"/>
      <c r="B550" s="827"/>
      <c r="C550" s="827"/>
      <c r="D550" s="1859"/>
      <c r="E550" s="1859"/>
      <c r="F550" s="1859"/>
      <c r="G550" s="788"/>
    </row>
    <row r="551" spans="1:9">
      <c r="A551" s="827"/>
      <c r="B551" s="827"/>
      <c r="C551" s="827"/>
      <c r="D551" s="798"/>
      <c r="E551" s="798"/>
      <c r="F551" s="798"/>
      <c r="G551" s="788"/>
    </row>
    <row r="552" spans="1:9" ht="14.4">
      <c r="A552" s="795"/>
      <c r="B552" s="796" t="s">
        <v>2650</v>
      </c>
      <c r="C552" s="827"/>
      <c r="D552" s="1859" t="s">
        <v>1229</v>
      </c>
      <c r="E552" s="1859"/>
      <c r="F552" s="1859"/>
      <c r="G552" s="788"/>
      <c r="I552" s="1674" t="s">
        <v>2409</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ht="14.4">
      <c r="A556" s="795"/>
      <c r="B556" s="796" t="s">
        <v>2649</v>
      </c>
      <c r="C556" s="827"/>
      <c r="D556" s="1943" t="s">
        <v>1347</v>
      </c>
      <c r="E556" s="1943"/>
      <c r="F556" s="1943"/>
      <c r="I556" s="1674" t="s">
        <v>2408</v>
      </c>
    </row>
    <row r="557" spans="1:9">
      <c r="A557" s="827"/>
      <c r="B557" s="827"/>
      <c r="C557" s="827"/>
      <c r="D557" s="1943"/>
      <c r="E557" s="1943"/>
      <c r="F557" s="1943"/>
    </row>
    <row r="558" spans="1:9">
      <c r="A558" s="827"/>
      <c r="B558" s="827"/>
      <c r="C558" s="827"/>
      <c r="D558" s="798"/>
      <c r="E558" s="798"/>
      <c r="F558" s="798"/>
    </row>
    <row r="559" spans="1:9" ht="14.4">
      <c r="A559" s="795"/>
      <c r="B559" s="796" t="s">
        <v>2649</v>
      </c>
      <c r="C559" s="827"/>
      <c r="D559" s="1859" t="s">
        <v>1231</v>
      </c>
      <c r="E559" s="1859"/>
      <c r="F559" s="1859"/>
      <c r="I559" s="1674" t="s">
        <v>2408</v>
      </c>
    </row>
    <row r="560" spans="1:9">
      <c r="A560" s="827"/>
      <c r="B560" s="827"/>
      <c r="C560" s="827"/>
      <c r="D560" s="1859"/>
      <c r="E560" s="1859"/>
      <c r="F560" s="1859"/>
      <c r="G560" s="817"/>
    </row>
    <row r="561" spans="1:16">
      <c r="A561" s="827"/>
      <c r="B561" s="827"/>
      <c r="C561" s="827"/>
      <c r="D561" s="798"/>
      <c r="E561" s="798"/>
      <c r="F561" s="798"/>
      <c r="G561" s="817"/>
    </row>
    <row r="562" spans="1:16" ht="14.4">
      <c r="A562" s="795"/>
      <c r="B562" s="796" t="s">
        <v>2650</v>
      </c>
      <c r="C562" s="827"/>
      <c r="D562" s="1861" t="s">
        <v>1232</v>
      </c>
      <c r="E562" s="1861"/>
      <c r="F562" s="1861"/>
      <c r="G562" s="817"/>
      <c r="I562" s="1674" t="s">
        <v>2411</v>
      </c>
      <c r="P562" s="1672"/>
    </row>
    <row r="563" spans="1:16">
      <c r="A563" s="814"/>
      <c r="B563" s="814"/>
      <c r="C563" s="827"/>
      <c r="D563" s="1861" t="s">
        <v>2496</v>
      </c>
      <c r="E563" s="1861"/>
      <c r="F563" s="1861"/>
      <c r="G563" s="817"/>
    </row>
    <row r="564" spans="1:16">
      <c r="A564" s="814"/>
      <c r="B564" s="814"/>
      <c r="C564" s="827"/>
      <c r="D564" s="788"/>
      <c r="E564" s="1631" t="s">
        <v>2495</v>
      </c>
      <c r="F564" s="1809"/>
      <c r="G564" s="817"/>
    </row>
    <row r="565" spans="1:16" ht="14.4">
      <c r="A565" s="795"/>
      <c r="B565" s="795"/>
      <c r="C565" s="827"/>
      <c r="E565" s="798"/>
      <c r="F565" s="798"/>
      <c r="G565" s="817"/>
    </row>
    <row r="566" spans="1:16" ht="14.4">
      <c r="A566" s="795"/>
      <c r="B566" s="796" t="s">
        <v>2650</v>
      </c>
      <c r="C566" s="827"/>
      <c r="D566" s="1959" t="s">
        <v>1234</v>
      </c>
      <c r="E566" s="1959"/>
      <c r="F566" s="1959"/>
      <c r="G566" s="817"/>
      <c r="I566" s="1674" t="s">
        <v>2359</v>
      </c>
    </row>
    <row r="567" spans="1:16">
      <c r="C567" s="827"/>
      <c r="D567" s="1859" t="s">
        <v>1235</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ht="14.4">
      <c r="A571" s="795"/>
      <c r="B571" s="796" t="s">
        <v>2650</v>
      </c>
      <c r="C571" s="827"/>
      <c r="D571" s="1859" t="s">
        <v>1236</v>
      </c>
      <c r="E571" s="1859"/>
      <c r="F571" s="1859"/>
      <c r="G571" s="817"/>
      <c r="I571" s="1674" t="s">
        <v>2360</v>
      </c>
    </row>
    <row r="572" spans="1:16" ht="14.4">
      <c r="A572" s="795"/>
      <c r="B572" s="795"/>
      <c r="C572" s="827"/>
      <c r="D572" s="1859"/>
      <c r="E572" s="1859"/>
      <c r="F572" s="1859"/>
      <c r="G572" s="817"/>
    </row>
    <row r="573" spans="1:16" ht="14.4">
      <c r="A573" s="795"/>
      <c r="B573" s="795"/>
      <c r="C573" s="827"/>
      <c r="D573" s="1859"/>
      <c r="E573" s="1859"/>
      <c r="F573" s="1859"/>
      <c r="G573" s="817"/>
    </row>
    <row r="574" spans="1:16" ht="14.4">
      <c r="A574" s="795"/>
      <c r="B574" s="795"/>
      <c r="C574" s="827"/>
      <c r="D574" s="1859"/>
      <c r="E574" s="1859"/>
      <c r="F574" s="1859"/>
      <c r="G574" s="817"/>
    </row>
    <row r="575" spans="1:16" ht="14.4">
      <c r="A575" s="795"/>
      <c r="B575" s="795"/>
      <c r="C575" s="827"/>
      <c r="D575" s="798"/>
      <c r="E575" s="798"/>
      <c r="F575" s="798"/>
      <c r="G575" s="817"/>
    </row>
    <row r="576" spans="1:16">
      <c r="A576" s="1841" t="s">
        <v>1169</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1185</v>
      </c>
      <c r="E579" s="1864"/>
      <c r="F579" s="1864"/>
      <c r="G579" s="817"/>
    </row>
    <row r="580" spans="1:9">
      <c r="A580" s="788"/>
      <c r="B580" s="788"/>
      <c r="C580" s="793"/>
      <c r="D580" s="835"/>
      <c r="G580" s="817"/>
      <c r="I580" s="1674" t="s">
        <v>2361</v>
      </c>
    </row>
    <row r="581" spans="1:9">
      <c r="A581" s="793"/>
      <c r="B581" s="796" t="s">
        <v>2650</v>
      </c>
      <c r="D581" s="1864" t="s">
        <v>955</v>
      </c>
      <c r="E581" s="1864"/>
      <c r="F581" s="1864"/>
      <c r="G581" s="817"/>
    </row>
    <row r="582" spans="1:9">
      <c r="A582" s="814"/>
      <c r="B582" s="814"/>
      <c r="D582" s="812"/>
    </row>
    <row r="583" spans="1:9">
      <c r="A583" s="814"/>
      <c r="B583" s="796" t="s">
        <v>2650</v>
      </c>
      <c r="D583" s="1840" t="s">
        <v>1186</v>
      </c>
      <c r="E583" s="1840"/>
      <c r="F583" s="1840"/>
      <c r="I583" s="1674" t="s">
        <v>2363</v>
      </c>
    </row>
    <row r="584" spans="1:9">
      <c r="A584" s="814"/>
      <c r="B584" s="814"/>
      <c r="D584" s="1840"/>
      <c r="E584" s="1840"/>
      <c r="F584" s="1840"/>
      <c r="G584" s="788"/>
      <c r="I584" s="1674" t="s">
        <v>2362</v>
      </c>
    </row>
    <row r="585" spans="1:9">
      <c r="A585" s="814"/>
      <c r="B585" s="814"/>
      <c r="D585" s="1840"/>
      <c r="E585" s="1840"/>
      <c r="F585" s="1840"/>
      <c r="G585" s="788"/>
    </row>
    <row r="586" spans="1:9">
      <c r="A586" s="814"/>
      <c r="B586" s="814"/>
      <c r="D586" s="1840"/>
      <c r="E586" s="1840"/>
      <c r="F586" s="1840"/>
      <c r="G586" s="788"/>
    </row>
    <row r="587" spans="1:9">
      <c r="A587" s="814"/>
      <c r="B587" s="796" t="s">
        <v>2649</v>
      </c>
      <c r="D587" s="1840" t="s">
        <v>1187</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2650</v>
      </c>
      <c r="D592" s="1840" t="s">
        <v>1188</v>
      </c>
      <c r="E592" s="1840"/>
      <c r="F592" s="1840"/>
      <c r="G592" s="788"/>
    </row>
    <row r="593" spans="1:9">
      <c r="A593" s="814"/>
      <c r="B593" s="814"/>
      <c r="D593" s="1840"/>
      <c r="E593" s="1840"/>
      <c r="F593" s="1840"/>
      <c r="G593" s="788"/>
    </row>
    <row r="594" spans="1:9">
      <c r="A594" s="814"/>
      <c r="B594" s="814"/>
      <c r="D594" s="835"/>
      <c r="G594" s="788"/>
    </row>
    <row r="595" spans="1:9">
      <c r="A595" s="814"/>
      <c r="B595" s="796" t="s">
        <v>2649</v>
      </c>
      <c r="D595" s="1864" t="s">
        <v>1189</v>
      </c>
      <c r="E595" s="1864"/>
      <c r="F595" s="1864"/>
      <c r="G595" s="788"/>
      <c r="I595" s="1674" t="s">
        <v>2412</v>
      </c>
    </row>
    <row r="596" spans="1:9">
      <c r="A596" s="814"/>
      <c r="B596" s="814"/>
      <c r="D596" s="1864"/>
      <c r="E596" s="1864"/>
      <c r="F596" s="1864"/>
      <c r="G596" s="788"/>
    </row>
    <row r="597" spans="1:9" ht="14.4">
      <c r="A597" s="795"/>
      <c r="B597" s="795"/>
      <c r="D597" s="835"/>
      <c r="G597" s="788"/>
    </row>
    <row r="598" spans="1:9">
      <c r="A598" s="1841" t="s">
        <v>1170</v>
      </c>
      <c r="B598" s="1841"/>
      <c r="C598" s="1841"/>
      <c r="D598" s="1841"/>
      <c r="E598" s="1841"/>
      <c r="F598" s="1841"/>
      <c r="G598" s="1841"/>
      <c r="H598" s="1749"/>
      <c r="I598" s="1750"/>
    </row>
    <row r="599" spans="1:9"/>
    <row r="600" spans="1:9">
      <c r="D600" s="1858" t="s">
        <v>1270</v>
      </c>
      <c r="E600" s="1858"/>
      <c r="F600" s="1858"/>
    </row>
    <row r="601" spans="1:9">
      <c r="D601" s="1897" t="s">
        <v>1271</v>
      </c>
      <c r="E601" s="1897"/>
      <c r="F601" s="1897"/>
    </row>
    <row r="602" spans="1:9">
      <c r="D602" s="778"/>
      <c r="E602" s="720"/>
      <c r="F602" s="720"/>
    </row>
    <row r="603" spans="1:9" s="789" customFormat="1" ht="14.25" customHeight="1">
      <c r="A603" s="803"/>
      <c r="B603" s="796" t="s">
        <v>2650</v>
      </c>
      <c r="C603" s="799"/>
      <c r="D603" s="1929" t="s">
        <v>2497</v>
      </c>
      <c r="E603" s="1929"/>
      <c r="F603" s="1929"/>
      <c r="G603" s="800"/>
      <c r="I603" s="1733" t="s">
        <v>2391</v>
      </c>
    </row>
    <row r="604" spans="1:9">
      <c r="D604" s="1929"/>
      <c r="E604" s="1929"/>
      <c r="F604" s="1929"/>
    </row>
    <row r="605" spans="1:9">
      <c r="D605" s="1810"/>
      <c r="E605" s="1806" t="s">
        <v>2498</v>
      </c>
      <c r="F605" s="1810"/>
    </row>
    <row r="606" spans="1:9"/>
    <row r="607" spans="1:9">
      <c r="A607" s="1841" t="s">
        <v>1171</v>
      </c>
      <c r="B607" s="1841"/>
      <c r="C607" s="1841"/>
      <c r="D607" s="1841"/>
      <c r="E607" s="1841"/>
      <c r="F607" s="1841"/>
      <c r="G607" s="1841"/>
      <c r="H607" s="1749"/>
      <c r="I607" s="1750"/>
    </row>
    <row r="608" spans="1:9">
      <c r="A608" s="798"/>
      <c r="B608" s="798"/>
      <c r="G608" s="817"/>
    </row>
    <row r="609" spans="1:13">
      <c r="A609" s="836"/>
      <c r="B609" s="836"/>
      <c r="C609" s="791"/>
      <c r="D609" s="1898" t="s">
        <v>1273</v>
      </c>
      <c r="E609" s="1898"/>
      <c r="F609" s="1898"/>
      <c r="G609" s="817"/>
    </row>
    <row r="610" spans="1:13">
      <c r="A610" s="836"/>
      <c r="B610" s="836"/>
      <c r="C610" s="791"/>
      <c r="D610" s="1898"/>
      <c r="E610" s="1898"/>
      <c r="F610" s="1898"/>
      <c r="G610" s="817"/>
    </row>
    <row r="611" spans="1:13">
      <c r="C611" s="793"/>
      <c r="D611" s="1897" t="s">
        <v>1274</v>
      </c>
      <c r="E611" s="1897"/>
      <c r="F611" s="1897"/>
      <c r="G611" s="817"/>
    </row>
    <row r="612" spans="1:13">
      <c r="C612" s="793"/>
      <c r="D612" s="778"/>
      <c r="E612" s="778"/>
      <c r="F612" s="778"/>
      <c r="G612" s="817"/>
    </row>
    <row r="613" spans="1:13" ht="12.75" customHeight="1">
      <c r="A613" s="814"/>
      <c r="B613" s="796" t="s">
        <v>2650</v>
      </c>
      <c r="D613" s="1857" t="s">
        <v>1275</v>
      </c>
      <c r="E613" s="1857"/>
      <c r="F613" s="1857"/>
      <c r="G613" s="817"/>
      <c r="I613" s="1674" t="s">
        <v>2413</v>
      </c>
    </row>
    <row r="614" spans="1:13">
      <c r="D614" s="1857"/>
      <c r="E614" s="1857"/>
      <c r="F614" s="1857"/>
      <c r="G614" s="817"/>
    </row>
    <row r="615" spans="1:13">
      <c r="D615" s="788"/>
      <c r="G615" s="817"/>
    </row>
    <row r="616" spans="1:13">
      <c r="B616" s="796" t="s">
        <v>2650</v>
      </c>
      <c r="D616" s="1857" t="s">
        <v>1276</v>
      </c>
      <c r="E616" s="1857"/>
      <c r="F616" s="1857"/>
      <c r="G616" s="817"/>
      <c r="I616" s="1674" t="s">
        <v>2364</v>
      </c>
    </row>
    <row r="617" spans="1:13">
      <c r="C617" s="837"/>
      <c r="D617" s="1857"/>
      <c r="E617" s="1857"/>
      <c r="F617" s="1857"/>
      <c r="G617" s="817"/>
    </row>
    <row r="618" spans="1:13">
      <c r="C618" s="837"/>
      <c r="G618" s="817"/>
    </row>
    <row r="619" spans="1:13">
      <c r="B619" s="796" t="s">
        <v>2649</v>
      </c>
      <c r="C619" s="837"/>
      <c r="D619" s="1857" t="s">
        <v>1277</v>
      </c>
      <c r="E619" s="1857"/>
      <c r="F619" s="1857"/>
      <c r="G619" s="817"/>
      <c r="I619" s="1674" t="s">
        <v>2414</v>
      </c>
    </row>
    <row r="620" spans="1:13">
      <c r="C620" s="837"/>
      <c r="D620" s="1857"/>
      <c r="E620" s="1857"/>
      <c r="F620" s="1857"/>
      <c r="G620" s="817"/>
      <c r="I620" s="1746" t="s">
        <v>2415</v>
      </c>
    </row>
    <row r="621" spans="1:13">
      <c r="C621" s="837"/>
      <c r="G621" s="817"/>
    </row>
    <row r="622" spans="1:13">
      <c r="A622" s="1841" t="s">
        <v>1172</v>
      </c>
      <c r="B622" s="1841"/>
      <c r="C622" s="1841"/>
      <c r="D622" s="1841"/>
      <c r="E622" s="1841"/>
      <c r="F622" s="1841"/>
      <c r="G622" s="1841"/>
      <c r="H622" s="1749"/>
      <c r="I622" s="1750"/>
    </row>
    <row r="623" spans="1:13">
      <c r="A623" s="838"/>
      <c r="B623" s="838"/>
      <c r="C623" s="838"/>
      <c r="G623" s="817"/>
    </row>
    <row r="624" spans="1:13">
      <c r="C624" s="814"/>
      <c r="D624" s="1858" t="s">
        <v>1278</v>
      </c>
      <c r="E624" s="1858"/>
      <c r="F624" s="1858"/>
      <c r="G624" s="817"/>
      <c r="M624" s="1672"/>
    </row>
    <row r="625" spans="1:13">
      <c r="A625" s="814"/>
      <c r="B625" s="814"/>
      <c r="C625" s="816"/>
      <c r="D625" s="792"/>
      <c r="G625" s="817"/>
      <c r="M625" s="1672"/>
    </row>
    <row r="626" spans="1:13" ht="14.25" customHeight="1">
      <c r="A626" s="795"/>
      <c r="B626" s="796" t="s">
        <v>2650</v>
      </c>
      <c r="C626" s="816"/>
      <c r="D626" s="1930" t="s">
        <v>2499</v>
      </c>
      <c r="E626" s="1930"/>
      <c r="F626" s="1930"/>
      <c r="G626" s="817"/>
      <c r="I626" s="1674" t="s">
        <v>2392</v>
      </c>
      <c r="M626" s="1672"/>
    </row>
    <row r="627" spans="1:13">
      <c r="C627" s="816"/>
      <c r="D627" s="1930"/>
      <c r="E627" s="1930"/>
      <c r="F627" s="1930"/>
      <c r="G627" s="817"/>
      <c r="M627" s="1672"/>
    </row>
    <row r="628" spans="1:13">
      <c r="C628" s="816"/>
      <c r="D628" s="876"/>
      <c r="E628" s="1806" t="s">
        <v>2501</v>
      </c>
      <c r="F628" s="876"/>
      <c r="G628" s="817"/>
      <c r="M628" s="1672"/>
    </row>
    <row r="629" spans="1:13">
      <c r="C629" s="816"/>
      <c r="D629" s="1859" t="s">
        <v>2500</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ht="14.4">
      <c r="A633" s="795"/>
      <c r="B633" s="796" t="s">
        <v>2649</v>
      </c>
      <c r="C633" s="816"/>
      <c r="D633" s="1859" t="s">
        <v>1280</v>
      </c>
      <c r="E633" s="1859"/>
      <c r="F633" s="1859"/>
      <c r="G633" s="817"/>
      <c r="I633" s="1674" t="s">
        <v>2416</v>
      </c>
    </row>
    <row r="634" spans="1:13">
      <c r="A634" s="827"/>
      <c r="B634" s="827"/>
      <c r="C634" s="827"/>
      <c r="D634" s="1859"/>
      <c r="E634" s="1859"/>
      <c r="F634" s="1859"/>
      <c r="G634" s="817"/>
    </row>
    <row r="635" spans="1:13">
      <c r="A635" s="827"/>
      <c r="B635" s="827"/>
      <c r="C635" s="827"/>
      <c r="D635" s="783"/>
      <c r="E635" s="839"/>
      <c r="F635" s="839"/>
      <c r="G635" s="817"/>
    </row>
    <row r="636" spans="1:13" ht="14.4">
      <c r="A636" s="795"/>
      <c r="B636" s="796" t="s">
        <v>2649</v>
      </c>
      <c r="C636" s="827"/>
      <c r="D636" s="1860" t="s">
        <v>1436</v>
      </c>
      <c r="E636" s="1860"/>
      <c r="F636" s="1860"/>
      <c r="G636" s="817"/>
      <c r="I636" s="1674" t="s">
        <v>2365</v>
      </c>
    </row>
    <row r="637" spans="1:13" ht="14.4">
      <c r="A637" s="795"/>
      <c r="B637" s="795"/>
      <c r="C637" s="827"/>
      <c r="D637" s="1860"/>
      <c r="E637" s="1860"/>
      <c r="F637" s="1860"/>
      <c r="G637" s="817"/>
    </row>
    <row r="638" spans="1:13" ht="14.4">
      <c r="A638" s="795"/>
      <c r="B638" s="795"/>
      <c r="C638" s="827"/>
      <c r="D638" s="1860"/>
      <c r="E638" s="1860"/>
      <c r="F638" s="1860"/>
      <c r="G638" s="817"/>
    </row>
    <row r="639" spans="1:13">
      <c r="A639" s="827"/>
      <c r="B639" s="796" t="s">
        <v>316</v>
      </c>
      <c r="C639" s="827"/>
      <c r="D639" s="1861" t="s">
        <v>1282</v>
      </c>
      <c r="E639" s="1861"/>
      <c r="F639" s="1861"/>
      <c r="G639" s="817"/>
      <c r="I639" s="1674" t="s">
        <v>2365</v>
      </c>
    </row>
    <row r="640" spans="1:13">
      <c r="A640" s="827"/>
      <c r="B640" s="827"/>
      <c r="C640" s="827"/>
      <c r="D640" s="725"/>
      <c r="E640" s="725"/>
      <c r="F640" s="725"/>
      <c r="G640" s="817"/>
    </row>
    <row r="641" spans="1:9">
      <c r="A641" s="1841" t="s">
        <v>1173</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1332</v>
      </c>
      <c r="E643" s="1933"/>
      <c r="F643" s="1933"/>
      <c r="G643" s="817"/>
    </row>
    <row r="644" spans="1:9">
      <c r="A644" s="793"/>
      <c r="B644" s="793"/>
      <c r="C644" s="793"/>
      <c r="D644" s="1934" t="s">
        <v>1333</v>
      </c>
      <c r="E644" s="1934"/>
      <c r="F644" s="1934"/>
      <c r="G644" s="817"/>
    </row>
    <row r="645" spans="1:9">
      <c r="A645" s="793"/>
      <c r="B645" s="793"/>
      <c r="C645" s="793"/>
      <c r="D645" s="725"/>
      <c r="E645" s="725"/>
      <c r="F645" s="725"/>
      <c r="G645" s="817"/>
    </row>
    <row r="646" spans="1:9" ht="12.75" customHeight="1">
      <c r="B646" s="796" t="s">
        <v>2649</v>
      </c>
      <c r="C646" s="827"/>
      <c r="D646" s="1941" t="s">
        <v>1515</v>
      </c>
      <c r="E646" s="1941"/>
      <c r="F646" s="1941"/>
      <c r="I646" s="1674" t="s">
        <v>2419</v>
      </c>
    </row>
    <row r="647" spans="1:9">
      <c r="D647" s="1941"/>
      <c r="E647" s="1941"/>
      <c r="F647" s="1941"/>
    </row>
    <row r="648" spans="1:9">
      <c r="D648" s="1941"/>
      <c r="E648" s="1941"/>
      <c r="F648" s="1941"/>
    </row>
    <row r="649" spans="1:9">
      <c r="D649" s="1941"/>
      <c r="E649" s="1941"/>
      <c r="F649" s="1941"/>
    </row>
    <row r="650" spans="1:9" ht="14.4" customHeight="1">
      <c r="A650" s="795"/>
      <c r="B650" s="795"/>
      <c r="C650" s="827"/>
      <c r="D650" s="898"/>
      <c r="E650" s="898"/>
      <c r="F650" s="898"/>
      <c r="G650" s="817"/>
    </row>
    <row r="651" spans="1:9" ht="12.75" customHeight="1">
      <c r="A651" s="793"/>
      <c r="B651" s="796" t="s">
        <v>2649</v>
      </c>
      <c r="C651" s="827"/>
      <c r="D651" s="1941" t="s">
        <v>1518</v>
      </c>
      <c r="E651" s="1941"/>
      <c r="F651" s="1941"/>
      <c r="G651" s="817"/>
      <c r="I651" s="1674" t="s">
        <v>2419</v>
      </c>
    </row>
    <row r="652" spans="1:9" ht="14.4">
      <c r="A652" s="793"/>
      <c r="B652" s="795"/>
      <c r="C652" s="827"/>
      <c r="D652" s="1941"/>
      <c r="E652" s="1941"/>
      <c r="F652" s="1941"/>
      <c r="G652" s="817"/>
    </row>
    <row r="653" spans="1:9" ht="14.4">
      <c r="A653" s="793"/>
      <c r="B653" s="795"/>
      <c r="C653" s="827"/>
      <c r="D653" s="1941"/>
      <c r="E653" s="1941"/>
      <c r="F653" s="1941"/>
      <c r="G653" s="817"/>
    </row>
    <row r="654" spans="1:9" ht="14.4">
      <c r="A654" s="793"/>
      <c r="B654" s="795"/>
      <c r="C654" s="827"/>
      <c r="D654" s="1941"/>
      <c r="E654" s="1941"/>
      <c r="F654" s="1941"/>
      <c r="G654" s="817"/>
    </row>
    <row r="655" spans="1:9" ht="14.4">
      <c r="A655" s="793"/>
      <c r="B655" s="795"/>
      <c r="C655" s="827"/>
      <c r="D655" s="1941"/>
      <c r="E655" s="1941"/>
      <c r="F655" s="1941"/>
      <c r="G655" s="817"/>
    </row>
    <row r="656" spans="1:9" ht="14.25" customHeight="1">
      <c r="A656" s="793"/>
      <c r="B656" s="795"/>
      <c r="C656" s="827"/>
      <c r="F656" s="899"/>
      <c r="G656" s="817"/>
    </row>
    <row r="657" spans="1:11" ht="12.75" customHeight="1">
      <c r="A657" s="793"/>
      <c r="B657" s="796" t="s">
        <v>2649</v>
      </c>
      <c r="C657" s="827"/>
      <c r="D657" s="1941" t="s">
        <v>1516</v>
      </c>
      <c r="E657" s="1941"/>
      <c r="F657" s="1941"/>
      <c r="G657" s="817"/>
      <c r="I657" s="1674" t="s">
        <v>2419</v>
      </c>
    </row>
    <row r="658" spans="1:11" ht="14.4">
      <c r="A658" s="793"/>
      <c r="B658" s="795"/>
      <c r="C658" s="827"/>
      <c r="D658" s="1941"/>
      <c r="E658" s="1941"/>
      <c r="F658" s="1941"/>
      <c r="G658" s="817"/>
    </row>
    <row r="659" spans="1:11" ht="14.4">
      <c r="A659" s="795"/>
      <c r="B659" s="795"/>
      <c r="C659" s="827"/>
      <c r="D659" s="1941"/>
      <c r="E659" s="1941"/>
      <c r="F659" s="1941"/>
      <c r="G659" s="817"/>
    </row>
    <row r="660" spans="1:11" ht="14.4">
      <c r="A660" s="795"/>
      <c r="B660" s="795"/>
      <c r="C660" s="827"/>
      <c r="D660" s="1941"/>
      <c r="E660" s="1941"/>
      <c r="F660" s="1941"/>
      <c r="G660" s="817"/>
    </row>
    <row r="661" spans="1:11" ht="14.4">
      <c r="A661" s="795"/>
      <c r="B661" s="795"/>
      <c r="C661" s="827"/>
      <c r="D661" s="890"/>
      <c r="E661" s="890"/>
      <c r="F661" s="890"/>
      <c r="G661" s="817"/>
    </row>
    <row r="662" spans="1:11" ht="12.75" customHeight="1">
      <c r="A662" s="793"/>
      <c r="B662" s="796" t="s">
        <v>316</v>
      </c>
      <c r="C662" s="827"/>
      <c r="D662" s="1941" t="s">
        <v>1517</v>
      </c>
      <c r="E662" s="1941"/>
      <c r="F662" s="1941"/>
      <c r="G662" s="817"/>
      <c r="I662" s="1674" t="s">
        <v>2419</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1174</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1210</v>
      </c>
      <c r="E676" s="1861"/>
      <c r="F676" s="1861"/>
      <c r="G676" s="817"/>
      <c r="H676" s="840"/>
      <c r="I676" s="1737"/>
      <c r="J676" s="840"/>
      <c r="K676" s="840"/>
    </row>
    <row r="677" spans="1:11">
      <c r="A677" s="793"/>
      <c r="B677" s="793"/>
      <c r="C677" s="793"/>
      <c r="G677" s="817"/>
      <c r="H677" s="840"/>
      <c r="I677" s="1737"/>
      <c r="J677" s="840"/>
      <c r="K677" s="840"/>
    </row>
    <row r="678" spans="1:11" ht="14.4">
      <c r="A678" s="795"/>
      <c r="B678" s="796" t="s">
        <v>2650</v>
      </c>
      <c r="C678" s="793"/>
      <c r="D678" s="1861" t="s">
        <v>951</v>
      </c>
      <c r="E678" s="1861"/>
      <c r="F678" s="1861"/>
      <c r="G678" s="817"/>
      <c r="H678" s="840"/>
      <c r="I678" s="1737" t="s">
        <v>2393</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4">
      <c r="A683" s="795"/>
      <c r="B683" s="796" t="s">
        <v>2649</v>
      </c>
      <c r="C683" s="793"/>
      <c r="D683" s="1859" t="s">
        <v>1403</v>
      </c>
      <c r="E683" s="1859"/>
      <c r="F683" s="1859"/>
      <c r="G683" s="817"/>
      <c r="H683" s="840"/>
      <c r="I683" s="1737" t="s">
        <v>2417</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2394</v>
      </c>
      <c r="J686" s="840"/>
      <c r="K686" s="840"/>
    </row>
    <row r="687" spans="1:11" ht="14.4">
      <c r="A687" s="795"/>
      <c r="B687" s="796" t="s">
        <v>2650</v>
      </c>
      <c r="C687" s="793"/>
      <c r="D687" s="1861" t="s">
        <v>991</v>
      </c>
      <c r="E687" s="1861"/>
      <c r="F687" s="1861"/>
      <c r="G687" s="817"/>
      <c r="H687" s="840"/>
      <c r="I687" s="1737"/>
      <c r="J687" s="840"/>
      <c r="K687" s="840"/>
    </row>
    <row r="688" spans="1:11" ht="14.4">
      <c r="A688" s="795"/>
      <c r="B688" s="795"/>
      <c r="C688" s="793"/>
      <c r="D688" s="1861" t="s">
        <v>962</v>
      </c>
      <c r="E688" s="1861"/>
      <c r="F688" s="186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4">
      <c r="A691" s="795"/>
      <c r="B691" s="796" t="s">
        <v>2650</v>
      </c>
      <c r="C691" s="793"/>
      <c r="D691" s="1943" t="s">
        <v>1223</v>
      </c>
      <c r="E691" s="1943"/>
      <c r="F691" s="1943"/>
      <c r="G691" s="817"/>
      <c r="H691" s="840"/>
      <c r="I691" s="1737" t="s">
        <v>2366</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2649</v>
      </c>
      <c r="C698" s="832"/>
      <c r="D698" s="1943" t="s">
        <v>1405</v>
      </c>
      <c r="E698" s="1943"/>
      <c r="F698" s="1943"/>
      <c r="G698" s="842"/>
      <c r="H698" s="843"/>
      <c r="I698" s="1738" t="s">
        <v>2366</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ht="14.4">
      <c r="A701" s="795"/>
      <c r="B701" s="796" t="s">
        <v>2649</v>
      </c>
      <c r="C701" s="793"/>
      <c r="D701" s="1943" t="s">
        <v>1214</v>
      </c>
      <c r="E701" s="1943"/>
      <c r="F701" s="1943"/>
      <c r="G701" s="817"/>
      <c r="H701" s="840"/>
      <c r="I701" s="1737" t="s">
        <v>2366</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2649</v>
      </c>
      <c r="C714" s="793"/>
      <c r="D714" s="1943" t="s">
        <v>1221</v>
      </c>
      <c r="E714" s="1943"/>
      <c r="F714" s="1943"/>
      <c r="G714" s="817"/>
      <c r="H714" s="840"/>
      <c r="I714" s="1737" t="s">
        <v>2418</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2649</v>
      </c>
      <c r="C717" s="793"/>
      <c r="D717" s="1943" t="s">
        <v>1215</v>
      </c>
      <c r="E717" s="1943"/>
      <c r="F717" s="1943"/>
      <c r="G717" s="817"/>
      <c r="H717" s="840"/>
      <c r="I717" s="1737" t="s">
        <v>2418</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2649</v>
      </c>
      <c r="C721" s="793"/>
      <c r="D721" s="1943" t="s">
        <v>1216</v>
      </c>
      <c r="E721" s="1943"/>
      <c r="F721" s="1943"/>
      <c r="G721" s="817"/>
      <c r="H721" s="840"/>
      <c r="I721" s="1737" t="s">
        <v>2418</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ht="14.4">
      <c r="A725" s="795"/>
      <c r="B725" s="796" t="s">
        <v>2649</v>
      </c>
      <c r="C725" s="793"/>
      <c r="D725" s="1859" t="s">
        <v>1217</v>
      </c>
      <c r="E725" s="1859"/>
      <c r="F725" s="1859"/>
      <c r="G725" s="817"/>
      <c r="H725" s="840"/>
      <c r="I725" s="1737" t="s">
        <v>2367</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ht="14.4">
      <c r="A730" s="795"/>
      <c r="B730" s="796" t="s">
        <v>2649</v>
      </c>
      <c r="C730" s="793"/>
      <c r="D730" s="1943" t="s">
        <v>1350</v>
      </c>
      <c r="E730" s="1943"/>
      <c r="F730" s="1943"/>
      <c r="G730" s="817"/>
      <c r="H730" s="840"/>
      <c r="I730" s="1737" t="s">
        <v>2383</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1218</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1175</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65" customHeight="1">
      <c r="C741" s="793"/>
      <c r="D741" s="1927" t="s">
        <v>1191</v>
      </c>
      <c r="E741" s="1927"/>
      <c r="F741" s="1927"/>
      <c r="G741" s="845"/>
      <c r="H741" s="840"/>
      <c r="I741" s="1737"/>
      <c r="J741" s="840"/>
      <c r="K741" s="840"/>
    </row>
    <row r="742" spans="1:11">
      <c r="A742" s="793"/>
      <c r="B742" s="793"/>
      <c r="C742" s="793"/>
      <c r="D742" s="1885" t="s">
        <v>1192</v>
      </c>
      <c r="E742" s="1885"/>
      <c r="F742" s="1885"/>
      <c r="G742" s="845"/>
      <c r="H742" s="840"/>
      <c r="I742" s="1737"/>
      <c r="J742" s="840"/>
      <c r="K742" s="840"/>
    </row>
    <row r="743" spans="1:11">
      <c r="A743" s="793"/>
      <c r="B743" s="793"/>
      <c r="C743" s="793"/>
      <c r="G743" s="845"/>
      <c r="H743" s="840"/>
      <c r="I743" s="1737"/>
      <c r="J743" s="840"/>
      <c r="K743" s="840"/>
    </row>
    <row r="744" spans="1:11" s="789" customFormat="1" ht="14.4">
      <c r="A744" s="795"/>
      <c r="B744" s="796" t="s">
        <v>2650</v>
      </c>
      <c r="C744" s="786"/>
      <c r="D744" s="1859" t="s">
        <v>1193</v>
      </c>
      <c r="E744" s="1859"/>
      <c r="F744" s="1859"/>
      <c r="G744" s="845"/>
      <c r="H744" s="843"/>
      <c r="I744" s="1738" t="s">
        <v>2368</v>
      </c>
      <c r="J744" s="843"/>
      <c r="K744" s="843"/>
    </row>
    <row r="745" spans="1:11" s="789" customFormat="1" ht="10.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ht="14.4">
      <c r="A751" s="848"/>
      <c r="B751" s="796" t="s">
        <v>2649</v>
      </c>
      <c r="C751" s="849"/>
      <c r="D751" s="1860" t="s">
        <v>1454</v>
      </c>
      <c r="E751" s="1860"/>
      <c r="F751" s="1860"/>
      <c r="G751" s="850"/>
      <c r="I751" s="1739" t="s">
        <v>2368</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ht="14.4">
      <c r="A756" s="795"/>
      <c r="B756" s="796" t="s">
        <v>2649</v>
      </c>
      <c r="C756" s="849"/>
      <c r="D756" s="1951" t="s">
        <v>1455</v>
      </c>
      <c r="E756" s="1951"/>
      <c r="F756" s="1951"/>
      <c r="G756" s="850"/>
      <c r="I756" s="1739" t="s">
        <v>2369</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ht="14.4">
      <c r="A760" s="795"/>
      <c r="B760" s="796" t="s">
        <v>2649</v>
      </c>
      <c r="C760" s="799"/>
      <c r="D760" s="1860" t="s">
        <v>1400</v>
      </c>
      <c r="E760" s="1860"/>
      <c r="F760" s="1860"/>
      <c r="G760" s="846"/>
      <c r="H760" s="840"/>
      <c r="I760" s="1737" t="s">
        <v>2368</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2649</v>
      </c>
      <c r="C763" s="799"/>
      <c r="D763" s="1860" t="s">
        <v>1421</v>
      </c>
      <c r="E763" s="1860"/>
      <c r="F763" s="1860"/>
      <c r="G763" s="846"/>
      <c r="H763" s="840"/>
      <c r="I763" s="1737" t="s">
        <v>2368</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2240</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2297</v>
      </c>
      <c r="E769" s="1955"/>
      <c r="F769" s="1955"/>
      <c r="G769" s="684"/>
    </row>
    <row r="770" spans="1:9">
      <c r="A770" s="93"/>
      <c r="B770" s="93"/>
      <c r="C770" s="1632"/>
      <c r="D770" s="1932" t="s">
        <v>2188</v>
      </c>
      <c r="E770" s="1932"/>
      <c r="F770" s="1932"/>
      <c r="G770" s="684"/>
    </row>
    <row r="771" spans="1:9">
      <c r="A771" s="93"/>
      <c r="B771" s="93"/>
      <c r="C771" s="1632"/>
      <c r="D771" s="731"/>
      <c r="E771" s="731"/>
      <c r="F771" s="731"/>
      <c r="G771" s="684"/>
    </row>
    <row r="772" spans="1:9">
      <c r="A772" s="93"/>
      <c r="B772" s="796" t="s">
        <v>2650</v>
      </c>
      <c r="C772" s="1632"/>
      <c r="D772" s="1881" t="s">
        <v>2189</v>
      </c>
      <c r="E772" s="1881"/>
      <c r="F772" s="1881"/>
      <c r="G772" s="684"/>
      <c r="I772" s="1737" t="s">
        <v>2420</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2649</v>
      </c>
      <c r="C776" s="1635"/>
      <c r="D776" s="1881" t="s">
        <v>2190</v>
      </c>
      <c r="E776" s="1881"/>
      <c r="F776" s="1881"/>
      <c r="G776" s="684"/>
      <c r="I776" s="1737" t="s">
        <v>2420</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ht="14.4">
      <c r="A780" s="712"/>
      <c r="B780" s="796" t="s">
        <v>2649</v>
      </c>
      <c r="C780" s="1640"/>
      <c r="D780" s="1881" t="s">
        <v>2191</v>
      </c>
      <c r="E780" s="1881"/>
      <c r="F780" s="1881"/>
      <c r="G780" s="1639"/>
      <c r="I780" s="1737" t="s">
        <v>2420</v>
      </c>
    </row>
    <row r="781" spans="1:9" ht="14.4">
      <c r="A781" s="712"/>
      <c r="B781" s="712"/>
      <c r="C781" s="1640"/>
      <c r="D781" s="1881"/>
      <c r="E781" s="1881"/>
      <c r="F781" s="1881"/>
      <c r="G781" s="1639"/>
    </row>
    <row r="782" spans="1:9" ht="14.4">
      <c r="A782" s="712"/>
      <c r="B782" s="712"/>
      <c r="C782" s="1640"/>
      <c r="D782" s="1881"/>
      <c r="E782" s="1881"/>
      <c r="F782" s="1881"/>
      <c r="G782" s="1639"/>
    </row>
    <row r="783" spans="1:9" ht="14.4">
      <c r="A783" s="712"/>
      <c r="B783" s="712"/>
      <c r="C783" s="1640"/>
      <c r="D783" s="1610"/>
      <c r="E783" s="6"/>
      <c r="F783" s="6"/>
      <c r="G783" s="1639"/>
    </row>
    <row r="784" spans="1:9" ht="14.4">
      <c r="A784" s="712"/>
      <c r="B784" s="796" t="s">
        <v>2649</v>
      </c>
      <c r="C784" s="1640"/>
      <c r="D784" s="1881" t="s">
        <v>2192</v>
      </c>
      <c r="E784" s="1881"/>
      <c r="F784" s="1881"/>
      <c r="G784" s="1639"/>
      <c r="I784" s="1737" t="s">
        <v>2420</v>
      </c>
    </row>
    <row r="785" spans="1:9" ht="14.4">
      <c r="A785" s="712"/>
      <c r="B785" s="712"/>
      <c r="C785" s="1640"/>
      <c r="D785" s="1881"/>
      <c r="E785" s="1881"/>
      <c r="F785" s="1881"/>
      <c r="G785" s="1639"/>
    </row>
    <row r="786" spans="1:9" ht="14.4">
      <c r="A786" s="712"/>
      <c r="B786" s="712"/>
      <c r="C786" s="1640"/>
      <c r="D786" s="1881"/>
      <c r="E786" s="1881"/>
      <c r="F786" s="1881"/>
      <c r="G786" s="1639"/>
    </row>
    <row r="787" spans="1:9" ht="14.4">
      <c r="A787" s="712"/>
      <c r="B787" s="712"/>
      <c r="C787" s="1640"/>
      <c r="D787" s="1881"/>
      <c r="E787" s="1881"/>
      <c r="F787" s="1881"/>
      <c r="G787" s="1639"/>
    </row>
    <row r="788" spans="1:9" ht="14.4">
      <c r="A788" s="712"/>
      <c r="B788" s="712"/>
      <c r="C788" s="1640"/>
      <c r="D788" s="1881"/>
      <c r="E788" s="1881"/>
      <c r="F788" s="1881"/>
      <c r="G788" s="1639"/>
    </row>
    <row r="789" spans="1:9" ht="14.4">
      <c r="A789" s="712"/>
      <c r="B789" s="712"/>
      <c r="C789" s="1640"/>
      <c r="D789" s="1881"/>
      <c r="E789" s="1881"/>
      <c r="F789" s="1881"/>
      <c r="G789" s="1639"/>
    </row>
    <row r="790" spans="1:9" ht="14.4">
      <c r="A790" s="712"/>
      <c r="B790" s="712"/>
      <c r="C790" s="1640"/>
      <c r="D790" s="1881" t="s">
        <v>2241</v>
      </c>
      <c r="E790" s="1881"/>
      <c r="F790" s="1881"/>
      <c r="G790" s="1639"/>
    </row>
    <row r="791" spans="1:9" ht="14.4">
      <c r="A791" s="712"/>
      <c r="B791" s="712"/>
      <c r="C791" s="1640"/>
      <c r="D791" s="1881"/>
      <c r="E791" s="1881"/>
      <c r="F791" s="1881"/>
      <c r="G791" s="1639"/>
    </row>
    <row r="792" spans="1:9" ht="14.4">
      <c r="A792" s="712"/>
      <c r="B792" s="712"/>
      <c r="C792" s="1640"/>
      <c r="D792" s="1881"/>
      <c r="E792" s="1881"/>
      <c r="F792" s="1881"/>
      <c r="G792" s="1639"/>
    </row>
    <row r="793" spans="1:9" ht="14.4">
      <c r="A793" s="712"/>
      <c r="B793" s="554"/>
      <c r="C793" s="1640"/>
      <c r="D793" s="1641"/>
      <c r="E793" s="1641"/>
      <c r="F793" s="1641"/>
      <c r="G793" s="1639"/>
    </row>
    <row r="794" spans="1:9" ht="14.4">
      <c r="A794" s="712"/>
      <c r="B794" s="796" t="s">
        <v>2649</v>
      </c>
      <c r="C794" s="1640"/>
      <c r="D794" s="1881" t="s">
        <v>2193</v>
      </c>
      <c r="E794" s="1881"/>
      <c r="F794" s="1881"/>
      <c r="G794" s="1639"/>
      <c r="I794" s="1737" t="s">
        <v>2420</v>
      </c>
    </row>
    <row r="795" spans="1:9" ht="14.4">
      <c r="A795" s="712"/>
      <c r="B795" s="712"/>
      <c r="C795" s="1640"/>
      <c r="D795" s="1881"/>
      <c r="E795" s="1881"/>
      <c r="F795" s="1881"/>
      <c r="G795" s="1639"/>
    </row>
    <row r="796" spans="1:9" ht="14.4">
      <c r="A796" s="712"/>
      <c r="B796" s="712"/>
      <c r="C796" s="1640"/>
      <c r="D796" s="1881"/>
      <c r="E796" s="1881"/>
      <c r="F796" s="1881"/>
      <c r="G796" s="1639"/>
    </row>
    <row r="797" spans="1:9" ht="14.4">
      <c r="A797" s="712"/>
      <c r="B797" s="712"/>
      <c r="C797" s="1640"/>
      <c r="D797" s="1881"/>
      <c r="E797" s="1881"/>
      <c r="F797" s="1881"/>
      <c r="G797" s="1639"/>
    </row>
    <row r="798" spans="1:9" ht="14.4">
      <c r="A798" s="712"/>
      <c r="B798" s="712"/>
      <c r="C798" s="1640"/>
      <c r="D798" s="1881"/>
      <c r="E798" s="1881"/>
      <c r="F798" s="1881"/>
      <c r="G798" s="1639"/>
    </row>
    <row r="799" spans="1:9" ht="14.4">
      <c r="A799" s="712"/>
      <c r="B799" s="712"/>
      <c r="C799" s="1640"/>
      <c r="D799" s="1881"/>
      <c r="E799" s="1881"/>
      <c r="F799" s="1881"/>
      <c r="G799" s="1639"/>
    </row>
    <row r="800" spans="1:9" ht="14.4">
      <c r="A800" s="712"/>
      <c r="B800" s="712"/>
      <c r="C800" s="1640"/>
      <c r="D800" s="1619"/>
      <c r="E800" s="1619"/>
      <c r="F800" s="1619"/>
      <c r="G800" s="1639"/>
    </row>
    <row r="801" spans="1:9" ht="14.4">
      <c r="A801" s="712"/>
      <c r="B801" s="796" t="s">
        <v>2649</v>
      </c>
      <c r="C801" s="1640"/>
      <c r="D801" s="1881" t="s">
        <v>2194</v>
      </c>
      <c r="E801" s="1881"/>
      <c r="F801" s="1881"/>
      <c r="G801" s="1639"/>
      <c r="I801" s="1737" t="s">
        <v>2420</v>
      </c>
    </row>
    <row r="802" spans="1:9" ht="14.4">
      <c r="A802" s="712"/>
      <c r="B802" s="712"/>
      <c r="C802" s="1640"/>
      <c r="D802" s="1881"/>
      <c r="E802" s="1881"/>
      <c r="F802" s="1881"/>
      <c r="G802" s="1639"/>
    </row>
    <row r="803" spans="1:9" ht="14.4">
      <c r="A803" s="712"/>
      <c r="B803" s="712"/>
      <c r="C803" s="1640"/>
      <c r="D803" s="1881"/>
      <c r="E803" s="1881"/>
      <c r="F803" s="1881"/>
      <c r="G803" s="1639"/>
    </row>
    <row r="804" spans="1:9" ht="14.4">
      <c r="A804" s="712"/>
      <c r="B804" s="712"/>
      <c r="C804" s="1640"/>
      <c r="D804" s="1881"/>
      <c r="E804" s="1881"/>
      <c r="F804" s="1881"/>
      <c r="G804" s="1639"/>
    </row>
    <row r="805" spans="1:9" ht="14.4">
      <c r="A805" s="712"/>
      <c r="B805" s="712"/>
      <c r="C805" s="1640"/>
      <c r="D805" s="1881"/>
      <c r="E805" s="1881"/>
      <c r="F805" s="1881"/>
      <c r="G805" s="1639"/>
    </row>
    <row r="806" spans="1:9" ht="14.4">
      <c r="A806" s="712"/>
      <c r="B806" s="712"/>
      <c r="C806" s="1640"/>
      <c r="D806" s="1881"/>
      <c r="E806" s="1881"/>
      <c r="F806" s="1881"/>
      <c r="G806" s="1639"/>
    </row>
    <row r="807" spans="1:9" ht="14.4">
      <c r="A807" s="712"/>
      <c r="B807" s="712"/>
      <c r="C807" s="1640"/>
      <c r="D807" s="1619"/>
      <c r="E807" s="1619"/>
      <c r="F807" s="1619"/>
      <c r="G807" s="1639"/>
    </row>
    <row r="808" spans="1:9" ht="14.4">
      <c r="A808" s="712"/>
      <c r="B808" s="796" t="s">
        <v>2649</v>
      </c>
      <c r="C808" s="1640"/>
      <c r="D808" s="1878" t="s">
        <v>2195</v>
      </c>
      <c r="E808" s="1878"/>
      <c r="F808" s="1878"/>
      <c r="G808" s="1639"/>
      <c r="I808" s="1737" t="s">
        <v>2420</v>
      </c>
    </row>
    <row r="809" spans="1:9" ht="14.4">
      <c r="A809" s="712"/>
      <c r="B809" s="712"/>
      <c r="C809" s="1640"/>
      <c r="D809" s="1878"/>
      <c r="E809" s="1878"/>
      <c r="F809" s="1878"/>
      <c r="G809" s="1639"/>
    </row>
    <row r="810" spans="1:9">
      <c r="A810" s="1626"/>
      <c r="B810" s="1626"/>
      <c r="C810" s="1640"/>
      <c r="D810" s="1878"/>
      <c r="E810" s="1878"/>
      <c r="F810" s="1878"/>
      <c r="G810" s="1639"/>
    </row>
    <row r="811" spans="1:9" ht="14.4">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2196</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2242</v>
      </c>
      <c r="E817" s="1870"/>
      <c r="F817" s="1870"/>
      <c r="G817" s="676"/>
    </row>
    <row r="818" spans="1:9" ht="14.25" customHeight="1">
      <c r="A818" s="712"/>
      <c r="B818" s="712"/>
      <c r="C818" s="554"/>
      <c r="D818" s="1821" t="s">
        <v>2197</v>
      </c>
      <c r="E818" s="1821"/>
      <c r="F818" s="1821"/>
      <c r="G818" s="676"/>
    </row>
    <row r="819" spans="1:9" ht="12.75" customHeight="1">
      <c r="A819" s="712"/>
      <c r="B819" s="712"/>
      <c r="C819" s="554"/>
      <c r="D819" s="1605"/>
      <c r="E819" s="1605"/>
      <c r="F819" s="1605"/>
      <c r="G819" s="676"/>
    </row>
    <row r="820" spans="1:9" ht="12.75" customHeight="1">
      <c r="A820" s="1642"/>
      <c r="B820" s="796" t="s">
        <v>2650</v>
      </c>
      <c r="C820" s="1640"/>
      <c r="D820" s="1821" t="s">
        <v>2198</v>
      </c>
      <c r="E820" s="1821"/>
      <c r="F820" s="182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2199</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2650</v>
      </c>
      <c r="C834" s="1640"/>
      <c r="D834" s="1821" t="s">
        <v>2200</v>
      </c>
      <c r="E834" s="1821"/>
      <c r="F834" s="1821"/>
      <c r="G834" s="676"/>
      <c r="I834" s="1674" t="s">
        <v>2406</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2649</v>
      </c>
      <c r="C838" s="1644"/>
      <c r="D838" s="1924" t="s">
        <v>2201</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2202</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2649</v>
      </c>
      <c r="C847" s="1644"/>
      <c r="D847" s="1822" t="s">
        <v>2203</v>
      </c>
      <c r="E847" s="1822"/>
      <c r="F847" s="1822"/>
      <c r="G847" s="676"/>
      <c r="I847" s="1674" t="s">
        <v>2387</v>
      </c>
    </row>
    <row r="848" spans="1:9" ht="12.75" customHeight="1">
      <c r="A848" s="403"/>
      <c r="B848" s="403"/>
      <c r="C848" s="1644"/>
      <c r="D848" s="1822" t="s">
        <v>2204</v>
      </c>
      <c r="E848" s="1822"/>
      <c r="F848" s="182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2649</v>
      </c>
      <c r="C851" s="1644"/>
      <c r="D851" s="1822" t="s">
        <v>2205</v>
      </c>
      <c r="E851" s="1822"/>
      <c r="F851" s="1822"/>
      <c r="G851" s="676"/>
      <c r="I851" s="1674" t="s">
        <v>2407</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2243</v>
      </c>
      <c r="E858" s="1844"/>
      <c r="F858" s="1844"/>
      <c r="G858" s="1639"/>
    </row>
    <row r="859" spans="1:9" ht="12.75" customHeight="1">
      <c r="A859" s="1642"/>
      <c r="B859" s="1642"/>
      <c r="C859" s="313"/>
      <c r="D859" s="1925" t="s">
        <v>2207</v>
      </c>
      <c r="E859" s="1925"/>
      <c r="F859" s="1925"/>
      <c r="G859" s="1639"/>
    </row>
    <row r="860" spans="1:9" ht="12.75" customHeight="1">
      <c r="A860" s="1642"/>
      <c r="B860" s="1642"/>
      <c r="C860" s="313"/>
      <c r="D860" s="1650"/>
      <c r="E860" s="1650"/>
      <c r="F860" s="1650"/>
      <c r="G860" s="1639"/>
    </row>
    <row r="861" spans="1:9" ht="12.75" customHeight="1">
      <c r="A861" s="712"/>
      <c r="B861" s="796" t="s">
        <v>2650</v>
      </c>
      <c r="C861" s="554"/>
      <c r="D861" s="1834" t="s">
        <v>2208</v>
      </c>
      <c r="E861" s="1834"/>
      <c r="F861" s="183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2650</v>
      </c>
      <c r="C864" s="554"/>
      <c r="D864" s="1821" t="s">
        <v>2209</v>
      </c>
      <c r="E864" s="1845"/>
      <c r="F864" s="1845"/>
      <c r="G864" s="676"/>
      <c r="I864" s="1674" t="s">
        <v>2407</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2649</v>
      </c>
      <c r="C867" s="555"/>
      <c r="D867" s="1922" t="s">
        <v>2210</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2202</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2649</v>
      </c>
      <c r="C876" s="554"/>
      <c r="D876" s="1887" t="s">
        <v>2203</v>
      </c>
      <c r="E876" s="1887"/>
      <c r="F876" s="1887"/>
      <c r="G876" s="1639"/>
      <c r="I876" s="1674" t="s">
        <v>2387</v>
      </c>
    </row>
    <row r="877" spans="1:9" ht="12.75" customHeight="1">
      <c r="A877" s="712"/>
      <c r="B877" s="712"/>
      <c r="C877" s="554"/>
      <c r="D877" s="1887" t="s">
        <v>2204</v>
      </c>
      <c r="E877" s="1887"/>
      <c r="F877" s="188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2649</v>
      </c>
      <c r="C880" s="554"/>
      <c r="D880" s="1821" t="s">
        <v>2205</v>
      </c>
      <c r="E880" s="1821"/>
      <c r="F880" s="1821"/>
      <c r="G880" s="1639"/>
      <c r="I880" s="1674" t="s">
        <v>2407</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2244</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2250</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2650</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0" t="s">
        <v>2245</v>
      </c>
      <c r="E891" s="1880"/>
      <c r="F891" s="1880"/>
      <c r="G891" s="1639"/>
    </row>
    <row r="892" spans="1:9" ht="12.75" customHeight="1">
      <c r="A892" s="1616"/>
      <c r="B892" s="1616"/>
      <c r="C892" s="1646"/>
      <c r="D892" s="1834" t="s">
        <v>2211</v>
      </c>
      <c r="E892" s="1834"/>
      <c r="F892" s="1834"/>
      <c r="G892" s="1639"/>
    </row>
    <row r="893" spans="1:9" ht="12.75" customHeight="1">
      <c r="A893" s="1656"/>
      <c r="B893" s="1656"/>
      <c r="C893" s="1640"/>
      <c r="D893" s="5"/>
      <c r="E893" s="1638"/>
      <c r="F893" s="1638"/>
      <c r="G893" s="1639"/>
    </row>
    <row r="894" spans="1:9" ht="12.75" customHeight="1">
      <c r="A894" s="712"/>
      <c r="B894" s="796" t="s">
        <v>2650</v>
      </c>
      <c r="C894" s="554"/>
      <c r="D894" s="1821" t="s">
        <v>2215</v>
      </c>
      <c r="E894" s="1821"/>
      <c r="F894" s="1821"/>
      <c r="G894" s="676"/>
      <c r="I894" s="1674" t="s">
        <v>2371</v>
      </c>
    </row>
    <row r="895" spans="1:9" ht="12.75" customHeight="1">
      <c r="A895" s="1642"/>
      <c r="B895" s="1642"/>
      <c r="C895" s="554"/>
      <c r="D895" s="1821"/>
      <c r="E895" s="1821"/>
      <c r="F895" s="1821"/>
      <c r="G895" s="676"/>
    </row>
    <row r="896" spans="1:9" s="1672" customFormat="1" ht="12.75" customHeight="1">
      <c r="A896" s="1742"/>
      <c r="B896" s="1742"/>
      <c r="C896" s="1646"/>
      <c r="D896" s="1821" t="s">
        <v>2214</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2650</v>
      </c>
      <c r="C899" s="486"/>
      <c r="D899" s="1914" t="s">
        <v>2212</v>
      </c>
      <c r="E899" s="1914"/>
      <c r="F899" s="1914"/>
      <c r="G899" s="1639"/>
      <c r="I899" s="1674" t="s">
        <v>2370</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2649</v>
      </c>
      <c r="C908" s="1640"/>
      <c r="D908" s="1821" t="s">
        <v>2216</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2649</v>
      </c>
      <c r="C911" s="1640"/>
      <c r="D911" s="1878" t="s">
        <v>2217</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2649</v>
      </c>
      <c r="C916" s="1640"/>
      <c r="D916" s="1834" t="s">
        <v>2218</v>
      </c>
      <c r="E916" s="1834"/>
      <c r="F916" s="1834"/>
      <c r="G916" s="1639"/>
    </row>
    <row r="917" spans="1:9" ht="12.75" customHeight="1">
      <c r="A917" s="1656"/>
      <c r="B917" s="1656"/>
      <c r="C917" s="1640"/>
      <c r="D917" s="1610"/>
      <c r="E917" s="1638"/>
      <c r="F917" s="1638"/>
      <c r="G917" s="1639"/>
    </row>
    <row r="918" spans="1:9" ht="12.75" customHeight="1">
      <c r="A918" s="1656"/>
      <c r="B918" s="796" t="s">
        <v>2649</v>
      </c>
      <c r="C918" s="1640"/>
      <c r="D918" s="1834" t="s">
        <v>2219</v>
      </c>
      <c r="E918" s="1834"/>
      <c r="F918" s="1834"/>
      <c r="G918" s="1639"/>
    </row>
    <row r="919" spans="1:9" ht="12.75" customHeight="1">
      <c r="A919" s="487"/>
      <c r="B919" s="487"/>
      <c r="C919" s="486"/>
      <c r="D919" s="183"/>
      <c r="E919" s="676"/>
      <c r="F919" s="1639"/>
      <c r="G919" s="1639"/>
    </row>
    <row r="920" spans="1:9" ht="12.75" customHeight="1">
      <c r="A920" s="1652"/>
      <c r="B920" s="796" t="s">
        <v>2650</v>
      </c>
      <c r="C920" s="1653"/>
      <c r="D920" s="1914" t="s">
        <v>2213</v>
      </c>
      <c r="E920" s="1914"/>
      <c r="F920" s="1914"/>
      <c r="G920" s="1654"/>
      <c r="I920" s="1674" t="s">
        <v>2422</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2650</v>
      </c>
      <c r="C930" s="486"/>
      <c r="D930" s="1923" t="s">
        <v>2425</v>
      </c>
      <c r="E930" s="1923"/>
      <c r="F930" s="1923"/>
      <c r="G930" s="1639"/>
      <c r="I930" s="1674" t="s">
        <v>2422</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2650</v>
      </c>
      <c r="C938" s="486"/>
      <c r="D938" s="1833" t="s">
        <v>2423</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2649</v>
      </c>
      <c r="C945" s="1640"/>
      <c r="D945" s="1915" t="s">
        <v>2220</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2649</v>
      </c>
      <c r="C950" s="486"/>
      <c r="D950" s="1914" t="s">
        <v>2424</v>
      </c>
      <c r="E950" s="1914"/>
      <c r="F950" s="1914"/>
      <c r="G950" s="1639"/>
      <c r="I950" s="1674" t="s">
        <v>2422</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2221</v>
      </c>
      <c r="E955" s="1844"/>
      <c r="F955" s="1844"/>
      <c r="G955" s="676"/>
    </row>
    <row r="956" spans="1:9" ht="12.75" customHeight="1">
      <c r="A956" s="712"/>
      <c r="B956" s="796" t="s">
        <v>2649</v>
      </c>
      <c r="C956" s="554"/>
      <c r="D956" s="1834" t="s">
        <v>2246</v>
      </c>
      <c r="E956" s="1834"/>
      <c r="F956" s="1834"/>
      <c r="G956" s="676"/>
      <c r="I956" s="1674" t="s">
        <v>2422</v>
      </c>
    </row>
    <row r="957" spans="1:9" ht="12.75" customHeight="1">
      <c r="A957" s="1642"/>
      <c r="B957" s="1642"/>
      <c r="C957" s="554"/>
      <c r="D957" s="6"/>
      <c r="E957" s="6"/>
      <c r="F957" s="6"/>
      <c r="G957" s="676"/>
    </row>
    <row r="958" spans="1:9" ht="12.75" customHeight="1">
      <c r="A958" s="1642"/>
      <c r="B958" s="1642"/>
      <c r="C958" s="554"/>
      <c r="D958" s="1844" t="s">
        <v>2222</v>
      </c>
      <c r="E958" s="1844"/>
      <c r="F958" s="1844"/>
      <c r="G958" s="675"/>
    </row>
    <row r="959" spans="1:9" ht="12.75" customHeight="1">
      <c r="A959" s="712"/>
      <c r="B959" s="796" t="s">
        <v>2649</v>
      </c>
      <c r="C959" s="554"/>
      <c r="D959" s="1821" t="s">
        <v>2223</v>
      </c>
      <c r="E959" s="1821"/>
      <c r="F959" s="1821"/>
      <c r="G959" s="675"/>
      <c r="I959" s="1674" t="s">
        <v>2422</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2224</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2247</v>
      </c>
      <c r="E977" s="1844"/>
      <c r="F977" s="1844"/>
      <c r="G977" s="676"/>
    </row>
    <row r="978" spans="1:9" ht="12.75" customHeight="1">
      <c r="A978" s="1616"/>
      <c r="B978" s="1616"/>
      <c r="C978" s="1646"/>
      <c r="D978" s="1834" t="s">
        <v>2225</v>
      </c>
      <c r="E978" s="1834"/>
      <c r="F978" s="1834"/>
      <c r="G978" s="676"/>
    </row>
    <row r="979" spans="1:9" ht="12.75" customHeight="1">
      <c r="A979" s="1616"/>
      <c r="B979" s="1616"/>
      <c r="C979" s="1646"/>
      <c r="D979" s="6"/>
      <c r="E979" s="6"/>
      <c r="F979" s="1638"/>
      <c r="G979" s="675"/>
    </row>
    <row r="980" spans="1:9" ht="12.75" customHeight="1">
      <c r="A980" s="1642"/>
      <c r="B980" s="796" t="s">
        <v>2650</v>
      </c>
      <c r="C980" s="554"/>
      <c r="D980" s="1921" t="s">
        <v>2506</v>
      </c>
      <c r="E980" s="1921"/>
      <c r="F980" s="1921"/>
      <c r="G980" s="675"/>
      <c r="I980" s="1674" t="s">
        <v>2400</v>
      </c>
    </row>
    <row r="981" spans="1:9" ht="12.75" customHeight="1">
      <c r="A981" s="1642"/>
      <c r="B981" s="1642"/>
      <c r="C981" s="554"/>
      <c r="D981" s="1921"/>
      <c r="E981" s="1921"/>
      <c r="F981" s="1921"/>
      <c r="G981" s="675"/>
    </row>
    <row r="982" spans="1:9" ht="12.75" customHeight="1">
      <c r="A982" s="1642"/>
      <c r="B982" s="1642"/>
      <c r="C982" s="554"/>
      <c r="D982" s="1811"/>
      <c r="E982" s="1806" t="s">
        <v>2507</v>
      </c>
      <c r="F982" s="1811"/>
      <c r="G982" s="675"/>
    </row>
    <row r="983" spans="1:9" ht="12.75" customHeight="1">
      <c r="A983" s="1627"/>
      <c r="B983" s="1627"/>
      <c r="C983" s="555"/>
      <c r="D983" s="1832" t="s">
        <v>2505</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2649</v>
      </c>
      <c r="C988" s="313"/>
      <c r="D988" s="1822" t="s">
        <v>2226</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2649</v>
      </c>
      <c r="C993" s="313"/>
      <c r="D993" s="1822" t="s">
        <v>2227</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2650</v>
      </c>
      <c r="C996" s="554"/>
      <c r="D996" s="1834" t="s">
        <v>2228</v>
      </c>
      <c r="E996" s="1834"/>
      <c r="F996" s="1834"/>
      <c r="G996" s="675"/>
    </row>
    <row r="997" spans="1:7" ht="12.75" customHeight="1">
      <c r="A997" s="1642"/>
      <c r="B997" s="1642"/>
      <c r="C997" s="554"/>
      <c r="D997" s="6"/>
      <c r="E997" s="6"/>
      <c r="F997" s="6"/>
      <c r="G997" s="675"/>
    </row>
    <row r="998" spans="1:7" ht="12.75" customHeight="1">
      <c r="A998" s="712"/>
      <c r="B998" s="796" t="s">
        <v>2649</v>
      </c>
      <c r="C998" s="554"/>
      <c r="D998" s="1834" t="s">
        <v>2229</v>
      </c>
      <c r="E998" s="1834"/>
      <c r="F998" s="1834"/>
      <c r="G998" s="675"/>
    </row>
    <row r="999" spans="1:7" ht="12.75" customHeight="1">
      <c r="A999" s="1642"/>
      <c r="B999" s="1642"/>
      <c r="C999" s="554"/>
      <c r="D999" s="1610"/>
      <c r="E999" s="6"/>
      <c r="F999" s="6"/>
      <c r="G999" s="675"/>
    </row>
    <row r="1000" spans="1:7" ht="12.75" customHeight="1">
      <c r="A1000" s="712"/>
      <c r="B1000" s="796" t="s">
        <v>2650</v>
      </c>
      <c r="C1000" s="554"/>
      <c r="D1000" s="1834" t="s">
        <v>2230</v>
      </c>
      <c r="E1000" s="1834"/>
      <c r="F1000" s="1834"/>
      <c r="G1000" s="675"/>
    </row>
    <row r="1001" spans="1:7" ht="12.75" customHeight="1">
      <c r="A1001" s="1642"/>
      <c r="B1001" s="1642"/>
      <c r="C1001" s="554"/>
      <c r="D1001" s="1610"/>
      <c r="E1001" s="6"/>
      <c r="F1001" s="6"/>
      <c r="G1001" s="675"/>
    </row>
    <row r="1002" spans="1:7" ht="12.75" customHeight="1">
      <c r="A1002" s="712"/>
      <c r="B1002" s="796" t="s">
        <v>2650</v>
      </c>
      <c r="C1002" s="554"/>
      <c r="D1002" s="1821" t="s">
        <v>2231</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2649</v>
      </c>
      <c r="C1005" s="1659"/>
      <c r="D1005" s="1888" t="s">
        <v>2232</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2649</v>
      </c>
      <c r="C1008" s="1659"/>
      <c r="D1008" s="1920" t="s">
        <v>2233</v>
      </c>
      <c r="E1008" s="1920"/>
      <c r="F1008" s="1920"/>
      <c r="G1008" s="1660"/>
    </row>
    <row r="1009" spans="1:9" ht="12.75" customHeight="1">
      <c r="A1009" s="1659"/>
      <c r="B1009" s="1659"/>
      <c r="C1009" s="1659"/>
      <c r="D1009" s="1661"/>
      <c r="E1009" s="1662"/>
      <c r="F1009" s="1662"/>
      <c r="G1009" s="1660"/>
    </row>
    <row r="1010" spans="1:9" ht="12.75" customHeight="1">
      <c r="A1010" s="712"/>
      <c r="B1010" s="796" t="s">
        <v>2649</v>
      </c>
      <c r="C1010" s="554"/>
      <c r="D1010" s="1834" t="s">
        <v>2234</v>
      </c>
      <c r="E1010" s="1834"/>
      <c r="F1010" s="1834"/>
      <c r="G1010" s="676"/>
    </row>
    <row r="1011" spans="1:9" ht="12.75" customHeight="1">
      <c r="A1011" s="712"/>
      <c r="B1011" s="712"/>
      <c r="C1011" s="554"/>
      <c r="D1011" s="1610"/>
      <c r="E1011" s="6"/>
      <c r="F1011" s="6"/>
      <c r="G1011" s="676"/>
    </row>
    <row r="1012" spans="1:9" ht="12.75" customHeight="1">
      <c r="A1012" s="712"/>
      <c r="B1012" s="796" t="s">
        <v>2649</v>
      </c>
      <c r="C1012" s="554"/>
      <c r="D1012" s="1821" t="s">
        <v>2235</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2236</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2237</v>
      </c>
      <c r="E1017" s="1880"/>
      <c r="F1017" s="1880"/>
      <c r="G1017" s="676"/>
    </row>
    <row r="1018" spans="1:9" ht="12.75" customHeight="1">
      <c r="A1018" s="1627"/>
      <c r="B1018" s="1627"/>
      <c r="C1018" s="555"/>
      <c r="D1018" s="1913" t="s">
        <v>2238</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2252</v>
      </c>
      <c r="E1020" s="1880"/>
      <c r="F1020" s="1880"/>
      <c r="G1020" s="676"/>
      <c r="I1020" s="1674" t="s">
        <v>2372</v>
      </c>
    </row>
    <row r="1021" spans="1:9" ht="12.75" customHeight="1">
      <c r="A1021" s="1642"/>
      <c r="B1021" s="796" t="s">
        <v>2650</v>
      </c>
      <c r="C1021" s="554"/>
      <c r="D1021" s="1913" t="s">
        <v>1498</v>
      </c>
      <c r="E1021" s="1913"/>
      <c r="F1021" s="1913"/>
      <c r="G1021" s="676"/>
    </row>
    <row r="1022" spans="1:9" s="1672" customFormat="1" ht="12.75" customHeight="1">
      <c r="A1022" s="1642"/>
      <c r="B1022" s="712"/>
      <c r="C1022" s="554"/>
      <c r="D1022" s="1909" t="s">
        <v>2239</v>
      </c>
      <c r="E1022" s="1909"/>
      <c r="F1022" s="1909"/>
      <c r="G1022" s="676"/>
      <c r="I1022" s="1674"/>
    </row>
    <row r="1023" spans="1:9" ht="12.75" customHeight="1">
      <c r="A1023" s="1642"/>
      <c r="B1023" s="1642"/>
      <c r="C1023" s="554"/>
      <c r="D1023" s="1913"/>
      <c r="E1023" s="1913"/>
      <c r="F1023" s="1913"/>
      <c r="G1023" s="676"/>
    </row>
    <row r="1024" spans="1:9" ht="12.75" customHeight="1">
      <c r="A1024" s="1910" t="s">
        <v>2248</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1499</v>
      </c>
      <c r="E1026" s="1894"/>
      <c r="F1026" s="1894"/>
      <c r="G1026" s="684"/>
    </row>
    <row r="1027" spans="1:9" ht="12.75" customHeight="1">
      <c r="A1027" s="254"/>
      <c r="B1027" s="1675" t="s">
        <v>2650</v>
      </c>
      <c r="C1027" s="1676"/>
      <c r="D1027" s="1897" t="s">
        <v>1498</v>
      </c>
      <c r="E1027" s="1897"/>
      <c r="F1027" s="1897"/>
      <c r="G1027" s="684"/>
    </row>
    <row r="1028" spans="1:9" ht="12.75" customHeight="1">
      <c r="A1028" s="254"/>
      <c r="B1028" s="1672"/>
      <c r="C1028" s="1676"/>
      <c r="D1028" s="1897" t="s">
        <v>2249</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1182</v>
      </c>
      <c r="E1030" s="1911"/>
      <c r="F1030" s="1911"/>
      <c r="G1030" s="684"/>
      <c r="I1030" s="1674" t="s">
        <v>2401</v>
      </c>
    </row>
    <row r="1031" spans="1:9" ht="12.75" customHeight="1">
      <c r="A1031" s="501"/>
      <c r="B1031" s="501"/>
      <c r="C1031" s="500"/>
      <c r="D1031" s="1912" t="s">
        <v>1199</v>
      </c>
      <c r="E1031" s="1912"/>
      <c r="F1031" s="1912"/>
      <c r="G1031" s="1663"/>
    </row>
    <row r="1032" spans="1:9" ht="12.75" customHeight="1">
      <c r="A1032" s="712"/>
      <c r="B1032" s="1675" t="s">
        <v>2649</v>
      </c>
      <c r="C1032" s="555"/>
      <c r="D1032" s="1887" t="s">
        <v>1067</v>
      </c>
      <c r="E1032" s="1887"/>
      <c r="F1032" s="188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0" t="s">
        <v>2269</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2649</v>
      </c>
      <c r="C1040" s="788"/>
      <c r="D1040" s="1918" t="s">
        <v>2253</v>
      </c>
      <c r="E1040" s="1918"/>
      <c r="F1040" s="1918"/>
      <c r="G1040" s="788"/>
      <c r="I1040" s="1674" t="s">
        <v>2373</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2650</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2649</v>
      </c>
      <c r="C1050" s="788"/>
      <c r="D1050" s="1918" t="s">
        <v>2257</v>
      </c>
      <c r="E1050" s="1918"/>
      <c r="F1050" s="1918"/>
      <c r="G1050" s="788"/>
      <c r="I1050" s="1674" t="s">
        <v>2375</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2258</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2650</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2650</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2649</v>
      </c>
      <c r="C1065" s="788"/>
      <c r="D1065" s="1666" t="s">
        <v>2267</v>
      </c>
      <c r="E1065" s="1671"/>
      <c r="F1065" s="788"/>
      <c r="G1065" s="788"/>
      <c r="I1065" s="1674" t="s">
        <v>2378</v>
      </c>
    </row>
    <row r="1066" spans="1:9" s="1672" customFormat="1">
      <c r="D1066" s="1919" t="s">
        <v>2268</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2649</v>
      </c>
      <c r="C1073" s="788"/>
      <c r="D1073" s="1916" t="s">
        <v>2260</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0" t="s">
        <v>2270</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2650</v>
      </c>
      <c r="C1083" s="788"/>
      <c r="D1083" s="1916" t="s">
        <v>2271</v>
      </c>
      <c r="E1083" s="1916"/>
      <c r="F1083" s="1916"/>
      <c r="G1083" s="788"/>
      <c r="I1083" s="1674" t="s">
        <v>2380</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2649</v>
      </c>
      <c r="C1087" s="788"/>
      <c r="D1087" s="1916" t="s">
        <v>2272</v>
      </c>
      <c r="E1087" s="1916"/>
      <c r="F1087" s="1916"/>
      <c r="G1087" s="788"/>
      <c r="I1087" s="1674" t="s">
        <v>2381</v>
      </c>
    </row>
    <row r="1088" spans="1:9" s="1672" customFormat="1">
      <c r="D1088" s="1916"/>
      <c r="E1088" s="1916"/>
      <c r="F1088" s="1916"/>
      <c r="I1088" s="1674"/>
    </row>
    <row r="1089" spans="1:9" s="1672" customFormat="1">
      <c r="D1089" s="1667"/>
      <c r="I1089" s="1674"/>
    </row>
    <row r="1090" spans="1:9">
      <c r="A1090" s="788"/>
      <c r="B1090" s="1675" t="s">
        <v>2649</v>
      </c>
      <c r="C1090" s="788"/>
      <c r="D1090" s="1916" t="s">
        <v>2428</v>
      </c>
      <c r="E1090" s="1916"/>
      <c r="F1090" s="1916"/>
      <c r="G1090" s="788"/>
      <c r="I1090" s="1674" t="s">
        <v>2426</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c r="B1096" s="1672"/>
      <c r="D1096" s="1667" t="s">
        <v>2427</v>
      </c>
    </row>
    <row r="1097" spans="1:9">
      <c r="A1097" s="788"/>
      <c r="B1097" s="1675" t="s">
        <v>2649</v>
      </c>
      <c r="C1097" s="788"/>
      <c r="D1097" s="1916" t="s">
        <v>2273</v>
      </c>
      <c r="E1097" s="1916"/>
      <c r="F1097" s="1916"/>
      <c r="G1097" s="788"/>
      <c r="I1097" s="1733" t="s">
        <v>2382</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2649</v>
      </c>
      <c r="C1101" s="788"/>
      <c r="D1101" s="1917" t="s">
        <v>2429</v>
      </c>
      <c r="E1101" s="1917"/>
      <c r="F1101" s="1917"/>
      <c r="G1101" s="788"/>
      <c r="I1101" s="1674" t="s">
        <v>2383</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2649</v>
      </c>
      <c r="D1105" s="1822" t="s">
        <v>2431</v>
      </c>
      <c r="E1105" s="1822"/>
      <c r="F1105" s="1822"/>
      <c r="I1105" s="1674" t="s">
        <v>2430</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9.6">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76" zoomScaleNormal="100" zoomScaleSheetLayoutView="80" workbookViewId="0">
      <selection activeCell="AC890" sqref="AC890:AH890"/>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77734375" style="39" hidden="1"/>
    <col min="52" max="76" width="3.77734375" style="12" hidden="1"/>
    <col min="77" max="95" width="0" style="12" hidden="1"/>
    <col min="96" max="96" width="0" style="25" hidden="1"/>
    <col min="97" max="16383" width="0" style="12" hidden="1"/>
    <col min="16384" max="16384" width="3.777343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244" t="s">
        <v>105</v>
      </c>
      <c r="B8" s="2244"/>
      <c r="C8" s="2244"/>
      <c r="D8" s="2244"/>
      <c r="E8" s="2244"/>
      <c r="F8" s="2244"/>
      <c r="G8" s="2244"/>
      <c r="H8" s="2244"/>
      <c r="I8" s="2244"/>
      <c r="J8" s="2244"/>
      <c r="K8" s="2244"/>
      <c r="L8" s="2244"/>
      <c r="M8" s="2244"/>
      <c r="N8" s="2244"/>
      <c r="O8" s="2244"/>
      <c r="P8" s="2244"/>
      <c r="Q8" s="2244"/>
      <c r="R8" s="2244"/>
      <c r="S8" s="2244"/>
      <c r="T8" s="2244"/>
      <c r="U8" s="2244"/>
      <c r="V8" s="2244"/>
      <c r="W8" s="2244"/>
      <c r="X8" s="2244"/>
      <c r="Y8" s="2244"/>
      <c r="Z8" s="2244"/>
      <c r="AA8" s="2244"/>
      <c r="AB8" s="2244"/>
      <c r="AC8" s="2244"/>
      <c r="AD8" s="2244"/>
      <c r="AE8" s="2244"/>
      <c r="AF8" s="2244"/>
      <c r="AG8" s="2244"/>
      <c r="AH8" s="2244"/>
      <c r="AI8" s="2244"/>
      <c r="AJ8" s="2244"/>
      <c r="AK8" s="2244"/>
      <c r="AL8" s="2244"/>
      <c r="AM8" s="1475"/>
      <c r="AN8" s="1475"/>
      <c r="AO8" s="1475"/>
      <c r="AP8" s="1475"/>
      <c r="AQ8" s="1475"/>
      <c r="AR8" s="1475"/>
      <c r="AS8" s="1475"/>
      <c r="AT8" s="1475"/>
      <c r="AU8" s="1475"/>
      <c r="AV8" s="1475"/>
      <c r="AW8" s="1475"/>
      <c r="AX8" s="1475"/>
      <c r="AY8" s="1475"/>
    </row>
    <row r="9" spans="1:96" s="717" customFormat="1" ht="13.2">
      <c r="A9" s="2390" t="s">
        <v>1942</v>
      </c>
      <c r="B9" s="2390"/>
      <c r="C9" s="2390"/>
      <c r="D9" s="2390"/>
      <c r="E9" s="2390"/>
      <c r="F9" s="2390"/>
      <c r="G9" s="2390"/>
      <c r="H9" s="2390"/>
      <c r="I9" s="2390"/>
      <c r="J9" s="2390"/>
      <c r="K9" s="2390"/>
      <c r="L9" s="2390"/>
      <c r="M9" s="2390"/>
      <c r="N9" s="2390"/>
      <c r="O9" s="2390"/>
      <c r="P9" s="2390"/>
      <c r="Q9" s="2390"/>
      <c r="R9" s="2390"/>
      <c r="S9" s="2390"/>
      <c r="T9" s="2390"/>
      <c r="U9" s="2390"/>
      <c r="V9" s="2390"/>
      <c r="W9" s="2390"/>
      <c r="X9" s="2390"/>
      <c r="Y9" s="2390"/>
      <c r="Z9" s="2390"/>
      <c r="AA9" s="2390"/>
      <c r="AB9" s="2390"/>
      <c r="AC9" s="2390"/>
      <c r="AD9" s="2390"/>
      <c r="AE9" s="2390"/>
      <c r="AF9" s="2390"/>
      <c r="AG9" s="2390"/>
      <c r="AH9" s="2390"/>
      <c r="AI9" s="2390"/>
      <c r="AJ9" s="2390"/>
      <c r="AK9" s="2390"/>
      <c r="AL9" s="2390"/>
      <c r="AM9" s="1459"/>
      <c r="AN9" s="1459"/>
      <c r="AO9" s="1459"/>
      <c r="AP9" s="1459"/>
      <c r="AQ9" s="1459"/>
      <c r="AR9" s="1459"/>
      <c r="AS9" s="1459"/>
      <c r="AT9" s="1459"/>
      <c r="AU9" s="1459"/>
      <c r="AV9" s="1459"/>
      <c r="AW9" s="1459"/>
      <c r="AX9" s="1459"/>
      <c r="AY9" s="1459"/>
      <c r="CR9" s="25"/>
    </row>
    <row r="10" spans="1:96" ht="15" customHeight="1">
      <c r="A10" s="2309" t="s">
        <v>2446</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309"/>
      <c r="Y10" s="2309"/>
      <c r="Z10" s="2309"/>
      <c r="AA10" s="2309"/>
      <c r="AB10" s="2309"/>
      <c r="AC10" s="2309"/>
      <c r="AD10" s="2309"/>
      <c r="AE10" s="2309"/>
      <c r="AF10" s="2309"/>
      <c r="AG10" s="2309"/>
      <c r="AH10" s="2309"/>
      <c r="AI10" s="2309"/>
      <c r="AJ10" s="2309"/>
      <c r="AK10" s="2309"/>
      <c r="AL10" s="2309"/>
      <c r="AM10" s="20"/>
      <c r="AN10" s="20"/>
      <c r="AO10" s="20"/>
      <c r="AP10" s="20"/>
      <c r="AQ10" s="20"/>
      <c r="AR10" s="20"/>
      <c r="AS10" s="20"/>
      <c r="AT10" s="20"/>
      <c r="AU10" s="20"/>
      <c r="AV10" s="20"/>
      <c r="AW10" s="20"/>
      <c r="AX10" s="20"/>
      <c r="AY10" s="20"/>
    </row>
    <row r="11" spans="1:96" ht="15" customHeight="1">
      <c r="A11" s="2390" t="s">
        <v>1962</v>
      </c>
      <c r="B11" s="2390"/>
      <c r="C11" s="2390"/>
      <c r="D11" s="2390"/>
      <c r="E11" s="2390"/>
      <c r="F11" s="2390"/>
      <c r="G11" s="2390"/>
      <c r="H11" s="2390"/>
      <c r="I11" s="2390"/>
      <c r="J11" s="2390"/>
      <c r="K11" s="2390"/>
      <c r="L11" s="2390"/>
      <c r="M11" s="2390"/>
      <c r="N11" s="2390"/>
      <c r="O11" s="2390"/>
      <c r="P11" s="2390"/>
      <c r="Q11" s="2390"/>
      <c r="R11" s="2390"/>
      <c r="S11" s="2390"/>
      <c r="T11" s="2390"/>
      <c r="U11" s="2390"/>
      <c r="V11" s="2390"/>
      <c r="W11" s="2390"/>
      <c r="X11" s="2390"/>
      <c r="Y11" s="2390"/>
      <c r="Z11" s="2390"/>
      <c r="AA11" s="2390"/>
      <c r="AB11" s="2390"/>
      <c r="AC11" s="2390"/>
      <c r="AD11" s="2390"/>
      <c r="AE11" s="2390"/>
      <c r="AF11" s="2390"/>
      <c r="AG11" s="2390"/>
      <c r="AH11" s="2390"/>
      <c r="AI11" s="2390"/>
      <c r="AJ11" s="2390"/>
      <c r="AK11" s="2390"/>
      <c r="AL11" s="2390"/>
      <c r="AM11" s="1459"/>
      <c r="AN11" s="1459"/>
      <c r="AO11" s="1459"/>
      <c r="AP11" s="1459"/>
      <c r="AQ11" s="1459"/>
      <c r="AR11" s="1459"/>
      <c r="AS11" s="1459"/>
      <c r="AT11" s="1459"/>
      <c r="AU11" s="1459"/>
      <c r="AV11" s="1459"/>
      <c r="AW11" s="1459"/>
      <c r="AX11" s="1459"/>
      <c r="AY11" s="1459"/>
    </row>
    <row r="12" spans="1:96" ht="13.2">
      <c r="A12" s="2405" t="s">
        <v>2480</v>
      </c>
      <c r="B12" s="2406"/>
      <c r="C12" s="2406"/>
      <c r="D12" s="2406"/>
      <c r="E12" s="2406"/>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6"/>
      <c r="AK12" s="2406"/>
      <c r="AL12" s="2406"/>
      <c r="AM12" s="1465"/>
      <c r="AN12" s="1465"/>
      <c r="AO12" s="1465"/>
      <c r="AP12" s="1465"/>
      <c r="AQ12" s="1465"/>
      <c r="AR12" s="1465"/>
      <c r="AS12" s="1465"/>
      <c r="AT12" s="1465"/>
      <c r="AU12" s="1465"/>
      <c r="AV12" s="1465"/>
      <c r="AW12" s="1465"/>
      <c r="AX12" s="1465"/>
      <c r="AY12" s="1465"/>
    </row>
    <row r="13" spans="1:96" ht="13.2">
      <c r="A13" s="1817" t="s">
        <v>1383</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396" t="s">
        <v>2568</v>
      </c>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6"/>
    </row>
    <row r="17" spans="1:96" ht="12.75" customHeight="1"/>
    <row r="18" spans="1:96" ht="12.75" customHeight="1">
      <c r="A18" s="134" t="s">
        <v>106</v>
      </c>
      <c r="C18" s="7"/>
      <c r="D18" s="7"/>
      <c r="E18" s="7"/>
      <c r="F18" s="7"/>
      <c r="G18" s="7"/>
      <c r="H18" s="2251" t="s">
        <v>2523</v>
      </c>
      <c r="I18" s="2296"/>
      <c r="J18" s="2296"/>
      <c r="K18" s="2296"/>
      <c r="L18" s="2296"/>
      <c r="M18" s="2296"/>
      <c r="N18" s="2296"/>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row>
    <row r="19" spans="1:96" ht="12.75" customHeight="1"/>
    <row r="20" spans="1:96" ht="14.25" customHeight="1">
      <c r="A20" s="2399" t="s">
        <v>936</v>
      </c>
      <c r="B20" s="2399"/>
      <c r="C20" s="2399"/>
      <c r="D20" s="2399"/>
      <c r="E20" s="2399"/>
      <c r="F20" s="2399"/>
      <c r="G20" s="2399"/>
      <c r="H20" s="2399"/>
      <c r="I20" s="2399"/>
      <c r="J20" s="2399"/>
      <c r="K20" s="2399"/>
      <c r="L20" s="2399"/>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1478"/>
      <c r="AN20" s="1478"/>
      <c r="AO20" s="1478"/>
      <c r="AP20" s="1478"/>
      <c r="AQ20" s="1478"/>
      <c r="AR20" s="1478"/>
      <c r="AS20" s="1478"/>
      <c r="AT20" s="1478"/>
      <c r="AU20" s="1478"/>
      <c r="AV20" s="1478"/>
      <c r="AW20" s="1478"/>
      <c r="AX20" s="1478"/>
      <c r="AY20" s="1478"/>
    </row>
    <row r="21" spans="1:96" ht="12.75" customHeight="1">
      <c r="A21" s="2408" t="s">
        <v>1113</v>
      </c>
      <c r="B21" s="2408"/>
      <c r="C21" s="2408"/>
      <c r="D21" s="2408"/>
      <c r="E21" s="2408"/>
      <c r="F21" s="2408"/>
      <c r="G21" s="2408"/>
      <c r="H21" s="2408"/>
      <c r="I21" s="2408"/>
      <c r="J21" s="2408"/>
      <c r="K21" s="2408"/>
      <c r="L21" s="2408"/>
      <c r="M21" s="2408"/>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7">
        <f>'Basis &amp; Credits'!AB56</f>
        <v>1308595</v>
      </c>
      <c r="N26" s="2407"/>
      <c r="O26" s="2407"/>
      <c r="P26" s="2407"/>
      <c r="Q26" s="240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4904260</v>
      </c>
      <c r="N27" s="1986"/>
      <c r="O27" s="1986"/>
      <c r="P27" s="1986"/>
      <c r="Q27" s="1986"/>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1" t="s">
        <v>706</v>
      </c>
      <c r="P33" s="1991"/>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2">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2">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389">
        <v>16</v>
      </c>
      <c r="H122" s="2389"/>
      <c r="I122" s="239" t="s">
        <v>187</v>
      </c>
      <c r="L122" s="2389" t="s">
        <v>2561</v>
      </c>
      <c r="M122" s="2389"/>
      <c r="N122" s="2389"/>
      <c r="O122" s="2528" t="s">
        <v>2562</v>
      </c>
      <c r="P122" s="2528"/>
      <c r="Q122" s="2528"/>
      <c r="R122" s="252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417" t="s">
        <v>2563</v>
      </c>
      <c r="D124" s="2417"/>
      <c r="E124" s="2417"/>
      <c r="F124" s="2417"/>
      <c r="G124" s="2417"/>
      <c r="H124" s="2417"/>
      <c r="I124" s="2417"/>
      <c r="J124" s="2417"/>
      <c r="K124" s="241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389"/>
      <c r="Z126" s="2389"/>
      <c r="AA126" s="2389"/>
      <c r="AB126" s="2389"/>
      <c r="AC126" s="2389"/>
      <c r="AD126" s="2389"/>
      <c r="AE126" s="2389"/>
      <c r="AF126" s="2389"/>
      <c r="AG126" s="2389"/>
      <c r="AH126" s="2389"/>
      <c r="AI126" s="2389"/>
      <c r="AJ126" s="2389"/>
      <c r="AK126" s="2389"/>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2">
      <c r="A129" s="695"/>
      <c r="B129" s="150"/>
      <c r="R129" s="265"/>
      <c r="S129" s="265"/>
      <c r="T129" s="265"/>
      <c r="U129" s="265"/>
      <c r="V129" s="265"/>
      <c r="W129" s="265"/>
      <c r="X129" s="58"/>
      <c r="Y129" s="2389" t="s">
        <v>2564</v>
      </c>
      <c r="Z129" s="2389"/>
      <c r="AA129" s="2389"/>
      <c r="AB129" s="2389"/>
      <c r="AC129" s="2389"/>
      <c r="AD129" s="2389"/>
      <c r="AE129" s="2389"/>
      <c r="AF129" s="2389"/>
      <c r="AG129" s="2389"/>
      <c r="AH129" s="2389"/>
      <c r="AI129" s="2389"/>
      <c r="AJ129" s="2389"/>
      <c r="AK129" s="2389"/>
      <c r="AL129" s="695"/>
      <c r="AM129" s="1483"/>
      <c r="AN129" s="1483"/>
      <c r="AO129" s="1483"/>
      <c r="AP129" s="1483"/>
      <c r="AQ129" s="1483"/>
      <c r="AR129" s="1483"/>
      <c r="AS129" s="1483"/>
      <c r="AT129" s="1483"/>
      <c r="AU129" s="1483"/>
      <c r="AV129" s="1483"/>
      <c r="AW129" s="1483"/>
      <c r="AX129" s="1483"/>
      <c r="AY129" s="1483"/>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89" t="s">
        <v>2565</v>
      </c>
      <c r="Z132" s="2389"/>
      <c r="AA132" s="2389"/>
      <c r="AB132" s="2389"/>
      <c r="AC132" s="2389"/>
      <c r="AD132" s="2389"/>
      <c r="AE132" s="2389"/>
      <c r="AF132" s="2389"/>
      <c r="AG132" s="2389"/>
      <c r="AH132" s="2389"/>
      <c r="AI132" s="2389"/>
      <c r="AJ132" s="2389"/>
      <c r="AK132" s="238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09"/>
      <c r="G150" s="2409"/>
      <c r="H150" s="2409"/>
      <c r="I150" s="2409"/>
      <c r="J150" s="2409"/>
      <c r="K150" s="2409"/>
      <c r="L150" s="2409"/>
      <c r="M150" s="2409"/>
      <c r="N150" s="2409"/>
      <c r="O150" s="2409"/>
      <c r="P150" s="2409"/>
      <c r="Q150" s="2409"/>
      <c r="R150" s="2409"/>
      <c r="S150" s="2409"/>
      <c r="T150" s="240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251" t="s">
        <v>2524</v>
      </c>
      <c r="P153" s="2296"/>
      <c r="Q153" s="2296"/>
      <c r="R153" s="2296"/>
      <c r="S153" s="2296"/>
      <c r="T153" s="2296"/>
      <c r="U153" s="2296"/>
      <c r="V153" s="2296"/>
      <c r="W153" s="2296"/>
      <c r="X153" s="2296"/>
      <c r="Y153" s="2296"/>
      <c r="Z153" s="2296"/>
      <c r="AA153" s="2296"/>
      <c r="AB153" s="2296"/>
      <c r="AC153" s="2296"/>
      <c r="AD153" s="2296"/>
      <c r="AE153" s="2296"/>
      <c r="AF153" s="2296"/>
      <c r="AG153" s="2296"/>
      <c r="AH153" s="2296"/>
    </row>
    <row r="154" spans="1:96" ht="12.75" customHeight="1">
      <c r="D154" s="466" t="s">
        <v>462</v>
      </c>
      <c r="F154" s="32"/>
      <c r="G154" s="32"/>
      <c r="H154" s="32"/>
      <c r="I154" s="32"/>
      <c r="J154" s="32"/>
      <c r="K154" s="32"/>
      <c r="L154" s="32"/>
      <c r="M154" s="32"/>
      <c r="N154" s="32"/>
      <c r="O154" s="2048" t="s">
        <v>2525</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3.2">
      <c r="D155" s="13" t="s">
        <v>464</v>
      </c>
      <c r="F155" s="13"/>
      <c r="G155" s="13"/>
      <c r="H155" s="13"/>
      <c r="I155" s="13"/>
      <c r="J155" s="13"/>
      <c r="K155" s="13"/>
      <c r="L155" s="13"/>
      <c r="M155" s="13"/>
      <c r="N155" s="13"/>
      <c r="O155" s="2391" t="s">
        <v>463</v>
      </c>
      <c r="P155" s="2391"/>
      <c r="Q155" s="2391"/>
      <c r="R155" s="2391"/>
      <c r="S155" s="2391"/>
      <c r="T155" s="2391"/>
      <c r="U155" s="2391"/>
      <c r="V155" s="2391"/>
      <c r="W155" s="2391"/>
      <c r="X155" s="2391"/>
      <c r="Y155" s="2391"/>
      <c r="Z155" s="2391"/>
      <c r="AA155" s="2391"/>
      <c r="AB155" s="2391"/>
      <c r="AC155" s="2391"/>
      <c r="AD155" s="2391"/>
      <c r="AE155" s="2391"/>
      <c r="AF155" s="2391"/>
      <c r="AG155" s="2391"/>
      <c r="AH155" s="2391"/>
      <c r="AZ155" s="25"/>
    </row>
    <row r="156" spans="1:96" ht="13.2">
      <c r="D156" s="32" t="s">
        <v>322</v>
      </c>
      <c r="F156" s="32"/>
      <c r="G156" s="32"/>
      <c r="H156" s="32"/>
      <c r="I156" s="32"/>
      <c r="J156" s="32"/>
      <c r="K156" s="32"/>
      <c r="L156" s="32"/>
      <c r="M156" s="32"/>
      <c r="N156" s="32"/>
      <c r="O156" s="2013" t="s">
        <v>2526</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3.2">
      <c r="D157" s="32" t="s">
        <v>323</v>
      </c>
      <c r="F157" s="32"/>
      <c r="G157" s="32"/>
      <c r="H157" s="32"/>
      <c r="I157" s="32"/>
      <c r="J157" s="32"/>
      <c r="K157" s="32"/>
      <c r="L157" s="32"/>
      <c r="M157" s="32"/>
      <c r="N157" s="32"/>
      <c r="O157" s="2251" t="s">
        <v>2527</v>
      </c>
      <c r="P157" s="2296"/>
      <c r="Q157" s="2296"/>
      <c r="R157" s="2296"/>
      <c r="S157" s="2296"/>
      <c r="T157" s="2296"/>
      <c r="U157" s="2296"/>
      <c r="V157" s="2296"/>
      <c r="W157" s="2296"/>
      <c r="X157" s="2296"/>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392">
        <v>95667</v>
      </c>
      <c r="P158" s="2392"/>
      <c r="Q158" s="2392"/>
      <c r="R158" s="2392"/>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394" t="s">
        <v>2528</v>
      </c>
      <c r="P159" s="2394"/>
      <c r="Q159" s="2394"/>
      <c r="R159" s="2394"/>
      <c r="S159" s="2394"/>
      <c r="T159" s="2394"/>
      <c r="V159" s="146" t="s">
        <v>277</v>
      </c>
      <c r="W159" s="2393"/>
      <c r="X159" s="2393"/>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394"/>
      <c r="P160" s="2394"/>
      <c r="Q160" s="2394"/>
      <c r="R160" s="2394"/>
      <c r="S160" s="2394"/>
      <c r="T160" s="2394"/>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07" t="s">
        <v>2529</v>
      </c>
      <c r="P161" s="2307"/>
      <c r="Q161" s="2307"/>
      <c r="R161" s="2307"/>
      <c r="S161" s="2307"/>
      <c r="T161" s="2307"/>
      <c r="U161" s="2307"/>
      <c r="V161" s="2307"/>
      <c r="W161" s="2307"/>
      <c r="X161" s="2307"/>
      <c r="Y161" s="2307"/>
      <c r="Z161" s="2307"/>
      <c r="AA161" s="2307"/>
      <c r="AB161" s="2307"/>
      <c r="AC161" s="2307"/>
      <c r="AD161" s="2307"/>
      <c r="AE161" s="2307"/>
      <c r="AF161" s="2307"/>
      <c r="AG161" s="2307"/>
      <c r="AH161" s="2307"/>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18" t="s">
        <v>1451</v>
      </c>
      <c r="E164" s="2418"/>
      <c r="F164" s="2418"/>
      <c r="G164" s="2418"/>
      <c r="H164" s="2418"/>
      <c r="I164" s="2418"/>
      <c r="J164" s="2418"/>
      <c r="K164" s="2418"/>
      <c r="L164" s="2418"/>
      <c r="M164" s="2418"/>
      <c r="N164" s="2418"/>
      <c r="O164" s="2418"/>
      <c r="P164" s="2418"/>
      <c r="Q164" s="2418"/>
      <c r="R164" s="2418"/>
      <c r="S164" s="2418"/>
      <c r="T164" s="2418"/>
      <c r="U164" s="2418"/>
      <c r="V164" s="2418"/>
      <c r="W164" s="2418"/>
      <c r="X164" s="2418"/>
      <c r="Y164" s="2418"/>
      <c r="Z164" s="2418"/>
      <c r="AA164" s="2418"/>
      <c r="AB164" s="2418"/>
      <c r="AC164" s="2418"/>
      <c r="AD164" s="2418"/>
      <c r="AE164" s="2418"/>
      <c r="AF164" s="2418"/>
      <c r="AG164" s="2418"/>
      <c r="AH164" s="2418"/>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37" t="s">
        <v>572</v>
      </c>
      <c r="B169" s="2337"/>
      <c r="C169" s="2337"/>
      <c r="D169" s="2337"/>
      <c r="E169" s="2337"/>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38"/>
      <c r="B170" s="2338"/>
      <c r="C170" s="2338"/>
      <c r="D170" s="233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D170" s="2338"/>
      <c r="AE170" s="2338"/>
      <c r="AF170" s="2338"/>
      <c r="AG170" s="2338"/>
      <c r="AH170" s="2338"/>
      <c r="AI170" s="2338"/>
      <c r="AJ170" s="2338"/>
      <c r="AK170" s="2338"/>
      <c r="AL170" s="233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2">
      <c r="A173" s="25"/>
      <c r="C173" s="38"/>
      <c r="D173" s="39" t="s">
        <v>330</v>
      </c>
      <c r="J173" s="2410" t="s">
        <v>389</v>
      </c>
      <c r="K173" s="2410"/>
      <c r="L173" s="2410"/>
      <c r="M173" s="2410"/>
      <c r="N173" s="2410"/>
      <c r="O173" s="2410"/>
      <c r="P173" s="2410"/>
      <c r="Q173" s="2410"/>
      <c r="R173" s="2410"/>
      <c r="S173" s="2410"/>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2">
      <c r="A174" s="25"/>
      <c r="C174" s="38"/>
      <c r="D174" s="58" t="s">
        <v>1406</v>
      </c>
      <c r="E174" s="25"/>
      <c r="F174" s="25"/>
      <c r="G174" s="25"/>
      <c r="H174" s="25"/>
      <c r="I174" s="25"/>
      <c r="J174" s="2013" t="s">
        <v>2530</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2">
      <c r="A175" s="25"/>
      <c r="C175" s="13"/>
      <c r="D175" s="58" t="s">
        <v>331</v>
      </c>
      <c r="F175" s="717"/>
      <c r="G175" s="717"/>
      <c r="H175" s="717"/>
      <c r="I175" s="717"/>
      <c r="J175" s="717"/>
      <c r="K175" s="717"/>
      <c r="L175" s="717"/>
      <c r="M175" s="717"/>
      <c r="N175" s="717"/>
      <c r="O175" s="42"/>
      <c r="Q175" s="25"/>
      <c r="R175" s="25"/>
      <c r="T175" s="717"/>
      <c r="U175" s="1991" t="s">
        <v>578</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c r="V176" s="2005"/>
      <c r="W176" s="4" t="s">
        <v>315</v>
      </c>
      <c r="X176" s="2413"/>
      <c r="Y176" s="241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2">
      <c r="A177" s="25"/>
      <c r="B177" s="12"/>
      <c r="C177" s="43"/>
      <c r="D177" s="25" t="s">
        <v>255</v>
      </c>
      <c r="E177" s="12"/>
      <c r="F177" s="12"/>
      <c r="G177" s="12"/>
      <c r="H177" s="12"/>
      <c r="I177" s="12"/>
      <c r="J177" s="12"/>
      <c r="K177" s="12"/>
      <c r="L177" s="12"/>
      <c r="M177" s="25"/>
      <c r="N177" s="12"/>
      <c r="O177" s="12"/>
      <c r="P177" s="12"/>
      <c r="Q177" s="12"/>
      <c r="R177" s="1991" t="s">
        <v>706</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2">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2"/>
      <c r="AG178" s="2252"/>
      <c r="AH178" s="4" t="s">
        <v>315</v>
      </c>
      <c r="AI178" s="2302"/>
      <c r="AJ178" s="2302"/>
      <c r="AK178" s="230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465</v>
      </c>
      <c r="E180" s="25"/>
      <c r="X180" s="1991" t="s">
        <v>706</v>
      </c>
      <c r="Y180" s="199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613</v>
      </c>
      <c r="E184" s="25"/>
      <c r="F184" s="25"/>
      <c r="G184" s="25"/>
      <c r="H184" s="25"/>
      <c r="I184" s="1981" t="str">
        <f>H18</f>
        <v>Middletown Apartments</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2">
      <c r="A185" s="25"/>
      <c r="C185" s="45"/>
      <c r="D185" s="25" t="s">
        <v>614</v>
      </c>
      <c r="E185" s="25"/>
      <c r="F185" s="25"/>
      <c r="G185" s="25"/>
      <c r="H185" s="25"/>
      <c r="I185" s="1993"/>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403" t="s">
        <v>2531</v>
      </c>
      <c r="F187" s="2403"/>
      <c r="G187" s="2403"/>
      <c r="H187" s="2403"/>
      <c r="I187" s="2403"/>
      <c r="J187" s="2403"/>
      <c r="K187" s="2403"/>
      <c r="L187" s="2403"/>
      <c r="M187" s="2403"/>
      <c r="N187" s="2403"/>
      <c r="O187" s="2403"/>
      <c r="P187" s="2403"/>
      <c r="Q187" s="2403"/>
      <c r="R187" s="2403"/>
      <c r="S187" s="2403"/>
      <c r="T187" s="2403"/>
      <c r="U187" s="2403"/>
      <c r="V187" s="2403"/>
      <c r="W187" s="2403"/>
      <c r="X187" s="2403"/>
      <c r="Y187" s="2403"/>
      <c r="Z187" s="2403"/>
      <c r="AA187" s="2403"/>
      <c r="AB187" s="2403"/>
      <c r="AC187" s="2403"/>
      <c r="AD187" s="2403"/>
      <c r="AE187" s="2403"/>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404"/>
      <c r="F188" s="2404"/>
      <c r="G188" s="2404"/>
      <c r="H188" s="2404"/>
      <c r="I188" s="2404"/>
      <c r="J188" s="2404"/>
      <c r="K188" s="2404"/>
      <c r="L188" s="2404"/>
      <c r="M188" s="2404"/>
      <c r="N188" s="2404"/>
      <c r="O188" s="2404"/>
      <c r="P188" s="2404"/>
      <c r="Q188" s="2404"/>
      <c r="R188" s="2404"/>
      <c r="S188" s="2404"/>
      <c r="T188" s="2404"/>
      <c r="U188" s="2404"/>
      <c r="V188" s="2404"/>
      <c r="W188" s="2404"/>
      <c r="X188" s="2404"/>
      <c r="Y188" s="2404"/>
      <c r="Z188" s="2404"/>
      <c r="AA188" s="2404"/>
      <c r="AB188" s="2404"/>
      <c r="AC188" s="2404"/>
      <c r="AD188" s="2404"/>
      <c r="AE188" s="2404"/>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615</v>
      </c>
      <c r="E189" s="25"/>
      <c r="I189" s="2013" t="s">
        <v>2527</v>
      </c>
      <c r="J189" s="2013"/>
      <c r="K189" s="2013"/>
      <c r="L189" s="2013"/>
      <c r="M189" s="2013"/>
      <c r="N189" s="2013"/>
      <c r="O189" s="2013"/>
      <c r="P189" s="2013"/>
      <c r="Q189" s="25" t="s">
        <v>617</v>
      </c>
      <c r="T189" s="2013" t="s">
        <v>517</v>
      </c>
      <c r="U189" s="2013"/>
      <c r="V189" s="2013"/>
      <c r="W189" s="2013"/>
      <c r="X189" s="2013"/>
      <c r="Y189" s="2013"/>
      <c r="Z189" s="2013"/>
      <c r="AA189" s="2013"/>
      <c r="AB189" s="2013"/>
      <c r="AC189" s="2013"/>
      <c r="AD189" s="2013"/>
      <c r="AE189" s="201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2">
      <c r="A190" s="25"/>
      <c r="C190" s="46"/>
      <c r="D190" s="25" t="s">
        <v>618</v>
      </c>
      <c r="E190" s="25"/>
      <c r="F190" s="25"/>
      <c r="G190" s="25"/>
      <c r="I190" s="1993">
        <v>95667</v>
      </c>
      <c r="J190" s="1993"/>
      <c r="K190" s="1993"/>
      <c r="L190" s="1993"/>
      <c r="M190" s="1993"/>
      <c r="N190" s="1993"/>
      <c r="O190" s="25" t="s">
        <v>620</v>
      </c>
      <c r="P190" s="25"/>
      <c r="Q190" s="25"/>
      <c r="R190" s="25"/>
      <c r="S190" s="25"/>
      <c r="T190" s="2401">
        <v>6017031000</v>
      </c>
      <c r="U190" s="2401"/>
      <c r="V190" s="2401"/>
      <c r="W190" s="2401"/>
      <c r="X190" s="2401"/>
      <c r="Y190" s="2401"/>
      <c r="Z190" s="2401"/>
      <c r="AA190" s="2401"/>
      <c r="AB190" s="2401"/>
      <c r="AC190" s="2401"/>
      <c r="AD190" s="2401"/>
      <c r="AE190" s="2401"/>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2">
      <c r="A191" s="25"/>
      <c r="C191" s="46"/>
      <c r="D191" s="25" t="s">
        <v>495</v>
      </c>
      <c r="E191" s="25"/>
      <c r="F191" s="25"/>
      <c r="G191" s="25"/>
      <c r="H191" s="25"/>
      <c r="I191" s="25"/>
      <c r="J191" s="25"/>
      <c r="K191" s="25"/>
      <c r="L191" s="25"/>
      <c r="M191" s="25"/>
      <c r="N191" s="2403" t="s">
        <v>2532</v>
      </c>
      <c r="O191" s="2403"/>
      <c r="P191" s="2403"/>
      <c r="Q191" s="2403"/>
      <c r="R191" s="2403"/>
      <c r="S191" s="2403"/>
      <c r="T191" s="2403"/>
      <c r="U191" s="2403"/>
      <c r="V191" s="2403"/>
      <c r="W191" s="2403"/>
      <c r="X191" s="2403"/>
      <c r="Y191" s="2403"/>
      <c r="Z191" s="2403"/>
      <c r="AA191" s="2403"/>
      <c r="AB191" s="2403"/>
      <c r="AC191" s="2403"/>
      <c r="AD191" s="2403"/>
      <c r="AE191" s="2403"/>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2">
      <c r="A192" s="25"/>
      <c r="C192" s="46"/>
      <c r="D192" s="25"/>
      <c r="E192" s="25"/>
      <c r="F192" s="25"/>
      <c r="G192" s="25"/>
      <c r="H192" s="25"/>
      <c r="I192" s="25"/>
      <c r="J192" s="25"/>
      <c r="K192" s="25"/>
      <c r="L192" s="25"/>
      <c r="M192" s="170"/>
      <c r="N192" s="2404"/>
      <c r="O192" s="2404"/>
      <c r="P192" s="2404"/>
      <c r="Q192" s="2404"/>
      <c r="R192" s="2404"/>
      <c r="S192" s="2404"/>
      <c r="T192" s="2404"/>
      <c r="U192" s="2404"/>
      <c r="V192" s="2404"/>
      <c r="W192" s="2404"/>
      <c r="X192" s="2404"/>
      <c r="Y192" s="2404"/>
      <c r="Z192" s="2404"/>
      <c r="AA192" s="2404"/>
      <c r="AB192" s="2404"/>
      <c r="AC192" s="2404"/>
      <c r="AD192" s="2404"/>
      <c r="AE192" s="2404"/>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3.2">
      <c r="A193" s="25"/>
      <c r="B193" s="717"/>
      <c r="C193" s="46"/>
      <c r="D193" s="685" t="s">
        <v>1964</v>
      </c>
      <c r="E193" s="25"/>
      <c r="F193" s="25"/>
      <c r="G193" s="25"/>
      <c r="H193" s="25"/>
      <c r="I193" s="25"/>
      <c r="J193" s="25"/>
      <c r="K193" s="25"/>
      <c r="L193" s="25"/>
      <c r="M193" s="170"/>
      <c r="N193" s="1467"/>
      <c r="O193" s="1467"/>
      <c r="P193" s="1467"/>
      <c r="Q193" s="1467"/>
      <c r="R193" s="1467"/>
      <c r="S193" s="1467"/>
      <c r="T193" s="2414" t="s">
        <v>2533</v>
      </c>
      <c r="U193" s="2414"/>
      <c r="V193" s="2414"/>
      <c r="W193" s="2414"/>
      <c r="X193" s="2414"/>
      <c r="Y193" s="2414"/>
      <c r="Z193" s="2414"/>
      <c r="AA193" s="2414"/>
      <c r="AB193" s="2414"/>
      <c r="AC193" s="2414"/>
      <c r="AD193" s="2414"/>
      <c r="AE193" s="2414"/>
      <c r="AF193" s="2414"/>
      <c r="AG193" s="2414"/>
      <c r="AH193" s="2414"/>
      <c r="AI193" s="2414"/>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1991" t="s">
        <v>706</v>
      </c>
      <c r="U194" s="1991"/>
      <c r="W194" s="25" t="s">
        <v>722</v>
      </c>
      <c r="X194" s="25"/>
      <c r="Y194" s="25"/>
      <c r="Z194" s="25"/>
      <c r="AA194" s="25"/>
      <c r="AB194" s="25"/>
      <c r="AC194" s="25"/>
      <c r="AD194" s="25"/>
      <c r="AE194" s="25"/>
      <c r="AF194" s="25"/>
      <c r="AG194" s="25"/>
      <c r="AH194" s="1991">
        <v>4</v>
      </c>
      <c r="AI194" s="1991"/>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158" t="s">
        <v>706</v>
      </c>
      <c r="U195" s="2158"/>
      <c r="V195" s="12"/>
      <c r="W195" s="25" t="s">
        <v>723</v>
      </c>
      <c r="X195" s="25"/>
      <c r="Y195" s="25"/>
      <c r="Z195" s="25"/>
      <c r="AA195" s="25"/>
      <c r="AB195" s="25"/>
      <c r="AC195" s="25"/>
      <c r="AD195" s="25"/>
      <c r="AE195" s="25"/>
      <c r="AF195" s="25"/>
      <c r="AG195" s="25"/>
      <c r="AH195" s="1991">
        <v>1</v>
      </c>
      <c r="AI195" s="1991"/>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158" t="s">
        <v>706</v>
      </c>
      <c r="U196" s="2158"/>
      <c r="W196" s="25" t="s">
        <v>724</v>
      </c>
      <c r="X196" s="25"/>
      <c r="Y196" s="25"/>
      <c r="Z196" s="25"/>
      <c r="AA196" s="25"/>
      <c r="AB196" s="25"/>
      <c r="AC196" s="25"/>
      <c r="AD196" s="25"/>
      <c r="AE196" s="25"/>
      <c r="AF196" s="25"/>
      <c r="AG196" s="25"/>
      <c r="AH196" s="1991">
        <v>5</v>
      </c>
      <c r="AI196" s="199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8"/>
      <c r="U197" s="215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1" t="s">
        <v>578</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2">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1" t="s">
        <v>403</v>
      </c>
      <c r="E203" s="1981"/>
      <c r="F203" s="1981"/>
      <c r="G203" s="1981"/>
      <c r="H203" s="1981"/>
      <c r="I203" s="1981"/>
      <c r="J203" s="1981"/>
      <c r="K203" s="1981"/>
      <c r="L203" s="1981"/>
      <c r="M203" s="1981"/>
      <c r="P203" s="2397">
        <f>M26</f>
        <v>1308595</v>
      </c>
      <c r="Q203" s="2398"/>
      <c r="R203" s="2398"/>
      <c r="S203" s="2398"/>
      <c r="T203" s="2398"/>
      <c r="U203" s="2398"/>
      <c r="V203" s="25"/>
      <c r="W203" s="25"/>
      <c r="X203" s="25"/>
      <c r="Y203" s="25"/>
      <c r="Z203" s="2411" t="s">
        <v>2534</v>
      </c>
      <c r="AA203" s="2411"/>
      <c r="AB203" s="2411"/>
      <c r="AC203" s="2411"/>
      <c r="AD203" s="2411"/>
      <c r="AE203" s="2411"/>
      <c r="AF203" s="241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15" t="s">
        <v>1472</v>
      </c>
      <c r="E204" s="1981"/>
      <c r="F204" s="1981"/>
      <c r="G204" s="1981"/>
      <c r="H204" s="1981"/>
      <c r="I204" s="1981"/>
      <c r="J204" s="1981"/>
      <c r="K204" s="1981"/>
      <c r="L204" s="1981"/>
      <c r="M204" s="1981"/>
      <c r="P204" s="2398">
        <f>M27</f>
        <v>4904260</v>
      </c>
      <c r="Q204" s="2398"/>
      <c r="R204" s="2398"/>
      <c r="S204" s="2398"/>
      <c r="T204" s="2398"/>
      <c r="U204" s="2398"/>
      <c r="V204" s="47"/>
      <c r="W204" s="58" t="s">
        <v>2147</v>
      </c>
      <c r="Z204" s="2411"/>
      <c r="AA204" s="2411"/>
      <c r="AB204" s="2411"/>
      <c r="AC204" s="2411"/>
      <c r="AD204" s="2411"/>
      <c r="AE204" s="2411"/>
      <c r="AF204" s="2411"/>
      <c r="AG204" s="25" t="s">
        <v>1473</v>
      </c>
      <c r="AH204" s="25"/>
      <c r="AI204" s="25"/>
      <c r="AJ204" s="25"/>
      <c r="AK204" s="25"/>
      <c r="AL204" s="25"/>
      <c r="AM204" s="25"/>
      <c r="AN204" s="25"/>
      <c r="AO204" s="25"/>
      <c r="AP204" s="1991" t="s">
        <v>706</v>
      </c>
      <c r="AQ204" s="199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2"/>
      <c r="AA205" s="2412"/>
      <c r="AB205" s="2412"/>
      <c r="AC205" s="2412"/>
      <c r="AD205" s="2412"/>
      <c r="AE205" s="2412"/>
      <c r="AF205" s="2412"/>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2">
      <c r="A207" s="25"/>
      <c r="C207" s="45"/>
      <c r="D207" s="2296" t="s">
        <v>2535</v>
      </c>
      <c r="E207" s="2296"/>
      <c r="F207" s="2296"/>
      <c r="G207" s="2296"/>
      <c r="H207" s="2296"/>
      <c r="I207" s="2296"/>
      <c r="J207" s="2296"/>
      <c r="K207" s="2296"/>
      <c r="L207" s="2296"/>
      <c r="M207" s="22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2">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2">
      <c r="C210" s="45"/>
      <c r="D210" s="2296" t="s">
        <v>1152</v>
      </c>
      <c r="E210" s="2296"/>
      <c r="F210" s="2296"/>
      <c r="G210" s="2296"/>
      <c r="H210" s="2296"/>
      <c r="I210" s="2296"/>
      <c r="J210" s="2296"/>
      <c r="K210" s="2296"/>
      <c r="L210" s="2296"/>
      <c r="M210" s="229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2">
      <c r="D213" s="2506" t="s">
        <v>626</v>
      </c>
      <c r="E213" s="2506"/>
      <c r="F213" s="2506"/>
      <c r="G213" s="2506"/>
      <c r="H213" s="2506"/>
      <c r="I213" s="2506"/>
      <c r="J213" s="2506"/>
      <c r="K213" s="2506"/>
      <c r="L213" s="2506"/>
      <c r="M213" s="2506"/>
      <c r="N213" s="2506"/>
      <c r="O213" s="2506"/>
      <c r="P213" s="2506"/>
      <c r="Q213" s="2506"/>
      <c r="R213" s="2506"/>
      <c r="S213" s="2506"/>
      <c r="T213" s="2506"/>
      <c r="U213" s="2506"/>
      <c r="V213" s="2506"/>
      <c r="W213" s="2506"/>
      <c r="X213" s="2506"/>
      <c r="Y213" s="2506"/>
      <c r="Z213" s="2506"/>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2">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6"/>
      <c r="AC214" s="2486"/>
      <c r="AD214" s="2486"/>
      <c r="AE214" s="2486"/>
      <c r="AF214" s="2486"/>
      <c r="AG214" s="2486"/>
      <c r="AH214" s="2486"/>
      <c r="AI214" s="2486"/>
      <c r="AJ214" s="2486"/>
      <c r="AK214" s="2486"/>
      <c r="AL214" s="2486"/>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86"/>
      <c r="AC215" s="2486"/>
      <c r="AD215" s="2486"/>
      <c r="AE215" s="2486"/>
      <c r="AF215" s="2486"/>
      <c r="AG215" s="2486"/>
      <c r="AH215" s="2486"/>
      <c r="AI215" s="2486"/>
      <c r="AJ215" s="2486"/>
      <c r="AK215" s="2486"/>
      <c r="AL215" s="2486"/>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2">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2">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6" t="s">
        <v>1180</v>
      </c>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337" t="s">
        <v>573</v>
      </c>
      <c r="B221" s="2337"/>
      <c r="C221" s="2337"/>
      <c r="D221" s="2337"/>
      <c r="E221" s="2337"/>
      <c r="F221" s="2337"/>
      <c r="G221" s="2337"/>
      <c r="H221" s="2337"/>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7"/>
      <c r="AD221" s="2337"/>
      <c r="AE221" s="2337"/>
      <c r="AF221" s="2337"/>
      <c r="AG221" s="2337"/>
      <c r="AH221" s="2337"/>
      <c r="AI221" s="2337"/>
      <c r="AJ221" s="2337"/>
      <c r="AK221" s="2337"/>
      <c r="AL221" s="2337"/>
      <c r="AM221" s="144"/>
      <c r="AN221" s="144"/>
      <c r="AO221" s="144"/>
      <c r="AP221" s="144"/>
      <c r="AQ221" s="144"/>
      <c r="AR221" s="144"/>
      <c r="AS221" s="144"/>
      <c r="AT221" s="144"/>
      <c r="AU221" s="144"/>
      <c r="AV221" s="144"/>
      <c r="AW221" s="144"/>
      <c r="AX221" s="144"/>
      <c r="AY221" s="144"/>
      <c r="BA221" s="58"/>
    </row>
    <row r="222" spans="1:96" ht="13.8" thickBot="1">
      <c r="A222" s="2338"/>
      <c r="B222" s="2338"/>
      <c r="C222" s="2338"/>
      <c r="D222" s="2338"/>
      <c r="E222" s="2338"/>
      <c r="F222" s="2338"/>
      <c r="G222" s="2338"/>
      <c r="H222" s="2338"/>
      <c r="I222" s="2338"/>
      <c r="J222" s="2338"/>
      <c r="K222" s="2338"/>
      <c r="L222" s="2338"/>
      <c r="M222" s="2338"/>
      <c r="N222" s="2338"/>
      <c r="O222" s="2338"/>
      <c r="P222" s="2338"/>
      <c r="Q222" s="2338"/>
      <c r="R222" s="2338"/>
      <c r="S222" s="2338"/>
      <c r="T222" s="2338"/>
      <c r="U222" s="2338"/>
      <c r="V222" s="2338"/>
      <c r="W222" s="2338"/>
      <c r="X222" s="2338"/>
      <c r="Y222" s="2338"/>
      <c r="Z222" s="2338"/>
      <c r="AA222" s="2338"/>
      <c r="AB222" s="2338"/>
      <c r="AC222" s="2338"/>
      <c r="AD222" s="2338"/>
      <c r="AE222" s="2338"/>
      <c r="AF222" s="2338"/>
      <c r="AG222" s="2338"/>
      <c r="AH222" s="2338"/>
      <c r="AI222" s="2338"/>
      <c r="AJ222" s="2338"/>
      <c r="AK222" s="2338"/>
      <c r="AL222" s="233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626</v>
      </c>
      <c r="AJ225" s="1991"/>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578</v>
      </c>
      <c r="AJ226" s="199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578</v>
      </c>
      <c r="AJ227" s="199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626</v>
      </c>
      <c r="AJ228" s="199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402" t="str">
        <f>H16</f>
        <v>Middletown Apartments, LP</v>
      </c>
      <c r="N231" s="2402"/>
      <c r="O231" s="2402"/>
      <c r="P231" s="2402"/>
      <c r="Q231" s="2402"/>
      <c r="R231" s="2402"/>
      <c r="S231" s="2402"/>
      <c r="T231" s="2402"/>
      <c r="U231" s="2402"/>
      <c r="V231" s="2402"/>
      <c r="W231" s="2402"/>
      <c r="X231" s="2402"/>
      <c r="Y231" s="2402"/>
      <c r="Z231" s="2402"/>
      <c r="AA231" s="2402"/>
      <c r="AB231" s="2402"/>
      <c r="AC231" s="2402"/>
      <c r="AD231" s="2402"/>
      <c r="AE231" s="2402"/>
      <c r="AF231" s="2402"/>
      <c r="AG231" s="2402"/>
      <c r="AH231" s="2402"/>
      <c r="AI231" s="2402"/>
      <c r="AJ231" s="2402"/>
      <c r="AK231" s="2402"/>
      <c r="BA231" s="58"/>
      <c r="BB231" s="384"/>
      <c r="BG231" s="387"/>
      <c r="BQ231" s="61"/>
    </row>
    <row r="232" spans="1:69" ht="13.2">
      <c r="D232" s="57" t="s">
        <v>90</v>
      </c>
      <c r="E232" s="57"/>
      <c r="F232" s="57"/>
      <c r="G232" s="57"/>
      <c r="H232" s="57"/>
      <c r="I232" s="57"/>
      <c r="J232" s="57"/>
      <c r="K232" s="7"/>
      <c r="M232" s="2251" t="s">
        <v>2601</v>
      </c>
      <c r="N232" s="2296"/>
      <c r="O232" s="2296"/>
      <c r="P232" s="2296"/>
      <c r="Q232" s="2296"/>
      <c r="R232" s="2296"/>
      <c r="S232" s="2296"/>
      <c r="T232" s="2296"/>
      <c r="U232" s="2296"/>
      <c r="V232" s="2296"/>
      <c r="W232" s="2296"/>
      <c r="X232" s="2296"/>
      <c r="Y232" s="2296"/>
      <c r="Z232" s="2296"/>
      <c r="AA232" s="2296"/>
      <c r="AB232" s="2296"/>
      <c r="AC232" s="2296"/>
      <c r="AD232" s="2296"/>
      <c r="AE232" s="2296"/>
      <c r="AZ232" s="7"/>
      <c r="BA232" s="58"/>
      <c r="BB232" s="334" t="s">
        <v>571</v>
      </c>
      <c r="BG232" s="389">
        <f>IF(AND(AND($M$248="nonprofit",$M$256="nonprofit",$M$264="for profit")),2,0)</f>
        <v>0</v>
      </c>
      <c r="BQ232" s="61"/>
    </row>
    <row r="233" spans="1:69" ht="13.2">
      <c r="D233" s="57" t="s">
        <v>615</v>
      </c>
      <c r="E233" s="57"/>
      <c r="M233" s="2251" t="s">
        <v>770</v>
      </c>
      <c r="N233" s="2296"/>
      <c r="O233" s="2296"/>
      <c r="P233" s="2296"/>
      <c r="Q233" s="2296"/>
      <c r="R233" s="2296"/>
      <c r="S233" s="2296"/>
      <c r="T233" s="2296"/>
      <c r="V233" s="59" t="s">
        <v>91</v>
      </c>
      <c r="W233" s="2048" t="s">
        <v>2539</v>
      </c>
      <c r="X233" s="1992"/>
      <c r="Y233" s="57" t="s">
        <v>618</v>
      </c>
      <c r="AC233" s="2296">
        <v>92127</v>
      </c>
      <c r="AD233" s="2296"/>
      <c r="AE233" s="2296"/>
      <c r="BB233" s="334" t="s">
        <v>571</v>
      </c>
      <c r="BG233" s="389">
        <f>IF(AND(AND($M$248="nonprofit",$M$256="for profit",$M$264="nonprofit")),2,0)</f>
        <v>0</v>
      </c>
    </row>
    <row r="234" spans="1:69" ht="13.2">
      <c r="D234" s="60" t="s">
        <v>92</v>
      </c>
      <c r="E234" s="7"/>
      <c r="F234" s="7"/>
      <c r="G234" s="7"/>
      <c r="H234" s="7"/>
      <c r="I234" s="7"/>
      <c r="J234" s="7"/>
      <c r="K234" s="29"/>
      <c r="M234" s="2251" t="s">
        <v>2602</v>
      </c>
      <c r="N234" s="2296"/>
      <c r="O234" s="2296"/>
      <c r="P234" s="2296"/>
      <c r="Q234" s="2296"/>
      <c r="R234" s="2296"/>
      <c r="S234" s="2296"/>
      <c r="T234" s="2296"/>
      <c r="U234" s="2296"/>
      <c r="V234" s="2296"/>
      <c r="W234" s="2296"/>
      <c r="X234" s="2296"/>
      <c r="Y234" s="2296"/>
      <c r="Z234" s="2296"/>
      <c r="AA234" s="2296"/>
      <c r="AB234" s="2296"/>
      <c r="AC234" s="2296"/>
      <c r="AD234" s="2296"/>
      <c r="AE234" s="229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263" t="s">
        <v>2570</v>
      </c>
      <c r="N235" s="2035"/>
      <c r="O235" s="2035"/>
      <c r="P235" s="2035"/>
      <c r="Q235" s="2035"/>
      <c r="R235" s="2035"/>
      <c r="S235" s="7" t="s">
        <v>212</v>
      </c>
      <c r="T235" s="7"/>
      <c r="U235" s="1992"/>
      <c r="V235" s="1992"/>
      <c r="W235" s="1992"/>
      <c r="X235" s="7" t="s">
        <v>94</v>
      </c>
      <c r="Z235" s="2035"/>
      <c r="AA235" s="2035"/>
      <c r="AB235" s="2035"/>
      <c r="AC235" s="2035"/>
      <c r="AD235" s="2035"/>
      <c r="AE235" s="2035"/>
      <c r="BB235" s="385"/>
      <c r="BG235" s="386"/>
    </row>
    <row r="236" spans="1:69" ht="13.2">
      <c r="D236" s="60" t="s">
        <v>95</v>
      </c>
      <c r="E236" s="7"/>
      <c r="F236" s="7"/>
      <c r="M236" s="2307" t="s">
        <v>2571</v>
      </c>
      <c r="N236" s="2307"/>
      <c r="O236" s="2307"/>
      <c r="P236" s="2307"/>
      <c r="Q236" s="2307"/>
      <c r="R236" s="2307"/>
      <c r="S236" s="2307"/>
      <c r="T236" s="2307"/>
      <c r="U236" s="2307"/>
      <c r="V236" s="2307"/>
      <c r="W236" s="2307"/>
      <c r="X236" s="2307"/>
      <c r="Y236" s="2307"/>
      <c r="Z236" s="2307"/>
      <c r="AA236" s="2307"/>
      <c r="AB236" s="2307"/>
      <c r="AC236" s="2307"/>
      <c r="AD236" s="2307"/>
      <c r="AE236" s="23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1993" t="s">
        <v>563</v>
      </c>
      <c r="N237" s="1993"/>
      <c r="O237" s="1993"/>
      <c r="P237" s="1993"/>
      <c r="Q237" s="1993"/>
      <c r="R237" s="1993"/>
      <c r="S237" s="1993"/>
      <c r="T237" s="1993"/>
      <c r="U237" s="387" t="s">
        <v>975</v>
      </c>
      <c r="V237" s="325"/>
      <c r="W237" s="325"/>
      <c r="X237" s="325"/>
      <c r="Y237" s="325"/>
      <c r="Z237" s="325"/>
      <c r="AA237" s="2387"/>
      <c r="AB237" s="2387"/>
      <c r="AC237" s="2387"/>
      <c r="AD237" s="2387"/>
      <c r="AE237" s="2387"/>
      <c r="AF237" s="2387"/>
      <c r="AG237" s="2387"/>
      <c r="AH237" s="2387"/>
      <c r="AI237" s="2387"/>
      <c r="AJ237" s="2387"/>
      <c r="AK237" s="238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1380</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396" t="s">
        <v>2522</v>
      </c>
      <c r="N242" s="2386"/>
      <c r="O242" s="2386"/>
      <c r="P242" s="2386"/>
      <c r="Q242" s="2386"/>
      <c r="R242" s="2386"/>
      <c r="S242" s="2386"/>
      <c r="T242" s="2386"/>
      <c r="U242" s="2386"/>
      <c r="V242" s="2386"/>
      <c r="W242" s="2386"/>
      <c r="X242" s="2386"/>
      <c r="Y242" s="2386"/>
      <c r="Z242" s="2386"/>
      <c r="AA242" s="2386"/>
      <c r="AB242" s="2386"/>
      <c r="AC242" s="2386"/>
      <c r="AD242" s="2386"/>
      <c r="AE242" s="2386"/>
      <c r="AF242" s="2386" t="s">
        <v>2566</v>
      </c>
      <c r="AG242" s="2386"/>
      <c r="AH242" s="2386"/>
      <c r="AI242" s="2386"/>
      <c r="AJ242" s="2386"/>
      <c r="AK242" s="2386"/>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51" t="s">
        <v>2567</v>
      </c>
      <c r="N243" s="2296"/>
      <c r="O243" s="2296"/>
      <c r="P243" s="2296"/>
      <c r="Q243" s="2296"/>
      <c r="R243" s="2296"/>
      <c r="S243" s="2296"/>
      <c r="T243" s="2296"/>
      <c r="U243" s="2296"/>
      <c r="V243" s="2296"/>
      <c r="W243" s="2296"/>
      <c r="X243" s="2296"/>
      <c r="Y243" s="2296"/>
      <c r="Z243" s="2296"/>
      <c r="AA243" s="2296"/>
      <c r="AB243" s="2296"/>
      <c r="AC243" s="2296"/>
      <c r="AD243" s="2296"/>
      <c r="AE243" s="2296"/>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251" t="s">
        <v>770</v>
      </c>
      <c r="N244" s="2296"/>
      <c r="O244" s="2296"/>
      <c r="P244" s="2296"/>
      <c r="Q244" s="2296"/>
      <c r="R244" s="2296"/>
      <c r="S244" s="2296"/>
      <c r="T244" s="2296"/>
      <c r="V244" s="59" t="s">
        <v>91</v>
      </c>
      <c r="W244" s="2048" t="s">
        <v>2539</v>
      </c>
      <c r="X244" s="1992"/>
      <c r="Y244" s="57" t="s">
        <v>618</v>
      </c>
      <c r="AC244" s="2296">
        <v>92127</v>
      </c>
      <c r="AD244" s="2296"/>
      <c r="AE244" s="2296"/>
      <c r="AF244" s="58" t="s">
        <v>1377</v>
      </c>
      <c r="AG244" s="717"/>
      <c r="AH244" s="717"/>
      <c r="AI244" s="717"/>
      <c r="AJ244" s="717"/>
      <c r="AK244" s="717"/>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251" t="s">
        <v>2569</v>
      </c>
      <c r="N245" s="2296"/>
      <c r="O245" s="2296"/>
      <c r="P245" s="2296"/>
      <c r="Q245" s="2296"/>
      <c r="R245" s="2296"/>
      <c r="S245" s="2296"/>
      <c r="T245" s="2296"/>
      <c r="U245" s="2296"/>
      <c r="V245" s="2296"/>
      <c r="W245" s="2296"/>
      <c r="X245" s="2296"/>
      <c r="Y245" s="2296"/>
      <c r="Z245" s="2296"/>
      <c r="AA245" s="2296"/>
      <c r="AB245" s="2296"/>
      <c r="AC245" s="2296"/>
      <c r="AD245" s="2296"/>
      <c r="AE245" s="2296"/>
      <c r="AH245" s="2395">
        <v>5.0000000000000001E-3</v>
      </c>
      <c r="AI245" s="2395"/>
      <c r="AJ245" s="2395"/>
      <c r="AK245" s="239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263" t="s">
        <v>2570</v>
      </c>
      <c r="N246" s="2035"/>
      <c r="O246" s="2035"/>
      <c r="P246" s="2035"/>
      <c r="Q246" s="2035"/>
      <c r="R246" s="2035"/>
      <c r="S246" s="7" t="s">
        <v>212</v>
      </c>
      <c r="T246" s="7"/>
      <c r="U246" s="1992"/>
      <c r="V246" s="1992"/>
      <c r="W246" s="1992"/>
      <c r="X246" s="7" t="s">
        <v>94</v>
      </c>
      <c r="Z246" s="2035"/>
      <c r="AA246" s="2035"/>
      <c r="AB246" s="2035"/>
      <c r="AC246" s="2035"/>
      <c r="AD246" s="2035"/>
      <c r="AE246" s="2035"/>
      <c r="BB246" s="7" t="s">
        <v>178</v>
      </c>
      <c r="BG246" s="12">
        <v>3</v>
      </c>
      <c r="BH246" s="12" t="s">
        <v>569</v>
      </c>
      <c r="BN246" s="390"/>
      <c r="BO246" s="39"/>
    </row>
    <row r="247" spans="1:72" ht="13.2">
      <c r="A247" s="29"/>
      <c r="B247" s="7"/>
      <c r="C247" s="7"/>
      <c r="D247" s="60" t="s">
        <v>95</v>
      </c>
      <c r="E247" s="7"/>
      <c r="F247" s="7"/>
      <c r="M247" s="2307" t="s">
        <v>2571</v>
      </c>
      <c r="N247" s="2307"/>
      <c r="O247" s="2307"/>
      <c r="P247" s="2307"/>
      <c r="Q247" s="2307"/>
      <c r="R247" s="2307"/>
      <c r="S247" s="2307"/>
      <c r="T247" s="2307"/>
      <c r="U247" s="2307"/>
      <c r="V247" s="2307"/>
      <c r="W247" s="2307"/>
      <c r="X247" s="2307"/>
      <c r="Y247" s="2307"/>
      <c r="Z247" s="2307"/>
      <c r="AA247" s="2307"/>
      <c r="AB247" s="2307"/>
      <c r="AC247" s="2307"/>
      <c r="AD247" s="2307"/>
      <c r="AE247" s="23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1993" t="s">
        <v>567</v>
      </c>
      <c r="N248" s="1993"/>
      <c r="O248" s="1993"/>
      <c r="P248" s="1993"/>
      <c r="Q248" s="1993"/>
      <c r="R248" s="1993"/>
      <c r="S248" s="1993"/>
      <c r="T248" s="1993"/>
      <c r="U248" s="387" t="s">
        <v>975</v>
      </c>
      <c r="V248" s="325"/>
      <c r="W248" s="325"/>
      <c r="X248" s="325"/>
      <c r="Y248" s="325"/>
      <c r="Z248" s="325"/>
      <c r="AA248" s="2387"/>
      <c r="AB248" s="2387"/>
      <c r="AC248" s="2387"/>
      <c r="AD248" s="2387"/>
      <c r="AE248" s="2387"/>
      <c r="AF248" s="2387"/>
      <c r="AG248" s="2387"/>
      <c r="AH248" s="2387"/>
      <c r="AI248" s="2387"/>
      <c r="AJ248" s="2387"/>
      <c r="AK248" s="2387"/>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396" t="s">
        <v>2572</v>
      </c>
      <c r="N250" s="2386"/>
      <c r="O250" s="2386"/>
      <c r="P250" s="2386"/>
      <c r="Q250" s="2386"/>
      <c r="R250" s="2386"/>
      <c r="S250" s="2386"/>
      <c r="T250" s="2386"/>
      <c r="U250" s="2386"/>
      <c r="V250" s="2386"/>
      <c r="W250" s="2386"/>
      <c r="X250" s="2386"/>
      <c r="Y250" s="2386"/>
      <c r="Z250" s="2386"/>
      <c r="AA250" s="2386"/>
      <c r="AB250" s="2386"/>
      <c r="AC250" s="2386"/>
      <c r="AD250" s="2386"/>
      <c r="AE250" s="2386"/>
      <c r="AF250" s="2386" t="s">
        <v>2573</v>
      </c>
      <c r="AG250" s="2386"/>
      <c r="AH250" s="2386"/>
      <c r="AI250" s="2386"/>
      <c r="AJ250" s="2386"/>
      <c r="AK250" s="2386"/>
      <c r="BN250" s="61"/>
    </row>
    <row r="251" spans="1:72" ht="13.2">
      <c r="A251" s="29"/>
      <c r="B251" s="7"/>
      <c r="C251" s="7"/>
      <c r="D251" s="57" t="s">
        <v>90</v>
      </c>
      <c r="E251" s="57"/>
      <c r="F251" s="57"/>
      <c r="G251" s="57"/>
      <c r="H251" s="57"/>
      <c r="I251" s="57"/>
      <c r="J251" s="57"/>
      <c r="K251" s="57"/>
      <c r="L251" s="7"/>
      <c r="M251" s="2251" t="s">
        <v>2574</v>
      </c>
      <c r="N251" s="2296"/>
      <c r="O251" s="2296"/>
      <c r="P251" s="2296"/>
      <c r="Q251" s="2296"/>
      <c r="R251" s="2296"/>
      <c r="S251" s="2296"/>
      <c r="T251" s="2296"/>
      <c r="U251" s="2296"/>
      <c r="V251" s="2296"/>
      <c r="W251" s="2296"/>
      <c r="X251" s="2296"/>
      <c r="Y251" s="2296"/>
      <c r="Z251" s="2296"/>
      <c r="AA251" s="2296"/>
      <c r="AB251" s="2296"/>
      <c r="AC251" s="2296"/>
      <c r="AD251" s="2296"/>
      <c r="AE251" s="2296"/>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51" t="s">
        <v>2563</v>
      </c>
      <c r="N252" s="2296"/>
      <c r="O252" s="2296"/>
      <c r="P252" s="2296"/>
      <c r="Q252" s="2296"/>
      <c r="R252" s="2296"/>
      <c r="S252" s="2296"/>
      <c r="T252" s="2296"/>
      <c r="V252" s="59" t="s">
        <v>91</v>
      </c>
      <c r="W252" s="2048" t="s">
        <v>2539</v>
      </c>
      <c r="X252" s="1992"/>
      <c r="Y252" s="57" t="s">
        <v>618</v>
      </c>
      <c r="AC252" s="2296">
        <v>95762</v>
      </c>
      <c r="AD252" s="2296"/>
      <c r="AE252" s="2296"/>
      <c r="AF252" s="58" t="s">
        <v>1377</v>
      </c>
      <c r="AG252" s="717"/>
      <c r="AH252" s="717"/>
      <c r="AI252" s="717"/>
      <c r="AJ252" s="717"/>
      <c r="AK252" s="717"/>
      <c r="BN252" s="61"/>
    </row>
    <row r="253" spans="1:72" ht="13.2">
      <c r="A253" s="29"/>
      <c r="B253" s="7"/>
      <c r="C253" s="7"/>
      <c r="D253" s="60" t="s">
        <v>92</v>
      </c>
      <c r="E253" s="7"/>
      <c r="F253" s="7"/>
      <c r="G253" s="7"/>
      <c r="H253" s="7"/>
      <c r="I253" s="7"/>
      <c r="J253" s="7"/>
      <c r="K253" s="7"/>
      <c r="L253" s="29"/>
      <c r="M253" s="2251" t="s">
        <v>2564</v>
      </c>
      <c r="N253" s="2296"/>
      <c r="O253" s="2296"/>
      <c r="P253" s="2296"/>
      <c r="Q253" s="2296"/>
      <c r="R253" s="2296"/>
      <c r="S253" s="2296"/>
      <c r="T253" s="2296"/>
      <c r="U253" s="2296"/>
      <c r="V253" s="2296"/>
      <c r="W253" s="2296"/>
      <c r="X253" s="2296"/>
      <c r="Y253" s="2296"/>
      <c r="Z253" s="2296"/>
      <c r="AA253" s="2296"/>
      <c r="AB253" s="2296"/>
      <c r="AC253" s="2296"/>
      <c r="AD253" s="2296"/>
      <c r="AE253" s="2296"/>
      <c r="AF253" s="717"/>
      <c r="AG253" s="717"/>
      <c r="AH253" s="2395">
        <v>5.0000000000000001E-3</v>
      </c>
      <c r="AI253" s="2395"/>
      <c r="AJ253" s="2395"/>
      <c r="AK253" s="239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63" t="s">
        <v>2575</v>
      </c>
      <c r="N254" s="2035"/>
      <c r="O254" s="2035"/>
      <c r="P254" s="2035"/>
      <c r="Q254" s="2035"/>
      <c r="R254" s="2035"/>
      <c r="S254" s="7" t="s">
        <v>212</v>
      </c>
      <c r="T254" s="7"/>
      <c r="U254" s="1992"/>
      <c r="V254" s="1992"/>
      <c r="W254" s="1992"/>
      <c r="X254" s="7" t="s">
        <v>94</v>
      </c>
      <c r="Z254" s="2035"/>
      <c r="AA254" s="2035"/>
      <c r="AB254" s="2035"/>
      <c r="AC254" s="2035"/>
      <c r="AD254" s="2035"/>
      <c r="AE254" s="2035"/>
    </row>
    <row r="255" spans="1:72" ht="13.2">
      <c r="A255" s="29"/>
      <c r="B255" s="7"/>
      <c r="C255" s="7"/>
      <c r="D255" s="60" t="s">
        <v>95</v>
      </c>
      <c r="E255" s="7"/>
      <c r="F255" s="7"/>
      <c r="M255" s="2307" t="s">
        <v>2576</v>
      </c>
      <c r="N255" s="2307"/>
      <c r="O255" s="2307"/>
      <c r="P255" s="2307"/>
      <c r="Q255" s="2307"/>
      <c r="R255" s="2307"/>
      <c r="S255" s="2307"/>
      <c r="T255" s="2307"/>
      <c r="U255" s="2307"/>
      <c r="V255" s="2307"/>
      <c r="W255" s="2307"/>
      <c r="X255" s="2307"/>
      <c r="Y255" s="2307"/>
      <c r="Z255" s="2307"/>
      <c r="AA255" s="2307"/>
      <c r="AB255" s="2307"/>
      <c r="AC255" s="2307"/>
      <c r="AD255" s="2307"/>
      <c r="AE255" s="23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1993" t="s">
        <v>569</v>
      </c>
      <c r="N256" s="1993"/>
      <c r="O256" s="1993"/>
      <c r="P256" s="1993"/>
      <c r="Q256" s="1993"/>
      <c r="R256" s="1993"/>
      <c r="S256" s="1993"/>
      <c r="T256" s="1993"/>
      <c r="U256" s="387" t="s">
        <v>975</v>
      </c>
      <c r="V256" s="325"/>
      <c r="W256" s="325"/>
      <c r="X256" s="325"/>
      <c r="Y256" s="325"/>
      <c r="Z256" s="325"/>
      <c r="AA256" s="2387"/>
      <c r="AB256" s="2387"/>
      <c r="AC256" s="2387"/>
      <c r="AD256" s="2387"/>
      <c r="AE256" s="2387"/>
      <c r="AF256" s="2387"/>
      <c r="AG256" s="2387"/>
      <c r="AH256" s="2387"/>
      <c r="AI256" s="2387"/>
      <c r="AJ256" s="2387"/>
      <c r="AK256" s="238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6"/>
      <c r="N258" s="2386"/>
      <c r="O258" s="2386"/>
      <c r="P258" s="2386"/>
      <c r="Q258" s="2386"/>
      <c r="R258" s="2386"/>
      <c r="S258" s="2386"/>
      <c r="T258" s="2386"/>
      <c r="U258" s="2386"/>
      <c r="V258" s="2386"/>
      <c r="W258" s="2386"/>
      <c r="X258" s="2386"/>
      <c r="Y258" s="2386"/>
      <c r="Z258" s="2386"/>
      <c r="AA258" s="2386"/>
      <c r="AB258" s="2386"/>
      <c r="AC258" s="2386"/>
      <c r="AD258" s="2386"/>
      <c r="AE258" s="2386"/>
      <c r="AF258" s="2386" t="s">
        <v>316</v>
      </c>
      <c r="AG258" s="2386"/>
      <c r="AH258" s="2386"/>
      <c r="AI258" s="2386"/>
      <c r="AJ258" s="2386"/>
      <c r="AK258" s="23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6"/>
      <c r="N259" s="2296"/>
      <c r="O259" s="2296"/>
      <c r="P259" s="2296"/>
      <c r="Q259" s="2296"/>
      <c r="R259" s="2296"/>
      <c r="S259" s="2296"/>
      <c r="T259" s="2296"/>
      <c r="U259" s="2296"/>
      <c r="V259" s="2296"/>
      <c r="W259" s="2296"/>
      <c r="X259" s="2296"/>
      <c r="Y259" s="2296"/>
      <c r="Z259" s="2296"/>
      <c r="AA259" s="2296"/>
      <c r="AB259" s="2296"/>
      <c r="AC259" s="2296"/>
      <c r="AD259" s="2296"/>
      <c r="AE259" s="2296"/>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6"/>
      <c r="N260" s="2296"/>
      <c r="O260" s="2296"/>
      <c r="P260" s="2296"/>
      <c r="Q260" s="2296"/>
      <c r="R260" s="2296"/>
      <c r="S260" s="2296"/>
      <c r="T260" s="2296"/>
      <c r="V260" s="59" t="s">
        <v>91</v>
      </c>
      <c r="W260" s="1992"/>
      <c r="X260" s="1992"/>
      <c r="Y260" s="57" t="s">
        <v>618</v>
      </c>
      <c r="AC260" s="2296"/>
      <c r="AD260" s="2296"/>
      <c r="AE260" s="2296"/>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96"/>
      <c r="N261" s="2296"/>
      <c r="O261" s="2296"/>
      <c r="P261" s="2296"/>
      <c r="Q261" s="2296"/>
      <c r="R261" s="2296"/>
      <c r="S261" s="2296"/>
      <c r="T261" s="2296"/>
      <c r="U261" s="2296"/>
      <c r="V261" s="2296"/>
      <c r="W261" s="2296"/>
      <c r="X261" s="2296"/>
      <c r="Y261" s="2296"/>
      <c r="Z261" s="2296"/>
      <c r="AA261" s="2296"/>
      <c r="AB261" s="2296"/>
      <c r="AC261" s="2296"/>
      <c r="AD261" s="2296"/>
      <c r="AE261" s="2296"/>
      <c r="AF261" s="717"/>
      <c r="AG261" s="717"/>
      <c r="AH261" s="2395"/>
      <c r="AI261" s="2395"/>
      <c r="AJ261" s="2395"/>
      <c r="AK261" s="239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5"/>
      <c r="N262" s="2035"/>
      <c r="O262" s="2035"/>
      <c r="P262" s="2035"/>
      <c r="Q262" s="2035"/>
      <c r="R262" s="2035"/>
      <c r="S262" s="7" t="s">
        <v>212</v>
      </c>
      <c r="T262" s="7"/>
      <c r="U262" s="1992"/>
      <c r="V262" s="1992"/>
      <c r="W262" s="1992"/>
      <c r="X262" s="7" t="s">
        <v>94</v>
      </c>
      <c r="Z262" s="2035"/>
      <c r="AA262" s="2035"/>
      <c r="AB262" s="2035"/>
      <c r="AC262" s="2035"/>
      <c r="AD262" s="2035"/>
      <c r="AE262" s="2035"/>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07"/>
      <c r="N263" s="2307"/>
      <c r="O263" s="2307"/>
      <c r="P263" s="2307"/>
      <c r="Q263" s="2307"/>
      <c r="R263" s="2307"/>
      <c r="S263" s="2307"/>
      <c r="T263" s="2307"/>
      <c r="U263" s="2307"/>
      <c r="V263" s="2307"/>
      <c r="W263" s="2307"/>
      <c r="X263" s="2307"/>
      <c r="Y263" s="2307"/>
      <c r="Z263" s="2307"/>
      <c r="AA263" s="2416"/>
      <c r="AB263" s="2416"/>
      <c r="AC263" s="2416"/>
      <c r="AD263" s="2416"/>
      <c r="AE263" s="241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1993" t="s">
        <v>316</v>
      </c>
      <c r="N264" s="1993"/>
      <c r="O264" s="1993"/>
      <c r="P264" s="1993"/>
      <c r="Q264" s="1993"/>
      <c r="R264" s="1993"/>
      <c r="S264" s="1993"/>
      <c r="T264" s="1993"/>
      <c r="U264" s="387" t="s">
        <v>975</v>
      </c>
      <c r="V264" s="325"/>
      <c r="W264" s="325"/>
      <c r="X264" s="325"/>
      <c r="Y264" s="325"/>
      <c r="Z264" s="325"/>
      <c r="AA264" s="2400"/>
      <c r="AB264" s="2400"/>
      <c r="AC264" s="2400"/>
      <c r="AD264" s="2400"/>
      <c r="AE264" s="2400"/>
      <c r="AF264" s="2400"/>
      <c r="AG264" s="2400"/>
      <c r="AH264" s="2400"/>
      <c r="AI264" s="2400"/>
      <c r="AJ264" s="2400"/>
      <c r="AK264" s="2400"/>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388" t="str">
        <f>BO245</f>
        <v>Joint Venture</v>
      </c>
      <c r="U266" s="2388"/>
      <c r="V266" s="2388"/>
      <c r="W266" s="2388"/>
      <c r="X266" s="2388"/>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296" t="s">
        <v>286</v>
      </c>
      <c r="E269" s="2296"/>
      <c r="F269" s="2296"/>
      <c r="G269" s="2296"/>
      <c r="H269" s="2296"/>
      <c r="J269" s="12" t="s">
        <v>285</v>
      </c>
      <c r="X269" s="2276"/>
      <c r="Y269" s="2276"/>
      <c r="Z269" s="2276"/>
      <c r="AA269" s="2276"/>
      <c r="AB269" s="2276"/>
      <c r="AC269" s="2276"/>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396" t="s">
        <v>2536</v>
      </c>
      <c r="M273" s="2386"/>
      <c r="N273" s="2386"/>
      <c r="O273" s="2386"/>
      <c r="P273" s="2386"/>
      <c r="Q273" s="2386"/>
      <c r="R273" s="2386"/>
      <c r="S273" s="2386"/>
      <c r="T273" s="2386"/>
      <c r="U273" s="2386"/>
      <c r="V273" s="2386"/>
      <c r="W273" s="2386"/>
      <c r="X273" s="2386"/>
      <c r="Y273" s="2386"/>
      <c r="Z273" s="2386"/>
      <c r="AA273" s="2386"/>
      <c r="AB273" s="2386"/>
      <c r="AC273" s="2386"/>
      <c r="AD273" s="2386"/>
      <c r="AE273" s="2386"/>
      <c r="AF273" s="2386"/>
      <c r="AG273" s="2386"/>
      <c r="AH273" s="2386"/>
      <c r="AI273" s="2386"/>
      <c r="AJ273" s="238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51" t="s">
        <v>2537</v>
      </c>
      <c r="M274" s="2296"/>
      <c r="N274" s="2296"/>
      <c r="O274" s="2296"/>
      <c r="P274" s="2296"/>
      <c r="Q274" s="2296"/>
      <c r="R274" s="2296"/>
      <c r="S274" s="2296"/>
      <c r="T274" s="2296"/>
      <c r="U274" s="2296"/>
      <c r="V274" s="2296"/>
      <c r="W274" s="2296"/>
      <c r="X274" s="2296"/>
      <c r="Y274" s="2296"/>
      <c r="Z274" s="2296"/>
      <c r="AA274" s="2296"/>
      <c r="AB274" s="2296"/>
      <c r="AC274" s="2296"/>
      <c r="AD274" s="2296"/>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251" t="s">
        <v>2538</v>
      </c>
      <c r="M275" s="2296"/>
      <c r="N275" s="2296"/>
      <c r="O275" s="2296"/>
      <c r="P275" s="2296"/>
      <c r="Q275" s="2296"/>
      <c r="R275" s="2296"/>
      <c r="S275" s="2296"/>
      <c r="U275" s="59" t="s">
        <v>91</v>
      </c>
      <c r="V275" s="2048" t="s">
        <v>2539</v>
      </c>
      <c r="W275" s="1992"/>
      <c r="X275" s="57" t="s">
        <v>618</v>
      </c>
      <c r="AB275" s="2296">
        <v>95663</v>
      </c>
      <c r="AC275" s="2296"/>
      <c r="AD275" s="229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51" t="s">
        <v>2540</v>
      </c>
      <c r="M276" s="2296"/>
      <c r="N276" s="2296"/>
      <c r="O276" s="2296"/>
      <c r="P276" s="2296"/>
      <c r="Q276" s="2296"/>
      <c r="R276" s="2296"/>
      <c r="S276" s="2296"/>
      <c r="T276" s="2296"/>
      <c r="U276" s="2296"/>
      <c r="V276" s="2296"/>
      <c r="W276" s="2296"/>
      <c r="X276" s="2296"/>
      <c r="Y276" s="2296"/>
      <c r="Z276" s="2296"/>
      <c r="AA276" s="2296"/>
      <c r="AB276" s="2296"/>
      <c r="AC276" s="2296"/>
      <c r="AD276" s="229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63" t="s">
        <v>2541</v>
      </c>
      <c r="M277" s="2035"/>
      <c r="N277" s="2035"/>
      <c r="O277" s="2035"/>
      <c r="P277" s="2035"/>
      <c r="Q277" s="2035"/>
      <c r="R277" s="7" t="s">
        <v>212</v>
      </c>
      <c r="S277" s="7"/>
      <c r="T277" s="1992"/>
      <c r="U277" s="1992"/>
      <c r="V277" s="1992"/>
      <c r="W277" s="7" t="s">
        <v>94</v>
      </c>
      <c r="Y277" s="2035"/>
      <c r="Z277" s="2035"/>
      <c r="AA277" s="2035"/>
      <c r="AB277" s="2035"/>
      <c r="AC277" s="2035"/>
      <c r="AD277" s="2035"/>
      <c r="BN277" s="61"/>
    </row>
    <row r="278" spans="1:66" ht="13.2">
      <c r="D278" s="60" t="s">
        <v>95</v>
      </c>
      <c r="E278" s="7"/>
      <c r="F278" s="7"/>
      <c r="L278" s="2307" t="s">
        <v>2542</v>
      </c>
      <c r="M278" s="2307"/>
      <c r="N278" s="2307"/>
      <c r="O278" s="2307"/>
      <c r="P278" s="2307"/>
      <c r="Q278" s="2307"/>
      <c r="R278" s="2307"/>
      <c r="S278" s="2307"/>
      <c r="T278" s="2307"/>
      <c r="U278" s="2307"/>
      <c r="V278" s="2307"/>
      <c r="W278" s="2307"/>
      <c r="X278" s="2307"/>
      <c r="Y278" s="2307"/>
      <c r="Z278" s="2307"/>
      <c r="AA278" s="2307"/>
      <c r="AB278" s="2307"/>
      <c r="AC278" s="2307"/>
      <c r="AD278" s="2307"/>
      <c r="AF278" s="7"/>
      <c r="AG278" s="7"/>
      <c r="AH278" s="7"/>
      <c r="AI278" s="7"/>
      <c r="AJ278" s="7"/>
      <c r="BN278" s="61"/>
    </row>
    <row r="279" spans="1:66" ht="13.2">
      <c r="D279" s="58" t="s">
        <v>658</v>
      </c>
      <c r="E279" s="58"/>
      <c r="F279" s="58"/>
      <c r="G279" s="58"/>
      <c r="H279" s="58"/>
      <c r="I279" s="58"/>
      <c r="L279" s="2048" t="s">
        <v>2543</v>
      </c>
      <c r="M279" s="2048"/>
      <c r="N279" s="2048"/>
      <c r="O279" s="2048"/>
      <c r="P279" s="2048"/>
      <c r="Q279" s="2048"/>
      <c r="R279" s="2048"/>
      <c r="S279" s="2048"/>
      <c r="T279" s="2048"/>
      <c r="U279" s="2048"/>
      <c r="V279" s="2048"/>
      <c r="W279" s="2048"/>
      <c r="X279" s="2048"/>
      <c r="Y279" s="2048"/>
      <c r="Z279" s="2048"/>
      <c r="AA279" s="2048"/>
      <c r="AB279" s="2048"/>
      <c r="AC279" s="2048"/>
      <c r="AD279" s="2048"/>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37" t="s">
        <v>574</v>
      </c>
      <c r="B281" s="2337"/>
      <c r="C281" s="2337"/>
      <c r="D281" s="2337"/>
      <c r="E281" s="2337"/>
      <c r="F281" s="2337"/>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7"/>
      <c r="AE281" s="2337"/>
      <c r="AF281" s="2337"/>
      <c r="AG281" s="2337"/>
      <c r="AH281" s="2337"/>
      <c r="AI281" s="2337"/>
      <c r="AJ281" s="2337"/>
      <c r="AK281" s="2337"/>
      <c r="AL281" s="2337"/>
      <c r="AM281" s="144"/>
      <c r="AN281" s="144"/>
      <c r="AO281" s="144"/>
      <c r="AP281" s="144"/>
      <c r="AQ281" s="144"/>
      <c r="AR281" s="144"/>
      <c r="AS281" s="144"/>
      <c r="AT281" s="144"/>
      <c r="AU281" s="144"/>
      <c r="AV281" s="144"/>
      <c r="AW281" s="144"/>
      <c r="AX281" s="144"/>
      <c r="AY281" s="144"/>
      <c r="BN281" s="61"/>
    </row>
    <row r="282" spans="1:66" ht="13.8" thickBot="1">
      <c r="A282" s="2338"/>
      <c r="B282" s="2338"/>
      <c r="C282" s="2338"/>
      <c r="D282" s="2338"/>
      <c r="E282" s="2338"/>
      <c r="F282" s="2338"/>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8"/>
      <c r="AE282" s="2338"/>
      <c r="AF282" s="2338"/>
      <c r="AG282" s="2338"/>
      <c r="AH282" s="2338"/>
      <c r="AI282" s="2338"/>
      <c r="AJ282" s="2338"/>
      <c r="AK282" s="2338"/>
      <c r="AL282" s="233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13" t="s">
        <v>2572</v>
      </c>
      <c r="I286" s="2013"/>
      <c r="J286" s="2013"/>
      <c r="K286" s="2013"/>
      <c r="L286" s="2013"/>
      <c r="M286" s="2013"/>
      <c r="N286" s="2013"/>
      <c r="O286" s="2013"/>
      <c r="P286" s="2013"/>
      <c r="Q286" s="2013"/>
      <c r="R286" s="2013"/>
      <c r="T286" s="58" t="s">
        <v>600</v>
      </c>
      <c r="V286" s="58"/>
      <c r="W286" s="58"/>
      <c r="X286" s="58"/>
      <c r="Y286" s="58"/>
      <c r="AA286" s="2013" t="s">
        <v>2578</v>
      </c>
      <c r="AB286" s="2013"/>
      <c r="AC286" s="2013"/>
      <c r="AD286" s="2013"/>
      <c r="AE286" s="2013"/>
      <c r="AF286" s="2013"/>
      <c r="AG286" s="2013"/>
      <c r="AH286" s="2013"/>
      <c r="AI286" s="2013"/>
      <c r="AJ286" s="2013"/>
      <c r="AK286" s="2013"/>
      <c r="BN286" s="61"/>
    </row>
    <row r="287" spans="1:66" ht="13.2">
      <c r="B287" s="58" t="s">
        <v>504</v>
      </c>
      <c r="C287" s="58"/>
      <c r="D287" s="58"/>
      <c r="E287" s="58"/>
      <c r="F287" s="58"/>
      <c r="H287" s="1993" t="s">
        <v>2574</v>
      </c>
      <c r="I287" s="1993"/>
      <c r="J287" s="1993"/>
      <c r="K287" s="1993"/>
      <c r="L287" s="1993"/>
      <c r="M287" s="1993"/>
      <c r="N287" s="1993"/>
      <c r="O287" s="1993"/>
      <c r="P287" s="1993"/>
      <c r="Q287" s="1993"/>
      <c r="R287" s="1993"/>
      <c r="T287" s="58" t="s">
        <v>504</v>
      </c>
      <c r="V287" s="58"/>
      <c r="W287" s="58"/>
      <c r="X287" s="58"/>
      <c r="Y287" s="58"/>
      <c r="AA287" s="1993" t="s">
        <v>2579</v>
      </c>
      <c r="AB287" s="1993"/>
      <c r="AC287" s="1993"/>
      <c r="AD287" s="1993"/>
      <c r="AE287" s="1993"/>
      <c r="AF287" s="1993"/>
      <c r="AG287" s="1993"/>
      <c r="AH287" s="1993"/>
      <c r="AI287" s="1993"/>
      <c r="AJ287" s="1993"/>
      <c r="AK287" s="1993"/>
      <c r="BN287" s="61"/>
    </row>
    <row r="288" spans="1:66" ht="13.2">
      <c r="B288" s="58" t="s">
        <v>505</v>
      </c>
      <c r="C288" s="58"/>
      <c r="D288" s="58"/>
      <c r="E288" s="58"/>
      <c r="F288" s="58"/>
      <c r="H288" s="1993" t="s">
        <v>2577</v>
      </c>
      <c r="I288" s="1993"/>
      <c r="J288" s="1993"/>
      <c r="K288" s="1993"/>
      <c r="L288" s="1993"/>
      <c r="M288" s="1993"/>
      <c r="N288" s="1993"/>
      <c r="O288" s="1993"/>
      <c r="P288" s="1993"/>
      <c r="Q288" s="1993"/>
      <c r="R288" s="1993"/>
      <c r="T288" s="58" t="s">
        <v>79</v>
      </c>
      <c r="V288" s="58"/>
      <c r="W288" s="58"/>
      <c r="X288" s="58"/>
      <c r="Y288" s="58"/>
      <c r="AA288" s="1993" t="s">
        <v>2580</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2564</v>
      </c>
      <c r="I289" s="1993"/>
      <c r="J289" s="1993"/>
      <c r="K289" s="1993"/>
      <c r="L289" s="1993"/>
      <c r="M289" s="1993"/>
      <c r="N289" s="1993"/>
      <c r="O289" s="1993"/>
      <c r="P289" s="1993"/>
      <c r="Q289" s="1993"/>
      <c r="R289" s="1993"/>
      <c r="T289" s="58" t="s">
        <v>92</v>
      </c>
      <c r="V289" s="58"/>
      <c r="W289" s="58"/>
      <c r="X289" s="58"/>
      <c r="Y289" s="58"/>
      <c r="AA289" s="1993" t="s">
        <v>2581</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297" t="s">
        <v>2575</v>
      </c>
      <c r="I290" s="2298"/>
      <c r="J290" s="2298"/>
      <c r="K290" s="2298"/>
      <c r="L290" s="2298"/>
      <c r="M290" s="2298"/>
      <c r="N290" s="7" t="s">
        <v>212</v>
      </c>
      <c r="O290" s="7"/>
      <c r="P290" s="2296"/>
      <c r="Q290" s="2296"/>
      <c r="R290" s="2296"/>
      <c r="S290" s="58"/>
      <c r="T290" s="58" t="s">
        <v>93</v>
      </c>
      <c r="V290" s="58"/>
      <c r="W290" s="58"/>
      <c r="X290" s="58"/>
      <c r="Y290" s="58"/>
      <c r="AA290" s="2297" t="s">
        <v>2582</v>
      </c>
      <c r="AB290" s="2298"/>
      <c r="AC290" s="2298"/>
      <c r="AD290" s="2298"/>
      <c r="AE290" s="2298"/>
      <c r="AF290" s="2298"/>
      <c r="AG290" s="7" t="s">
        <v>212</v>
      </c>
      <c r="AH290" s="7"/>
      <c r="AI290" s="2296"/>
      <c r="AJ290" s="2296"/>
      <c r="AK290" s="2296"/>
      <c r="BN290" s="61"/>
    </row>
    <row r="291" spans="2:66" ht="12.75" customHeight="1">
      <c r="B291" s="58" t="s">
        <v>94</v>
      </c>
      <c r="C291" s="58"/>
      <c r="D291" s="58"/>
      <c r="E291" s="58"/>
      <c r="F291" s="58"/>
      <c r="G291" s="58"/>
      <c r="H291" s="2035"/>
      <c r="I291" s="2035"/>
      <c r="J291" s="2035"/>
      <c r="K291" s="2035"/>
      <c r="L291" s="2035"/>
      <c r="M291" s="2035"/>
      <c r="N291" s="60"/>
      <c r="O291" s="60"/>
      <c r="P291" s="62"/>
      <c r="Q291" s="62"/>
      <c r="R291" s="62"/>
      <c r="S291" s="58"/>
      <c r="T291" s="58" t="s">
        <v>94</v>
      </c>
      <c r="V291" s="58"/>
      <c r="W291" s="58"/>
      <c r="X291" s="58"/>
      <c r="Y291" s="58"/>
      <c r="AA291" s="2035"/>
      <c r="AB291" s="2035"/>
      <c r="AC291" s="2035"/>
      <c r="AD291" s="2035"/>
      <c r="AE291" s="2035"/>
      <c r="AF291" s="2035"/>
      <c r="AG291" s="60"/>
      <c r="AH291" s="60"/>
      <c r="AI291" s="62"/>
      <c r="AJ291" s="62"/>
      <c r="AK291" s="62"/>
      <c r="BN291" s="61"/>
    </row>
    <row r="292" spans="2:66" ht="12.75" customHeight="1">
      <c r="B292" s="58" t="s">
        <v>80</v>
      </c>
      <c r="C292" s="58"/>
      <c r="D292" s="58"/>
      <c r="E292" s="58"/>
      <c r="F292" s="58"/>
      <c r="G292" s="58"/>
      <c r="H292" s="1993" t="s">
        <v>2576</v>
      </c>
      <c r="I292" s="1993"/>
      <c r="J292" s="1993"/>
      <c r="K292" s="1993"/>
      <c r="L292" s="1993"/>
      <c r="M292" s="1993"/>
      <c r="N292" s="2013"/>
      <c r="O292" s="2013"/>
      <c r="P292" s="2013"/>
      <c r="Q292" s="2013"/>
      <c r="R292" s="2013"/>
      <c r="S292" s="58"/>
      <c r="T292" s="58" t="s">
        <v>80</v>
      </c>
      <c r="V292" s="58"/>
      <c r="W292" s="58"/>
      <c r="X292" s="58"/>
      <c r="Y292" s="58"/>
      <c r="AA292" s="1993" t="s">
        <v>2583</v>
      </c>
      <c r="AB292" s="1993"/>
      <c r="AC292" s="1993"/>
      <c r="AD292" s="1993"/>
      <c r="AE292" s="1993"/>
      <c r="AF292" s="1993"/>
      <c r="AG292" s="2013"/>
      <c r="AH292" s="2013"/>
      <c r="AI292" s="2013"/>
      <c r="AJ292" s="2013"/>
      <c r="AK292" s="2013"/>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13" t="s">
        <v>2584</v>
      </c>
      <c r="I294" s="2013"/>
      <c r="J294" s="2013"/>
      <c r="K294" s="2013"/>
      <c r="L294" s="2013"/>
      <c r="M294" s="2013"/>
      <c r="N294" s="2013"/>
      <c r="O294" s="2013"/>
      <c r="P294" s="2013"/>
      <c r="Q294" s="2013"/>
      <c r="R294" s="2013"/>
      <c r="T294" s="58" t="s">
        <v>374</v>
      </c>
      <c r="V294" s="58"/>
      <c r="W294" s="58"/>
      <c r="X294" s="58"/>
      <c r="Y294" s="58"/>
      <c r="AA294" s="2013" t="s">
        <v>2590</v>
      </c>
      <c r="AB294" s="2013"/>
      <c r="AC294" s="2013"/>
      <c r="AD294" s="2013"/>
      <c r="AE294" s="2013"/>
      <c r="AF294" s="2013"/>
      <c r="AG294" s="2013"/>
      <c r="AH294" s="2013"/>
      <c r="AI294" s="2013"/>
      <c r="AJ294" s="2013"/>
      <c r="AK294" s="2013"/>
      <c r="BN294" s="61"/>
    </row>
    <row r="295" spans="2:66" ht="13.2">
      <c r="B295" s="58" t="s">
        <v>504</v>
      </c>
      <c r="C295" s="58"/>
      <c r="D295" s="58"/>
      <c r="E295" s="58"/>
      <c r="F295" s="58"/>
      <c r="H295" s="1993" t="s">
        <v>2585</v>
      </c>
      <c r="I295" s="1993"/>
      <c r="J295" s="1993"/>
      <c r="K295" s="1993"/>
      <c r="L295" s="1993"/>
      <c r="M295" s="1993"/>
      <c r="N295" s="1993"/>
      <c r="O295" s="1993"/>
      <c r="P295" s="1993"/>
      <c r="Q295" s="1993"/>
      <c r="R295" s="1993"/>
      <c r="T295" s="58" t="s">
        <v>504</v>
      </c>
      <c r="V295" s="58"/>
      <c r="W295" s="58"/>
      <c r="X295" s="58"/>
      <c r="Y295" s="58"/>
      <c r="AA295" s="1993" t="s">
        <v>2574</v>
      </c>
      <c r="AB295" s="1993"/>
      <c r="AC295" s="1993"/>
      <c r="AD295" s="1993"/>
      <c r="AE295" s="1993"/>
      <c r="AF295" s="1993"/>
      <c r="AG295" s="1993"/>
      <c r="AH295" s="1993"/>
      <c r="AI295" s="1993"/>
      <c r="AJ295" s="1993"/>
      <c r="AK295" s="1993"/>
      <c r="BN295" s="61"/>
    </row>
    <row r="296" spans="2:66" ht="13.2">
      <c r="B296" s="58" t="s">
        <v>505</v>
      </c>
      <c r="C296" s="58"/>
      <c r="D296" s="58"/>
      <c r="E296" s="58"/>
      <c r="F296" s="58"/>
      <c r="H296" s="1993" t="s">
        <v>2586</v>
      </c>
      <c r="I296" s="1993"/>
      <c r="J296" s="1993"/>
      <c r="K296" s="1993"/>
      <c r="L296" s="1993"/>
      <c r="M296" s="1993"/>
      <c r="N296" s="1993"/>
      <c r="O296" s="1993"/>
      <c r="P296" s="1993"/>
      <c r="Q296" s="1993"/>
      <c r="R296" s="1993"/>
      <c r="T296" s="58" t="s">
        <v>79</v>
      </c>
      <c r="V296" s="58"/>
      <c r="W296" s="58"/>
      <c r="X296" s="58"/>
      <c r="Y296" s="58"/>
      <c r="AA296" s="1993" t="s">
        <v>2577</v>
      </c>
      <c r="AB296" s="1993"/>
      <c r="AC296" s="1993"/>
      <c r="AD296" s="1993"/>
      <c r="AE296" s="1993"/>
      <c r="AF296" s="1993"/>
      <c r="AG296" s="1993"/>
      <c r="AH296" s="1993"/>
      <c r="AI296" s="1993"/>
      <c r="AJ296" s="1993"/>
      <c r="AK296" s="1993"/>
      <c r="BN296" s="61"/>
    </row>
    <row r="297" spans="2:66" ht="13.2">
      <c r="B297" s="58" t="s">
        <v>92</v>
      </c>
      <c r="C297" s="58"/>
      <c r="D297" s="58"/>
      <c r="E297" s="58"/>
      <c r="F297" s="58"/>
      <c r="H297" s="1993" t="s">
        <v>2587</v>
      </c>
      <c r="I297" s="1993"/>
      <c r="J297" s="1993"/>
      <c r="K297" s="1993"/>
      <c r="L297" s="1993"/>
      <c r="M297" s="1993"/>
      <c r="N297" s="1993"/>
      <c r="O297" s="1993"/>
      <c r="P297" s="1993"/>
      <c r="Q297" s="1993"/>
      <c r="R297" s="1993"/>
      <c r="T297" s="58" t="s">
        <v>92</v>
      </c>
      <c r="V297" s="58"/>
      <c r="W297" s="58"/>
      <c r="X297" s="58"/>
      <c r="Y297" s="58"/>
      <c r="AA297" s="1993" t="s">
        <v>2564</v>
      </c>
      <c r="AB297" s="1993"/>
      <c r="AC297" s="1993"/>
      <c r="AD297" s="1993"/>
      <c r="AE297" s="1993"/>
      <c r="AF297" s="1993"/>
      <c r="AG297" s="1993"/>
      <c r="AH297" s="1993"/>
      <c r="AI297" s="1993"/>
      <c r="AJ297" s="1993"/>
      <c r="AK297" s="1993"/>
      <c r="BN297" s="61"/>
    </row>
    <row r="298" spans="2:66" ht="13.2">
      <c r="B298" s="58" t="s">
        <v>93</v>
      </c>
      <c r="C298" s="58"/>
      <c r="D298" s="58"/>
      <c r="E298" s="58"/>
      <c r="F298" s="58"/>
      <c r="G298" s="58"/>
      <c r="H298" s="2297" t="s">
        <v>2588</v>
      </c>
      <c r="I298" s="2298"/>
      <c r="J298" s="2298"/>
      <c r="K298" s="2298"/>
      <c r="L298" s="2298"/>
      <c r="M298" s="2298"/>
      <c r="N298" s="7" t="s">
        <v>212</v>
      </c>
      <c r="O298" s="7"/>
      <c r="P298" s="2296"/>
      <c r="Q298" s="2296"/>
      <c r="R298" s="2296"/>
      <c r="S298" s="58"/>
      <c r="T298" s="58" t="s">
        <v>93</v>
      </c>
      <c r="V298" s="58"/>
      <c r="W298" s="58"/>
      <c r="X298" s="58"/>
      <c r="Y298" s="58"/>
      <c r="AA298" s="2297" t="s">
        <v>2575</v>
      </c>
      <c r="AB298" s="2298"/>
      <c r="AC298" s="2298"/>
      <c r="AD298" s="2298"/>
      <c r="AE298" s="2298"/>
      <c r="AF298" s="2298"/>
      <c r="AG298" s="7" t="s">
        <v>212</v>
      </c>
      <c r="AH298" s="7"/>
      <c r="AI298" s="2296"/>
      <c r="AJ298" s="2296"/>
      <c r="AK298" s="2296"/>
      <c r="BN298" s="61"/>
    </row>
    <row r="299" spans="2:66" ht="12.75" customHeight="1">
      <c r="B299" s="58" t="s">
        <v>94</v>
      </c>
      <c r="C299" s="58"/>
      <c r="D299" s="58"/>
      <c r="E299" s="58"/>
      <c r="F299" s="58"/>
      <c r="G299" s="58"/>
      <c r="H299" s="2035"/>
      <c r="I299" s="2035"/>
      <c r="J299" s="2035"/>
      <c r="K299" s="2035"/>
      <c r="L299" s="2035"/>
      <c r="M299" s="2035"/>
      <c r="N299" s="60"/>
      <c r="O299" s="60"/>
      <c r="P299" s="62"/>
      <c r="Q299" s="62"/>
      <c r="R299" s="62"/>
      <c r="S299" s="58"/>
      <c r="T299" s="58" t="s">
        <v>94</v>
      </c>
      <c r="V299" s="58"/>
      <c r="W299" s="58"/>
      <c r="X299" s="58"/>
      <c r="Y299" s="58"/>
      <c r="AA299" s="2035"/>
      <c r="AB299" s="2035"/>
      <c r="AC299" s="2035"/>
      <c r="AD299" s="2035"/>
      <c r="AE299" s="2035"/>
      <c r="AF299" s="2035"/>
      <c r="AG299" s="60"/>
      <c r="AH299" s="60"/>
      <c r="AI299" s="62"/>
      <c r="AJ299" s="62"/>
      <c r="AK299" s="62"/>
      <c r="BN299" s="61"/>
    </row>
    <row r="300" spans="2:66" ht="12.75" customHeight="1">
      <c r="B300" s="58" t="s">
        <v>80</v>
      </c>
      <c r="C300" s="58"/>
      <c r="D300" s="58"/>
      <c r="E300" s="58"/>
      <c r="F300" s="58"/>
      <c r="G300" s="58"/>
      <c r="H300" s="1993" t="s">
        <v>2589</v>
      </c>
      <c r="I300" s="1993"/>
      <c r="J300" s="1993"/>
      <c r="K300" s="1993"/>
      <c r="L300" s="1993"/>
      <c r="M300" s="1993"/>
      <c r="N300" s="2013"/>
      <c r="O300" s="2013"/>
      <c r="P300" s="2013"/>
      <c r="Q300" s="2013"/>
      <c r="R300" s="2013"/>
      <c r="S300" s="58"/>
      <c r="T300" s="58" t="s">
        <v>80</v>
      </c>
      <c r="V300" s="58"/>
      <c r="W300" s="58"/>
      <c r="X300" s="58"/>
      <c r="Y300" s="58"/>
      <c r="AA300" s="1993" t="s">
        <v>2576</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t="s">
        <v>2584</v>
      </c>
      <c r="I302" s="2013"/>
      <c r="J302" s="2013"/>
      <c r="K302" s="2013"/>
      <c r="L302" s="2013"/>
      <c r="M302" s="2013"/>
      <c r="N302" s="2013"/>
      <c r="O302" s="2013"/>
      <c r="P302" s="2013"/>
      <c r="Q302" s="2013"/>
      <c r="R302" s="2013"/>
      <c r="T302" s="7" t="s">
        <v>943</v>
      </c>
      <c r="V302" s="58"/>
      <c r="W302" s="58"/>
      <c r="X302" s="58"/>
      <c r="Y302" s="58"/>
      <c r="AA302" s="2013" t="s">
        <v>2603</v>
      </c>
      <c r="AB302" s="2013"/>
      <c r="AC302" s="2013"/>
      <c r="AD302" s="2013"/>
      <c r="AE302" s="2013"/>
      <c r="AF302" s="2013"/>
      <c r="AG302" s="2013"/>
      <c r="AH302" s="2013"/>
      <c r="AI302" s="2013"/>
      <c r="AJ302" s="2013"/>
      <c r="AK302" s="2013"/>
      <c r="BN302" s="61"/>
    </row>
    <row r="303" spans="2:66" ht="13.2">
      <c r="B303" s="58" t="s">
        <v>504</v>
      </c>
      <c r="C303" s="58"/>
      <c r="D303" s="58"/>
      <c r="E303" s="58"/>
      <c r="F303" s="58"/>
      <c r="H303" s="1993" t="s">
        <v>2585</v>
      </c>
      <c r="I303" s="1993"/>
      <c r="J303" s="1993"/>
      <c r="K303" s="1993"/>
      <c r="L303" s="1993"/>
      <c r="M303" s="1993"/>
      <c r="N303" s="1993"/>
      <c r="O303" s="1993"/>
      <c r="P303" s="1993"/>
      <c r="Q303" s="1993"/>
      <c r="R303" s="1993"/>
      <c r="T303" s="58" t="s">
        <v>504</v>
      </c>
      <c r="V303" s="58"/>
      <c r="W303" s="58"/>
      <c r="X303" s="58"/>
      <c r="Y303" s="58"/>
      <c r="AA303" s="1993" t="s">
        <v>2604</v>
      </c>
      <c r="AB303" s="1993"/>
      <c r="AC303" s="1993"/>
      <c r="AD303" s="1993"/>
      <c r="AE303" s="1993"/>
      <c r="AF303" s="1993"/>
      <c r="AG303" s="1993"/>
      <c r="AH303" s="1993"/>
      <c r="AI303" s="1993"/>
      <c r="AJ303" s="1993"/>
      <c r="AK303" s="1993"/>
      <c r="BN303" s="61"/>
    </row>
    <row r="304" spans="2:66" ht="13.2">
      <c r="B304" s="58" t="s">
        <v>505</v>
      </c>
      <c r="C304" s="58"/>
      <c r="D304" s="58"/>
      <c r="E304" s="58"/>
      <c r="F304" s="58"/>
      <c r="H304" s="1993" t="s">
        <v>2586</v>
      </c>
      <c r="I304" s="1993"/>
      <c r="J304" s="1993"/>
      <c r="K304" s="1993"/>
      <c r="L304" s="1993"/>
      <c r="M304" s="1993"/>
      <c r="N304" s="1993"/>
      <c r="O304" s="1993"/>
      <c r="P304" s="1993"/>
      <c r="Q304" s="1993"/>
      <c r="R304" s="1993"/>
      <c r="T304" s="58" t="s">
        <v>79</v>
      </c>
      <c r="V304" s="58"/>
      <c r="W304" s="58"/>
      <c r="X304" s="58"/>
      <c r="Y304" s="58"/>
      <c r="AA304" s="1993" t="s">
        <v>2605</v>
      </c>
      <c r="AB304" s="1993"/>
      <c r="AC304" s="1993"/>
      <c r="AD304" s="1993"/>
      <c r="AE304" s="1993"/>
      <c r="AF304" s="1993"/>
      <c r="AG304" s="1993"/>
      <c r="AH304" s="1993"/>
      <c r="AI304" s="1993"/>
      <c r="AJ304" s="1993"/>
      <c r="AK304" s="1993"/>
      <c r="BN304" s="61"/>
    </row>
    <row r="305" spans="2:66" ht="13.2">
      <c r="B305" s="58" t="s">
        <v>92</v>
      </c>
      <c r="C305" s="58"/>
      <c r="D305" s="58"/>
      <c r="E305" s="58"/>
      <c r="F305" s="58"/>
      <c r="H305" s="1993" t="s">
        <v>2587</v>
      </c>
      <c r="I305" s="1993"/>
      <c r="J305" s="1993"/>
      <c r="K305" s="1993"/>
      <c r="L305" s="1993"/>
      <c r="M305" s="1993"/>
      <c r="N305" s="1993"/>
      <c r="O305" s="1993"/>
      <c r="P305" s="1993"/>
      <c r="Q305" s="1993"/>
      <c r="R305" s="1993"/>
      <c r="T305" s="58" t="s">
        <v>92</v>
      </c>
      <c r="V305" s="58"/>
      <c r="W305" s="58"/>
      <c r="X305" s="58"/>
      <c r="Y305" s="58"/>
      <c r="AA305" s="1993" t="s">
        <v>2606</v>
      </c>
      <c r="AB305" s="1993"/>
      <c r="AC305" s="1993"/>
      <c r="AD305" s="1993"/>
      <c r="AE305" s="1993"/>
      <c r="AF305" s="1993"/>
      <c r="AG305" s="1993"/>
      <c r="AH305" s="1993"/>
      <c r="AI305" s="1993"/>
      <c r="AJ305" s="1993"/>
      <c r="AK305" s="1993"/>
      <c r="BN305" s="61"/>
    </row>
    <row r="306" spans="2:66" ht="13.2">
      <c r="B306" s="58" t="s">
        <v>93</v>
      </c>
      <c r="C306" s="58"/>
      <c r="D306" s="58"/>
      <c r="E306" s="58"/>
      <c r="F306" s="58"/>
      <c r="G306" s="58"/>
      <c r="H306" s="2297" t="s">
        <v>2588</v>
      </c>
      <c r="I306" s="2298"/>
      <c r="J306" s="2298"/>
      <c r="K306" s="2298"/>
      <c r="L306" s="2298"/>
      <c r="M306" s="2298"/>
      <c r="N306" s="7" t="s">
        <v>212</v>
      </c>
      <c r="O306" s="7"/>
      <c r="P306" s="2296"/>
      <c r="Q306" s="2296"/>
      <c r="R306" s="2296"/>
      <c r="S306" s="58"/>
      <c r="T306" s="58" t="s">
        <v>93</v>
      </c>
      <c r="V306" s="58"/>
      <c r="W306" s="58"/>
      <c r="X306" s="58"/>
      <c r="Y306" s="58"/>
      <c r="AA306" s="2297" t="s">
        <v>2607</v>
      </c>
      <c r="AB306" s="2298"/>
      <c r="AC306" s="2298"/>
      <c r="AD306" s="2298"/>
      <c r="AE306" s="2298"/>
      <c r="AF306" s="2298"/>
      <c r="AG306" s="7" t="s">
        <v>212</v>
      </c>
      <c r="AH306" s="7"/>
      <c r="AI306" s="2296"/>
      <c r="AJ306" s="2296"/>
      <c r="AK306" s="2296"/>
      <c r="BN306" s="61"/>
    </row>
    <row r="307" spans="2:66" ht="13.2">
      <c r="B307" s="58" t="s">
        <v>94</v>
      </c>
      <c r="C307" s="58"/>
      <c r="D307" s="58"/>
      <c r="E307" s="58"/>
      <c r="F307" s="58"/>
      <c r="G307" s="58"/>
      <c r="H307" s="2035"/>
      <c r="I307" s="2035"/>
      <c r="J307" s="2035"/>
      <c r="K307" s="2035"/>
      <c r="L307" s="2035"/>
      <c r="M307" s="2035"/>
      <c r="N307" s="60"/>
      <c r="O307" s="60"/>
      <c r="P307" s="62"/>
      <c r="Q307" s="62"/>
      <c r="R307" s="62"/>
      <c r="S307" s="58"/>
      <c r="T307" s="58" t="s">
        <v>94</v>
      </c>
      <c r="V307" s="58"/>
      <c r="W307" s="58"/>
      <c r="X307" s="58"/>
      <c r="Y307" s="58"/>
      <c r="AA307" s="2035"/>
      <c r="AB307" s="2035"/>
      <c r="AC307" s="2035"/>
      <c r="AD307" s="2035"/>
      <c r="AE307" s="2035"/>
      <c r="AF307" s="2035"/>
      <c r="AG307" s="60"/>
      <c r="AH307" s="60"/>
      <c r="AI307" s="62"/>
      <c r="AJ307" s="62"/>
      <c r="AK307" s="62"/>
      <c r="BN307" s="61"/>
    </row>
    <row r="308" spans="2:66" ht="13.2">
      <c r="B308" s="58" t="s">
        <v>80</v>
      </c>
      <c r="C308" s="58"/>
      <c r="D308" s="58"/>
      <c r="E308" s="58"/>
      <c r="F308" s="58"/>
      <c r="G308" s="58"/>
      <c r="H308" s="1993" t="s">
        <v>2589</v>
      </c>
      <c r="I308" s="1993"/>
      <c r="J308" s="1993"/>
      <c r="K308" s="1993"/>
      <c r="L308" s="1993"/>
      <c r="M308" s="1993"/>
      <c r="N308" s="2013"/>
      <c r="O308" s="2013"/>
      <c r="P308" s="2013"/>
      <c r="Q308" s="2013"/>
      <c r="R308" s="2013"/>
      <c r="S308" s="58"/>
      <c r="T308" s="58" t="s">
        <v>80</v>
      </c>
      <c r="V308" s="58"/>
      <c r="W308" s="58"/>
      <c r="X308" s="58"/>
      <c r="Y308" s="58"/>
      <c r="AA308" s="1993" t="s">
        <v>2608</v>
      </c>
      <c r="AB308" s="1993"/>
      <c r="AC308" s="1993"/>
      <c r="AD308" s="1993"/>
      <c r="AE308" s="1993"/>
      <c r="AF308" s="1993"/>
      <c r="AG308" s="2013"/>
      <c r="AH308" s="2013"/>
      <c r="AI308" s="2013"/>
      <c r="AJ308" s="2013"/>
      <c r="AK308" s="2013"/>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13"/>
      <c r="I310" s="2013"/>
      <c r="J310" s="2013"/>
      <c r="K310" s="2013"/>
      <c r="L310" s="2013"/>
      <c r="M310" s="2013"/>
      <c r="N310" s="2013"/>
      <c r="O310" s="2013"/>
      <c r="P310" s="2013"/>
      <c r="Q310" s="2013"/>
      <c r="R310" s="2013"/>
      <c r="S310" s="58"/>
      <c r="T310" s="58" t="s">
        <v>375</v>
      </c>
      <c r="V310" s="58"/>
      <c r="W310" s="58"/>
      <c r="X310" s="58"/>
      <c r="Y310" s="58"/>
      <c r="AA310" s="2013" t="s">
        <v>2609</v>
      </c>
      <c r="AB310" s="2013"/>
      <c r="AC310" s="2013"/>
      <c r="AD310" s="2013"/>
      <c r="AE310" s="2013"/>
      <c r="AF310" s="2013"/>
      <c r="AG310" s="2013"/>
      <c r="AH310" s="2013"/>
      <c r="AI310" s="2013"/>
      <c r="AJ310" s="2013"/>
      <c r="AK310" s="2013"/>
      <c r="BN310" s="61"/>
    </row>
    <row r="311" spans="2:66" ht="13.2">
      <c r="B311" s="58" t="s">
        <v>504</v>
      </c>
      <c r="C311" s="58"/>
      <c r="D311" s="58"/>
      <c r="E311" s="58"/>
      <c r="F311" s="58"/>
      <c r="H311" s="1993"/>
      <c r="I311" s="1993"/>
      <c r="J311" s="1993"/>
      <c r="K311" s="1993"/>
      <c r="L311" s="1993"/>
      <c r="M311" s="1993"/>
      <c r="N311" s="1993"/>
      <c r="O311" s="1993"/>
      <c r="P311" s="1993"/>
      <c r="Q311" s="1993"/>
      <c r="R311" s="1993"/>
      <c r="S311" s="58"/>
      <c r="T311" s="58" t="s">
        <v>504</v>
      </c>
      <c r="V311" s="58"/>
      <c r="W311" s="58"/>
      <c r="X311" s="58"/>
      <c r="Y311" s="58"/>
      <c r="AA311" s="1993" t="s">
        <v>2610</v>
      </c>
      <c r="AB311" s="1993"/>
      <c r="AC311" s="1993"/>
      <c r="AD311" s="1993"/>
      <c r="AE311" s="1993"/>
      <c r="AF311" s="1993"/>
      <c r="AG311" s="1993"/>
      <c r="AH311" s="1993"/>
      <c r="AI311" s="1993"/>
      <c r="AJ311" s="1993"/>
      <c r="AK311" s="1993"/>
      <c r="BN311" s="61"/>
    </row>
    <row r="312" spans="2:66" ht="12.75" customHeight="1">
      <c r="B312" s="58" t="s">
        <v>505</v>
      </c>
      <c r="C312" s="58"/>
      <c r="D312" s="58"/>
      <c r="E312" s="58"/>
      <c r="F312" s="58"/>
      <c r="H312" s="1993"/>
      <c r="I312" s="1993"/>
      <c r="J312" s="1993"/>
      <c r="K312" s="1993"/>
      <c r="L312" s="1993"/>
      <c r="M312" s="1993"/>
      <c r="N312" s="1993"/>
      <c r="O312" s="1993"/>
      <c r="P312" s="1993"/>
      <c r="Q312" s="1993"/>
      <c r="R312" s="1993"/>
      <c r="S312" s="58"/>
      <c r="T312" s="58" t="s">
        <v>79</v>
      </c>
      <c r="V312" s="58"/>
      <c r="W312" s="58"/>
      <c r="X312" s="58"/>
      <c r="Y312" s="58"/>
      <c r="AA312" s="1993" t="s">
        <v>2611</v>
      </c>
      <c r="AB312" s="1993"/>
      <c r="AC312" s="1993"/>
      <c r="AD312" s="1993"/>
      <c r="AE312" s="1993"/>
      <c r="AF312" s="1993"/>
      <c r="AG312" s="1993"/>
      <c r="AH312" s="1993"/>
      <c r="AI312" s="1993"/>
      <c r="AJ312" s="1993"/>
      <c r="AK312" s="1993"/>
      <c r="BN312" s="61"/>
    </row>
    <row r="313" spans="2:66" ht="13.2">
      <c r="B313" s="58" t="s">
        <v>92</v>
      </c>
      <c r="C313" s="58"/>
      <c r="D313" s="58"/>
      <c r="E313" s="58"/>
      <c r="F313" s="58"/>
      <c r="H313" s="1993"/>
      <c r="I313" s="1993"/>
      <c r="J313" s="1993"/>
      <c r="K313" s="1993"/>
      <c r="L313" s="1993"/>
      <c r="M313" s="1993"/>
      <c r="N313" s="1993"/>
      <c r="O313" s="1993"/>
      <c r="P313" s="1993"/>
      <c r="Q313" s="1993"/>
      <c r="R313" s="1993"/>
      <c r="S313" s="58"/>
      <c r="T313" s="58" t="s">
        <v>92</v>
      </c>
      <c r="V313" s="58"/>
      <c r="W313" s="58"/>
      <c r="X313" s="58"/>
      <c r="Y313" s="58"/>
      <c r="AA313" s="1993" t="s">
        <v>2612</v>
      </c>
      <c r="AB313" s="1993"/>
      <c r="AC313" s="1993"/>
      <c r="AD313" s="1993"/>
      <c r="AE313" s="1993"/>
      <c r="AF313" s="1993"/>
      <c r="AG313" s="1993"/>
      <c r="AH313" s="1993"/>
      <c r="AI313" s="1993"/>
      <c r="AJ313" s="1993"/>
      <c r="AK313" s="1993"/>
      <c r="BN313" s="61"/>
    </row>
    <row r="314" spans="2:66" ht="13.2">
      <c r="B314" s="58" t="s">
        <v>93</v>
      </c>
      <c r="C314" s="58"/>
      <c r="D314" s="58"/>
      <c r="E314" s="58"/>
      <c r="F314" s="58"/>
      <c r="G314" s="58"/>
      <c r="H314" s="2298"/>
      <c r="I314" s="2298"/>
      <c r="J314" s="2298"/>
      <c r="K314" s="2298"/>
      <c r="L314" s="2298"/>
      <c r="M314" s="2298"/>
      <c r="N314" s="7" t="s">
        <v>212</v>
      </c>
      <c r="O314" s="7"/>
      <c r="P314" s="2296"/>
      <c r="Q314" s="2296"/>
      <c r="R314" s="2296"/>
      <c r="S314" s="58"/>
      <c r="T314" s="58" t="s">
        <v>93</v>
      </c>
      <c r="V314" s="58"/>
      <c r="W314" s="58"/>
      <c r="X314" s="58"/>
      <c r="Y314" s="58"/>
      <c r="AA314" s="2297" t="s">
        <v>2613</v>
      </c>
      <c r="AB314" s="2298"/>
      <c r="AC314" s="2298"/>
      <c r="AD314" s="2298"/>
      <c r="AE314" s="2298"/>
      <c r="AF314" s="2298"/>
      <c r="AG314" s="7" t="s">
        <v>212</v>
      </c>
      <c r="AH314" s="7"/>
      <c r="AI314" s="2296"/>
      <c r="AJ314" s="2296"/>
      <c r="AK314" s="2296"/>
      <c r="BN314" s="61"/>
    </row>
    <row r="315" spans="2:66" ht="13.2">
      <c r="B315" s="58" t="s">
        <v>94</v>
      </c>
      <c r="C315" s="58"/>
      <c r="D315" s="58"/>
      <c r="E315" s="58"/>
      <c r="F315" s="58"/>
      <c r="G315" s="58"/>
      <c r="H315" s="2035"/>
      <c r="I315" s="2035"/>
      <c r="J315" s="2035"/>
      <c r="K315" s="2035"/>
      <c r="L315" s="2035"/>
      <c r="M315" s="2035"/>
      <c r="N315" s="60"/>
      <c r="O315" s="60"/>
      <c r="P315" s="62"/>
      <c r="Q315" s="62"/>
      <c r="R315" s="62"/>
      <c r="S315" s="58"/>
      <c r="T315" s="58" t="s">
        <v>94</v>
      </c>
      <c r="V315" s="58"/>
      <c r="W315" s="58"/>
      <c r="X315" s="58"/>
      <c r="Y315" s="58"/>
      <c r="AA315" s="2035"/>
      <c r="AB315" s="2035"/>
      <c r="AC315" s="2035"/>
      <c r="AD315" s="2035"/>
      <c r="AE315" s="2035"/>
      <c r="AF315" s="2035"/>
      <c r="AG315" s="60"/>
      <c r="AH315" s="60"/>
      <c r="AI315" s="62"/>
      <c r="AJ315" s="62"/>
      <c r="AK315" s="62"/>
      <c r="BN315" s="61"/>
    </row>
    <row r="316" spans="2:66" ht="13.2">
      <c r="B316" s="58" t="s">
        <v>80</v>
      </c>
      <c r="C316" s="58"/>
      <c r="D316" s="58"/>
      <c r="E316" s="58"/>
      <c r="F316" s="58"/>
      <c r="G316" s="58"/>
      <c r="H316" s="1993"/>
      <c r="I316" s="1993"/>
      <c r="J316" s="1993"/>
      <c r="K316" s="1993"/>
      <c r="L316" s="1993"/>
      <c r="M316" s="1993"/>
      <c r="N316" s="2013"/>
      <c r="O316" s="2013"/>
      <c r="P316" s="2013"/>
      <c r="Q316" s="2013"/>
      <c r="R316" s="2013"/>
      <c r="S316" s="58"/>
      <c r="T316" s="58" t="s">
        <v>80</v>
      </c>
      <c r="V316" s="58"/>
      <c r="W316" s="58"/>
      <c r="X316" s="58"/>
      <c r="Y316" s="58"/>
      <c r="AA316" s="1993" t="s">
        <v>2614</v>
      </c>
      <c r="AB316" s="1993"/>
      <c r="AC316" s="1993"/>
      <c r="AD316" s="1993"/>
      <c r="AE316" s="1993"/>
      <c r="AF316" s="1993"/>
      <c r="AG316" s="2013"/>
      <c r="AH316" s="2013"/>
      <c r="AI316" s="2013"/>
      <c r="AJ316" s="2013"/>
      <c r="AK316" s="2013"/>
      <c r="BN316" s="61"/>
    </row>
    <row r="317" spans="2:66" ht="13.2">
      <c r="BN317" s="61"/>
    </row>
    <row r="318" spans="2:66" ht="13.2">
      <c r="B318" s="7" t="s">
        <v>977</v>
      </c>
      <c r="C318" s="58"/>
      <c r="D318" s="58"/>
      <c r="E318" s="58"/>
      <c r="F318" s="58"/>
      <c r="H318" s="2013" t="s">
        <v>2591</v>
      </c>
      <c r="I318" s="2013"/>
      <c r="J318" s="2013"/>
      <c r="K318" s="2013"/>
      <c r="L318" s="2013"/>
      <c r="M318" s="2013"/>
      <c r="N318" s="2013"/>
      <c r="O318" s="2013"/>
      <c r="P318" s="2013"/>
      <c r="Q318" s="2013"/>
      <c r="R318" s="2013"/>
      <c r="T318" s="58" t="s">
        <v>376</v>
      </c>
      <c r="V318" s="58"/>
      <c r="W318" s="58"/>
      <c r="X318" s="58"/>
      <c r="Y318" s="58"/>
      <c r="AA318" s="2013" t="s">
        <v>2618</v>
      </c>
      <c r="AB318" s="2013"/>
      <c r="AC318" s="2013"/>
      <c r="AD318" s="2013"/>
      <c r="AE318" s="2013"/>
      <c r="AF318" s="2013"/>
      <c r="AG318" s="2013"/>
      <c r="AH318" s="2013"/>
      <c r="AI318" s="2013"/>
      <c r="AJ318" s="2013"/>
      <c r="AK318" s="2013"/>
      <c r="BN318" s="61"/>
    </row>
    <row r="319" spans="2:66" ht="13.2">
      <c r="B319" s="58" t="s">
        <v>504</v>
      </c>
      <c r="C319" s="58"/>
      <c r="D319" s="58"/>
      <c r="E319" s="58"/>
      <c r="F319" s="58"/>
      <c r="H319" s="1993" t="s">
        <v>2537</v>
      </c>
      <c r="I319" s="1993"/>
      <c r="J319" s="1993"/>
      <c r="K319" s="1993"/>
      <c r="L319" s="1993"/>
      <c r="M319" s="1993"/>
      <c r="N319" s="1993"/>
      <c r="O319" s="1993"/>
      <c r="P319" s="1993"/>
      <c r="Q319" s="1993"/>
      <c r="R319" s="1993"/>
      <c r="T319" s="58" t="s">
        <v>504</v>
      </c>
      <c r="V319" s="58"/>
      <c r="W319" s="58"/>
      <c r="X319" s="58"/>
      <c r="Y319" s="58"/>
      <c r="AA319" s="1993" t="s">
        <v>2619</v>
      </c>
      <c r="AB319" s="1993"/>
      <c r="AC319" s="1993"/>
      <c r="AD319" s="1993"/>
      <c r="AE319" s="1993"/>
      <c r="AF319" s="1993"/>
      <c r="AG319" s="1993"/>
      <c r="AH319" s="1993"/>
      <c r="AI319" s="1993"/>
      <c r="AJ319" s="1993"/>
      <c r="AK319" s="1993"/>
      <c r="BN319" s="61"/>
    </row>
    <row r="320" spans="2:66" ht="13.2">
      <c r="B320" s="58" t="s">
        <v>505</v>
      </c>
      <c r="C320" s="58"/>
      <c r="D320" s="58"/>
      <c r="E320" s="58"/>
      <c r="F320" s="58"/>
      <c r="H320" s="1993" t="s">
        <v>2592</v>
      </c>
      <c r="I320" s="1993"/>
      <c r="J320" s="1993"/>
      <c r="K320" s="1993"/>
      <c r="L320" s="1993"/>
      <c r="M320" s="1993"/>
      <c r="N320" s="1993"/>
      <c r="O320" s="1993"/>
      <c r="P320" s="1993"/>
      <c r="Q320" s="1993"/>
      <c r="R320" s="1993"/>
      <c r="T320" s="58" t="s">
        <v>79</v>
      </c>
      <c r="V320" s="58"/>
      <c r="W320" s="58"/>
      <c r="X320" s="58"/>
      <c r="Y320" s="58"/>
      <c r="AA320" s="1993" t="s">
        <v>2620</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t="s">
        <v>2540</v>
      </c>
      <c r="I321" s="1993"/>
      <c r="J321" s="1993"/>
      <c r="K321" s="1993"/>
      <c r="L321" s="1993"/>
      <c r="M321" s="1993"/>
      <c r="N321" s="1993"/>
      <c r="O321" s="1993"/>
      <c r="P321" s="1993"/>
      <c r="Q321" s="1993"/>
      <c r="R321" s="1993"/>
      <c r="T321" s="58" t="s">
        <v>92</v>
      </c>
      <c r="V321" s="58"/>
      <c r="W321" s="58"/>
      <c r="X321" s="58"/>
      <c r="Y321" s="58"/>
      <c r="AA321" s="1993" t="s">
        <v>2615</v>
      </c>
      <c r="AB321" s="1993"/>
      <c r="AC321" s="1993"/>
      <c r="AD321" s="1993"/>
      <c r="AE321" s="1993"/>
      <c r="AF321" s="1993"/>
      <c r="AG321" s="1993"/>
      <c r="AH321" s="1993"/>
      <c r="AI321" s="1993"/>
      <c r="AJ321" s="1993"/>
      <c r="AK321" s="1993"/>
      <c r="AL321" s="39"/>
      <c r="BN321" s="61"/>
    </row>
    <row r="322" spans="1:66" ht="13.2">
      <c r="A322" s="39"/>
      <c r="B322" s="58" t="s">
        <v>93</v>
      </c>
      <c r="C322" s="58"/>
      <c r="D322" s="58"/>
      <c r="E322" s="58"/>
      <c r="F322" s="58"/>
      <c r="G322" s="58"/>
      <c r="H322" s="2297" t="s">
        <v>2541</v>
      </c>
      <c r="I322" s="2298"/>
      <c r="J322" s="2298"/>
      <c r="K322" s="2298"/>
      <c r="L322" s="2298"/>
      <c r="M322" s="2298"/>
      <c r="N322" s="7" t="s">
        <v>212</v>
      </c>
      <c r="O322" s="7"/>
      <c r="P322" s="2296"/>
      <c r="Q322" s="2296"/>
      <c r="R322" s="2296"/>
      <c r="S322" s="58"/>
      <c r="T322" s="58" t="s">
        <v>93</v>
      </c>
      <c r="V322" s="58"/>
      <c r="W322" s="58"/>
      <c r="X322" s="58"/>
      <c r="Y322" s="58"/>
      <c r="AA322" s="2297" t="s">
        <v>2616</v>
      </c>
      <c r="AB322" s="2298"/>
      <c r="AC322" s="2298"/>
      <c r="AD322" s="2298"/>
      <c r="AE322" s="2298"/>
      <c r="AF322" s="2298"/>
      <c r="AG322" s="7" t="s">
        <v>212</v>
      </c>
      <c r="AH322" s="7"/>
      <c r="AI322" s="2296"/>
      <c r="AJ322" s="2296"/>
      <c r="AK322" s="2296"/>
      <c r="AL322" s="39"/>
      <c r="BN322" s="61"/>
    </row>
    <row r="323" spans="1:66" ht="12.75" customHeight="1">
      <c r="A323" s="39"/>
      <c r="B323" s="58" t="s">
        <v>94</v>
      </c>
      <c r="C323" s="58"/>
      <c r="D323" s="58"/>
      <c r="E323" s="58"/>
      <c r="F323" s="58"/>
      <c r="G323" s="58"/>
      <c r="H323" s="2035"/>
      <c r="I323" s="2035"/>
      <c r="J323" s="2035"/>
      <c r="K323" s="2035"/>
      <c r="L323" s="2035"/>
      <c r="M323" s="2035"/>
      <c r="N323" s="60"/>
      <c r="O323" s="60"/>
      <c r="P323" s="62"/>
      <c r="Q323" s="62"/>
      <c r="R323" s="62"/>
      <c r="S323" s="58"/>
      <c r="T323" s="58" t="s">
        <v>94</v>
      </c>
      <c r="V323" s="58"/>
      <c r="W323" s="58"/>
      <c r="X323" s="58"/>
      <c r="Y323" s="58"/>
      <c r="AA323" s="2035"/>
      <c r="AB323" s="2035"/>
      <c r="AC323" s="2035"/>
      <c r="AD323" s="2035"/>
      <c r="AE323" s="2035"/>
      <c r="AF323" s="2035"/>
      <c r="AG323" s="60"/>
      <c r="AH323" s="60"/>
      <c r="AI323" s="62"/>
      <c r="AJ323" s="62"/>
      <c r="AK323" s="62"/>
      <c r="AL323" s="39"/>
    </row>
    <row r="324" spans="1:66" ht="13.2">
      <c r="A324" s="39"/>
      <c r="B324" s="58" t="s">
        <v>80</v>
      </c>
      <c r="C324" s="58"/>
      <c r="D324" s="58"/>
      <c r="E324" s="58"/>
      <c r="F324" s="58"/>
      <c r="G324" s="58"/>
      <c r="H324" s="1993" t="s">
        <v>2542</v>
      </c>
      <c r="I324" s="1993"/>
      <c r="J324" s="1993"/>
      <c r="K324" s="1993"/>
      <c r="L324" s="1993"/>
      <c r="M324" s="1993"/>
      <c r="N324" s="2013"/>
      <c r="O324" s="2013"/>
      <c r="P324" s="2013"/>
      <c r="Q324" s="2013"/>
      <c r="R324" s="2013"/>
      <c r="S324" s="58"/>
      <c r="T324" s="58" t="s">
        <v>80</v>
      </c>
      <c r="V324" s="58"/>
      <c r="W324" s="58"/>
      <c r="X324" s="58"/>
      <c r="Y324" s="58"/>
      <c r="AA324" s="1993" t="s">
        <v>2617</v>
      </c>
      <c r="AB324" s="1993"/>
      <c r="AC324" s="1993"/>
      <c r="AD324" s="1993"/>
      <c r="AE324" s="1993"/>
      <c r="AF324" s="1993"/>
      <c r="AG324" s="2013"/>
      <c r="AH324" s="2013"/>
      <c r="AI324" s="2013"/>
      <c r="AJ324" s="2013"/>
      <c r="AK324" s="2013"/>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13" t="s">
        <v>2593</v>
      </c>
      <c r="I326" s="2013"/>
      <c r="J326" s="2013"/>
      <c r="K326" s="2013"/>
      <c r="L326" s="2013"/>
      <c r="M326" s="2013"/>
      <c r="N326" s="2013"/>
      <c r="O326" s="2013"/>
      <c r="P326" s="2013"/>
      <c r="Q326" s="2013"/>
      <c r="R326" s="2013"/>
      <c r="T326" s="58" t="s">
        <v>378</v>
      </c>
      <c r="V326" s="58"/>
      <c r="W326" s="58"/>
      <c r="X326" s="58"/>
      <c r="Y326" s="58"/>
      <c r="AA326" s="2013"/>
      <c r="AB326" s="2013"/>
      <c r="AC326" s="2013"/>
      <c r="AD326" s="2013"/>
      <c r="AE326" s="2013"/>
      <c r="AF326" s="2013"/>
      <c r="AG326" s="2013"/>
      <c r="AH326" s="2013"/>
      <c r="AI326" s="2013"/>
      <c r="AJ326" s="2013"/>
      <c r="AK326" s="2013"/>
      <c r="AL326" s="39"/>
    </row>
    <row r="327" spans="1:66" ht="13.2">
      <c r="A327" s="39"/>
      <c r="B327" s="58" t="s">
        <v>504</v>
      </c>
      <c r="C327" s="58"/>
      <c r="D327" s="58"/>
      <c r="E327" s="58"/>
      <c r="F327" s="58"/>
      <c r="H327" s="1993" t="s">
        <v>2594</v>
      </c>
      <c r="I327" s="1993"/>
      <c r="J327" s="1993"/>
      <c r="K327" s="1993"/>
      <c r="L327" s="1993"/>
      <c r="M327" s="1993"/>
      <c r="N327" s="1993"/>
      <c r="O327" s="1993"/>
      <c r="P327" s="1993"/>
      <c r="Q327" s="1993"/>
      <c r="R327" s="1993"/>
      <c r="T327" s="58" t="s">
        <v>504</v>
      </c>
      <c r="V327" s="58"/>
      <c r="W327" s="58"/>
      <c r="X327" s="58"/>
      <c r="Y327" s="58"/>
      <c r="AA327" s="1993"/>
      <c r="AB327" s="1993"/>
      <c r="AC327" s="1993"/>
      <c r="AD327" s="1993"/>
      <c r="AE327" s="1993"/>
      <c r="AF327" s="1993"/>
      <c r="AG327" s="1993"/>
      <c r="AH327" s="1993"/>
      <c r="AI327" s="1993"/>
      <c r="AJ327" s="1993"/>
      <c r="AK327" s="1993"/>
      <c r="AL327" s="39"/>
    </row>
    <row r="328" spans="1:66" ht="13.2">
      <c r="A328" s="39"/>
      <c r="B328" s="58" t="s">
        <v>505</v>
      </c>
      <c r="C328" s="58"/>
      <c r="D328" s="58"/>
      <c r="E328" s="58"/>
      <c r="F328" s="58"/>
      <c r="H328" s="1993" t="s">
        <v>2595</v>
      </c>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3.2">
      <c r="A329" s="39"/>
      <c r="B329" s="58" t="s">
        <v>92</v>
      </c>
      <c r="C329" s="58"/>
      <c r="D329" s="58"/>
      <c r="E329" s="58"/>
      <c r="F329" s="58"/>
      <c r="H329" s="1993" t="s">
        <v>2596</v>
      </c>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7" t="s">
        <v>2621</v>
      </c>
      <c r="I330" s="2298"/>
      <c r="J330" s="2298"/>
      <c r="K330" s="2298"/>
      <c r="L330" s="2298"/>
      <c r="M330" s="2298"/>
      <c r="N330" s="7" t="s">
        <v>212</v>
      </c>
      <c r="O330" s="7"/>
      <c r="P330" s="2296"/>
      <c r="Q330" s="2296"/>
      <c r="R330" s="2296"/>
      <c r="S330" s="58"/>
      <c r="T330" s="58" t="s">
        <v>93</v>
      </c>
      <c r="V330" s="58"/>
      <c r="W330" s="58"/>
      <c r="X330" s="58"/>
      <c r="Y330" s="58"/>
      <c r="AA330" s="2298"/>
      <c r="AB330" s="2298"/>
      <c r="AC330" s="2298"/>
      <c r="AD330" s="2298"/>
      <c r="AE330" s="2298"/>
      <c r="AF330" s="2298"/>
      <c r="AG330" s="7" t="s">
        <v>212</v>
      </c>
      <c r="AH330" s="7"/>
      <c r="AI330" s="2296"/>
      <c r="AJ330" s="2296"/>
      <c r="AK330" s="2296"/>
      <c r="AL330" s="39"/>
    </row>
    <row r="331" spans="1:66" ht="13.2">
      <c r="A331" s="39"/>
      <c r="B331" s="58" t="s">
        <v>94</v>
      </c>
      <c r="C331" s="58"/>
      <c r="D331" s="58"/>
      <c r="E331" s="58"/>
      <c r="F331" s="58"/>
      <c r="G331" s="58"/>
      <c r="H331" s="2035"/>
      <c r="I331" s="2035"/>
      <c r="J331" s="2035"/>
      <c r="K331" s="2035"/>
      <c r="L331" s="2035"/>
      <c r="M331" s="2035"/>
      <c r="N331" s="60"/>
      <c r="O331" s="60"/>
      <c r="P331" s="62"/>
      <c r="Q331" s="62"/>
      <c r="R331" s="62"/>
      <c r="S331" s="58"/>
      <c r="T331" s="58" t="s">
        <v>94</v>
      </c>
      <c r="V331" s="58"/>
      <c r="W331" s="58"/>
      <c r="X331" s="58"/>
      <c r="Y331" s="58"/>
      <c r="AA331" s="2035"/>
      <c r="AB331" s="2035"/>
      <c r="AC331" s="2035"/>
      <c r="AD331" s="2035"/>
      <c r="AE331" s="2035"/>
      <c r="AF331" s="2035"/>
      <c r="AG331" s="60"/>
      <c r="AH331" s="60"/>
      <c r="AI331" s="62"/>
      <c r="AJ331" s="62"/>
      <c r="AK331" s="62"/>
      <c r="AL331" s="39"/>
    </row>
    <row r="332" spans="1:66" ht="13.2">
      <c r="A332" s="39"/>
      <c r="B332" s="58" t="s">
        <v>80</v>
      </c>
      <c r="C332" s="58"/>
      <c r="D332" s="58"/>
      <c r="E332" s="58"/>
      <c r="F332" s="58"/>
      <c r="G332" s="58"/>
      <c r="H332" s="1993" t="s">
        <v>2622</v>
      </c>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2623</v>
      </c>
      <c r="I334" s="2013"/>
      <c r="J334" s="2013"/>
      <c r="K334" s="2013"/>
      <c r="L334" s="2013"/>
      <c r="M334" s="2013"/>
      <c r="N334" s="2013"/>
      <c r="O334" s="2013"/>
      <c r="P334" s="2013"/>
      <c r="Q334" s="2013"/>
      <c r="R334" s="2013"/>
      <c r="T334" s="405" t="s">
        <v>952</v>
      </c>
      <c r="V334" s="58"/>
      <c r="W334" s="58"/>
      <c r="X334" s="58"/>
      <c r="Y334" s="58"/>
      <c r="AA334" s="2251" t="s">
        <v>2544</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1993" t="s">
        <v>2624</v>
      </c>
      <c r="I335" s="1993"/>
      <c r="J335" s="1993"/>
      <c r="K335" s="1993"/>
      <c r="L335" s="1993"/>
      <c r="M335" s="1993"/>
      <c r="N335" s="1993"/>
      <c r="O335" s="1993"/>
      <c r="P335" s="1993"/>
      <c r="Q335" s="1993"/>
      <c r="R335" s="1993"/>
      <c r="T335" s="58" t="s">
        <v>504</v>
      </c>
      <c r="V335" s="58"/>
      <c r="W335" s="58"/>
      <c r="X335" s="58"/>
      <c r="Y335" s="58"/>
      <c r="AA335" s="1993"/>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2625</v>
      </c>
      <c r="I336" s="1993"/>
      <c r="J336" s="1993"/>
      <c r="K336" s="1993"/>
      <c r="L336" s="1993"/>
      <c r="M336" s="1993"/>
      <c r="N336" s="1993"/>
      <c r="O336" s="1993"/>
      <c r="P336" s="1993"/>
      <c r="Q336" s="1993"/>
      <c r="R336" s="1993"/>
      <c r="T336" s="58" t="s">
        <v>79</v>
      </c>
      <c r="V336" s="58"/>
      <c r="W336" s="58"/>
      <c r="X336" s="58"/>
      <c r="Y336" s="58"/>
      <c r="AA336" s="1993"/>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2626</v>
      </c>
      <c r="I337" s="1993"/>
      <c r="J337" s="1993"/>
      <c r="K337" s="1993"/>
      <c r="L337" s="1993"/>
      <c r="M337" s="1993"/>
      <c r="N337" s="1993"/>
      <c r="O337" s="1993"/>
      <c r="P337" s="1993"/>
      <c r="Q337" s="1993"/>
      <c r="R337" s="1993"/>
      <c r="T337" s="58" t="s">
        <v>92</v>
      </c>
      <c r="V337" s="58"/>
      <c r="W337" s="58"/>
      <c r="X337" s="58"/>
      <c r="Y337" s="58"/>
      <c r="AA337" s="1993"/>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297" t="s">
        <v>2627</v>
      </c>
      <c r="I338" s="2298"/>
      <c r="J338" s="2298"/>
      <c r="K338" s="2298"/>
      <c r="L338" s="2298"/>
      <c r="M338" s="2298"/>
      <c r="N338" s="7" t="s">
        <v>212</v>
      </c>
      <c r="O338" s="7"/>
      <c r="P338" s="2296"/>
      <c r="Q338" s="2296"/>
      <c r="R338" s="2296"/>
      <c r="S338" s="58"/>
      <c r="T338" s="58" t="s">
        <v>93</v>
      </c>
      <c r="V338" s="58"/>
      <c r="W338" s="58"/>
      <c r="X338" s="58"/>
      <c r="Y338" s="58"/>
      <c r="AA338" s="2298"/>
      <c r="AB338" s="2298"/>
      <c r="AC338" s="2298"/>
      <c r="AD338" s="2298"/>
      <c r="AE338" s="2298"/>
      <c r="AF338" s="2298"/>
      <c r="AG338" s="7" t="s">
        <v>212</v>
      </c>
      <c r="AH338" s="7"/>
      <c r="AI338" s="2296"/>
      <c r="AJ338" s="2296"/>
      <c r="AK338" s="2296"/>
      <c r="AL338" s="39"/>
    </row>
    <row r="339" spans="1:66" ht="13.2">
      <c r="A339" s="39"/>
      <c r="B339" s="58" t="s">
        <v>94</v>
      </c>
      <c r="C339" s="240"/>
      <c r="D339" s="240"/>
      <c r="E339" s="240"/>
      <c r="F339" s="240"/>
      <c r="G339" s="240"/>
      <c r="H339" s="2035"/>
      <c r="I339" s="2035"/>
      <c r="J339" s="2035"/>
      <c r="K339" s="2035"/>
      <c r="L339" s="2035"/>
      <c r="M339" s="2035"/>
      <c r="N339" s="60"/>
      <c r="O339" s="60"/>
      <c r="P339" s="62"/>
      <c r="Q339" s="62"/>
      <c r="R339" s="62"/>
      <c r="S339" s="58"/>
      <c r="T339" s="58" t="s">
        <v>94</v>
      </c>
      <c r="V339" s="58"/>
      <c r="W339" s="58"/>
      <c r="X339" s="58"/>
      <c r="Y339" s="58"/>
      <c r="AA339" s="2035"/>
      <c r="AB339" s="2035"/>
      <c r="AC339" s="2035"/>
      <c r="AD339" s="2035"/>
      <c r="AE339" s="2035"/>
      <c r="AF339" s="2035"/>
      <c r="AG339" s="60"/>
      <c r="AH339" s="60"/>
      <c r="AI339" s="62"/>
      <c r="AJ339" s="62"/>
      <c r="AK339" s="62"/>
      <c r="AL339" s="39"/>
    </row>
    <row r="340" spans="1:66" ht="13.2">
      <c r="A340" s="39"/>
      <c r="B340" s="58" t="s">
        <v>80</v>
      </c>
      <c r="C340" s="237"/>
      <c r="D340" s="237"/>
      <c r="E340" s="237"/>
      <c r="F340" s="237"/>
      <c r="G340" s="237"/>
      <c r="H340" s="1993" t="s">
        <v>2628</v>
      </c>
      <c r="I340" s="1993"/>
      <c r="J340" s="1993"/>
      <c r="K340" s="1993"/>
      <c r="L340" s="1993"/>
      <c r="M340" s="1993"/>
      <c r="N340" s="2013"/>
      <c r="O340" s="2013"/>
      <c r="P340" s="2013"/>
      <c r="Q340" s="2013"/>
      <c r="R340" s="2013"/>
      <c r="S340" s="58"/>
      <c r="T340" s="58" t="s">
        <v>80</v>
      </c>
      <c r="V340" s="58"/>
      <c r="W340" s="58"/>
      <c r="X340" s="58"/>
      <c r="Y340" s="58"/>
      <c r="AA340" s="1993"/>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13"/>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3.2">
      <c r="A343" s="3"/>
      <c r="B343" s="60"/>
      <c r="C343" s="60"/>
      <c r="D343" s="60"/>
      <c r="E343" s="60"/>
      <c r="F343" s="60"/>
      <c r="G343" s="3"/>
      <c r="H343" s="88"/>
      <c r="I343" s="7" t="s">
        <v>504</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706</v>
      </c>
    </row>
    <row r="344" spans="1:66" ht="13.2">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578</v>
      </c>
    </row>
    <row r="345" spans="1:66" ht="13.2">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3.2">
      <c r="A346" s="3"/>
      <c r="B346" s="60"/>
      <c r="C346" s="60"/>
      <c r="D346" s="60"/>
      <c r="E346" s="60"/>
      <c r="F346" s="60"/>
      <c r="G346" s="60"/>
      <c r="H346" s="465"/>
      <c r="I346" s="7" t="s">
        <v>93</v>
      </c>
      <c r="P346" s="2035"/>
      <c r="Q346" s="2035"/>
      <c r="R346" s="2035"/>
      <c r="S346" s="2035"/>
      <c r="T346" s="2035"/>
      <c r="U346" s="2035"/>
      <c r="V346" s="2035"/>
      <c r="W346" s="2035"/>
      <c r="X346" s="2035"/>
      <c r="Y346" s="2035"/>
      <c r="Z346" s="2035"/>
      <c r="AA346" s="7" t="s">
        <v>212</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5"/>
      <c r="Q347" s="2035"/>
      <c r="R347" s="2035"/>
      <c r="S347" s="2035"/>
      <c r="T347" s="2035"/>
      <c r="U347" s="2035"/>
      <c r="V347" s="2035"/>
      <c r="W347" s="2035"/>
      <c r="X347" s="2035"/>
      <c r="Y347" s="2035"/>
      <c r="Z347" s="2035"/>
      <c r="AF347" s="465"/>
      <c r="AG347" s="60"/>
      <c r="AH347" s="60"/>
      <c r="AI347" s="62"/>
      <c r="AJ347" s="62"/>
      <c r="AK347" s="62"/>
      <c r="AL347" s="39"/>
    </row>
    <row r="348" spans="1:66" ht="13.2">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37" t="s">
        <v>575</v>
      </c>
      <c r="B350" s="2337"/>
      <c r="C350" s="2337"/>
      <c r="D350" s="2337"/>
      <c r="E350" s="2337"/>
      <c r="F350" s="2337"/>
      <c r="G350" s="2337"/>
      <c r="H350" s="2337"/>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7"/>
      <c r="AD350" s="2337"/>
      <c r="AE350" s="2337"/>
      <c r="AF350" s="2337"/>
      <c r="AG350" s="2337"/>
      <c r="AH350" s="2337"/>
      <c r="AI350" s="2337"/>
      <c r="AJ350" s="2337"/>
      <c r="AK350" s="2337"/>
      <c r="AL350" s="2337"/>
      <c r="AM350" s="144"/>
      <c r="AN350" s="144"/>
      <c r="AO350" s="144"/>
      <c r="AP350" s="144"/>
      <c r="AQ350" s="144"/>
      <c r="AR350" s="144"/>
      <c r="AS350" s="144"/>
      <c r="AT350" s="144"/>
      <c r="AU350" s="144"/>
      <c r="AV350" s="144"/>
      <c r="AW350" s="144"/>
      <c r="AX350" s="144"/>
      <c r="AY350" s="144"/>
    </row>
    <row r="351" spans="1:66" ht="13.8" thickBot="1">
      <c r="A351" s="2338"/>
      <c r="B351" s="2338"/>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2338"/>
      <c r="AL351" s="233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1" t="s">
        <v>578</v>
      </c>
      <c r="N354" s="1991"/>
      <c r="P354" s="12" t="s">
        <v>1954</v>
      </c>
      <c r="AJ354" s="1991" t="s">
        <v>626</v>
      </c>
      <c r="AK354" s="1991"/>
    </row>
    <row r="355" spans="1:37" ht="12.75" customHeight="1">
      <c r="D355" s="58" t="s">
        <v>1943</v>
      </c>
      <c r="M355" s="1991" t="s">
        <v>626</v>
      </c>
      <c r="N355" s="1991"/>
      <c r="P355" s="58" t="s">
        <v>2146</v>
      </c>
      <c r="AJ355" s="2000"/>
      <c r="AK355" s="2000"/>
    </row>
    <row r="356" spans="1:37" ht="12.75" customHeight="1">
      <c r="D356" s="12" t="s">
        <v>745</v>
      </c>
      <c r="M356" s="1991" t="s">
        <v>626</v>
      </c>
      <c r="N356" s="1991"/>
      <c r="P356" s="717" t="s">
        <v>1953</v>
      </c>
      <c r="AJ356" s="1991" t="s">
        <v>626</v>
      </c>
      <c r="AK356" s="1991"/>
    </row>
    <row r="357" spans="1:37" ht="12.75" customHeight="1">
      <c r="D357" s="12" t="s">
        <v>746</v>
      </c>
      <c r="M357" s="1991" t="s">
        <v>626</v>
      </c>
      <c r="N357" s="199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626</v>
      </c>
      <c r="O362" s="1991"/>
      <c r="P362" s="69"/>
      <c r="Q362" s="69"/>
      <c r="R362" s="69"/>
      <c r="S362" s="69"/>
      <c r="T362" s="69"/>
      <c r="U362" s="69"/>
      <c r="V362" s="69"/>
      <c r="W362" s="69"/>
      <c r="X362" s="69"/>
      <c r="Y362" s="70"/>
      <c r="Z362" s="70"/>
      <c r="AC362" s="69"/>
      <c r="AD362" s="69"/>
      <c r="AE362" s="69"/>
    </row>
    <row r="363" spans="1:37" ht="12.75" customHeight="1">
      <c r="E363" s="12" t="s">
        <v>381</v>
      </c>
      <c r="Y363" s="1991" t="s">
        <v>626</v>
      </c>
      <c r="Z363" s="1991"/>
    </row>
    <row r="364" spans="1:37" ht="12.75" customHeight="1">
      <c r="D364" s="7" t="s">
        <v>1059</v>
      </c>
      <c r="Q364" s="2013" t="s">
        <v>626</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626</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6" t="s">
        <v>747</v>
      </c>
      <c r="F367" s="2306"/>
      <c r="G367" s="2306"/>
      <c r="H367" s="2306"/>
      <c r="I367" s="2306"/>
      <c r="J367" s="2306"/>
      <c r="K367" s="2306"/>
      <c r="L367" s="2306"/>
      <c r="M367" s="2306"/>
      <c r="N367" s="2306"/>
      <c r="O367" s="2306"/>
      <c r="P367" s="2306"/>
      <c r="Q367" s="2306"/>
      <c r="R367" s="2306"/>
      <c r="S367" s="2306"/>
      <c r="T367" s="2306"/>
      <c r="U367" s="2306"/>
      <c r="V367" s="2306"/>
      <c r="W367" s="2306"/>
      <c r="X367" s="2306"/>
      <c r="Y367" s="2306"/>
      <c r="Z367" s="2306"/>
      <c r="AA367" s="2306"/>
      <c r="AB367" s="2306"/>
      <c r="AC367" s="2306"/>
      <c r="AD367" s="2306"/>
      <c r="AE367" s="2306"/>
      <c r="AF367" s="2306"/>
      <c r="AG367" s="2306"/>
      <c r="AH367" s="2306"/>
    </row>
    <row r="368" spans="1:37" ht="12.75" customHeight="1">
      <c r="E368" s="2306"/>
      <c r="F368" s="2306"/>
      <c r="G368" s="2306"/>
      <c r="H368" s="2306"/>
      <c r="I368" s="2306"/>
      <c r="J368" s="2306"/>
      <c r="K368" s="2306"/>
      <c r="L368" s="2306"/>
      <c r="M368" s="2306"/>
      <c r="N368" s="2306"/>
      <c r="O368" s="2306"/>
      <c r="P368" s="2306"/>
      <c r="Q368" s="2306"/>
      <c r="R368" s="2306"/>
      <c r="S368" s="2306"/>
      <c r="T368" s="2306"/>
      <c r="U368" s="2306"/>
      <c r="V368" s="2306"/>
      <c r="W368" s="2306"/>
      <c r="X368" s="2306"/>
      <c r="Y368" s="2306"/>
      <c r="Z368" s="2306"/>
      <c r="AA368" s="2306"/>
      <c r="AB368" s="2306"/>
      <c r="AC368" s="2306"/>
      <c r="AD368" s="2306"/>
      <c r="AE368" s="2306"/>
      <c r="AF368" s="2306"/>
      <c r="AG368" s="2306"/>
      <c r="AH368" s="2306"/>
    </row>
    <row r="369" spans="1:36" ht="12.75" customHeight="1">
      <c r="E369" s="7" t="s">
        <v>479</v>
      </c>
      <c r="F369" s="7"/>
      <c r="G369" s="7"/>
      <c r="H369" s="7"/>
      <c r="I369" s="7"/>
      <c r="J369" s="7"/>
      <c r="K369" s="7"/>
      <c r="L369" s="7"/>
      <c r="N369" s="2303"/>
      <c r="O369" s="2303"/>
      <c r="P369" s="2303"/>
      <c r="Q369" s="2303"/>
      <c r="R369" s="7"/>
      <c r="U369" s="7" t="s">
        <v>480</v>
      </c>
      <c r="V369" s="7"/>
      <c r="W369" s="7"/>
      <c r="X369" s="7"/>
      <c r="Y369" s="7"/>
      <c r="Z369" s="7"/>
      <c r="AA369" s="7"/>
      <c r="AB369" s="7"/>
      <c r="AC369" s="2303"/>
      <c r="AD369" s="2303"/>
      <c r="AE369" s="2303"/>
      <c r="AF369" s="2303"/>
    </row>
    <row r="370" spans="1:36" ht="12.75" customHeight="1">
      <c r="E370" s="7" t="s">
        <v>481</v>
      </c>
      <c r="F370" s="7"/>
      <c r="G370" s="7"/>
      <c r="H370" s="7"/>
      <c r="I370" s="7"/>
      <c r="J370" s="7"/>
      <c r="K370" s="7"/>
      <c r="L370" s="7"/>
      <c r="N370" s="2303"/>
      <c r="O370" s="2303"/>
      <c r="P370" s="2303"/>
      <c r="Q370" s="2303"/>
      <c r="R370" s="7"/>
      <c r="U370" s="7" t="s">
        <v>0</v>
      </c>
      <c r="V370" s="7"/>
      <c r="W370" s="7"/>
      <c r="X370" s="7"/>
      <c r="Y370" s="7"/>
      <c r="Z370" s="7"/>
      <c r="AA370" s="7"/>
      <c r="AB370" s="7"/>
      <c r="AC370" s="2303"/>
      <c r="AD370" s="2303"/>
      <c r="AE370" s="2303"/>
      <c r="AF370" s="2303"/>
    </row>
    <row r="371" spans="1:36" ht="12.75" customHeight="1">
      <c r="E371" s="7" t="s">
        <v>1</v>
      </c>
      <c r="F371" s="7"/>
      <c r="G371" s="7"/>
      <c r="H371" s="7"/>
      <c r="I371" s="7"/>
      <c r="J371" s="7"/>
      <c r="K371" s="7"/>
      <c r="L371" s="7"/>
      <c r="N371" s="2303"/>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14"/>
      <c r="O372" s="2514"/>
      <c r="P372" s="2514"/>
      <c r="Q372" s="2514"/>
      <c r="R372" s="2514"/>
      <c r="S372" s="2514"/>
      <c r="T372" s="2514"/>
      <c r="U372" s="2514"/>
      <c r="V372" s="2514"/>
      <c r="W372" s="2514"/>
      <c r="X372" s="2514"/>
      <c r="Y372" s="2514"/>
      <c r="Z372" s="2514"/>
      <c r="AA372" s="2514"/>
      <c r="AB372" s="2514"/>
      <c r="AC372" s="2514"/>
      <c r="AD372" s="2514"/>
      <c r="AE372" s="2514"/>
      <c r="AF372" s="2514"/>
    </row>
    <row r="373" spans="1:36" ht="12.75" customHeight="1">
      <c r="E373" s="7"/>
      <c r="F373" s="7"/>
      <c r="G373" s="7"/>
      <c r="H373" s="7"/>
      <c r="I373" s="7"/>
      <c r="J373" s="7"/>
      <c r="K373" s="7"/>
      <c r="L373" s="7"/>
      <c r="N373" s="2515"/>
      <c r="O373" s="2515"/>
      <c r="P373" s="2515"/>
      <c r="Q373" s="2515"/>
      <c r="R373" s="2515"/>
      <c r="S373" s="2515"/>
      <c r="T373" s="2515"/>
      <c r="U373" s="2515"/>
      <c r="V373" s="2515"/>
      <c r="W373" s="2515"/>
      <c r="X373" s="2515"/>
      <c r="Y373" s="2515"/>
      <c r="Z373" s="2515"/>
      <c r="AA373" s="2515"/>
      <c r="AB373" s="2515"/>
      <c r="AC373" s="2515"/>
      <c r="AD373" s="2515"/>
      <c r="AE373" s="2515"/>
      <c r="AF373" s="2515"/>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5"/>
      <c r="T376" s="2385"/>
      <c r="U376" s="4" t="s">
        <v>315</v>
      </c>
      <c r="V376" s="2385"/>
      <c r="W376" s="2385"/>
      <c r="Y376" s="25" t="s">
        <v>313</v>
      </c>
      <c r="AA376" s="25"/>
      <c r="AB376" s="25" t="s">
        <v>314</v>
      </c>
      <c r="AD376" s="2385"/>
      <c r="AE376" s="2385"/>
      <c r="AF376" s="4" t="s">
        <v>315</v>
      </c>
      <c r="AG376" s="2385"/>
      <c r="AH376" s="2385"/>
    </row>
    <row r="377" spans="1:36" ht="12.75" customHeight="1">
      <c r="E377" s="7" t="s">
        <v>1087</v>
      </c>
      <c r="F377" s="7"/>
      <c r="G377" s="7"/>
      <c r="H377" s="7"/>
      <c r="I377" s="7"/>
      <c r="J377" s="7"/>
      <c r="K377" s="7"/>
      <c r="L377" s="7"/>
      <c r="N377" s="2385"/>
      <c r="O377" s="2385"/>
      <c r="P377" s="2385"/>
    </row>
    <row r="378" spans="1:36" ht="12.75" customHeight="1">
      <c r="E378" s="382" t="s">
        <v>1088</v>
      </c>
      <c r="F378" s="7"/>
      <c r="G378" s="7"/>
      <c r="H378" s="7"/>
      <c r="I378" s="7"/>
      <c r="J378" s="7"/>
      <c r="K378" s="7"/>
      <c r="L378" s="7"/>
      <c r="AG378" s="2302" t="s">
        <v>626</v>
      </c>
      <c r="AH378" s="2302"/>
    </row>
    <row r="379" spans="1:36" ht="12.75" customHeight="1">
      <c r="E379" s="7"/>
      <c r="F379" s="7"/>
      <c r="G379" s="7" t="s">
        <v>1109</v>
      </c>
      <c r="H379" s="7"/>
      <c r="I379" s="7"/>
      <c r="J379" s="7"/>
      <c r="K379" s="7"/>
      <c r="L379" s="7"/>
      <c r="AG379" s="2302" t="s">
        <v>626</v>
      </c>
      <c r="AH379" s="2302"/>
    </row>
    <row r="380" spans="1:36" ht="12.75" customHeight="1">
      <c r="E380" s="7"/>
      <c r="F380" s="7"/>
      <c r="G380" s="507" t="s">
        <v>1089</v>
      </c>
      <c r="H380" s="7"/>
      <c r="I380" s="7"/>
      <c r="J380" s="7"/>
      <c r="K380" s="7"/>
      <c r="L380" s="7"/>
      <c r="V380" s="1991" t="s">
        <v>626</v>
      </c>
      <c r="W380" s="1991"/>
      <c r="Y380" s="35" t="s">
        <v>1061</v>
      </c>
    </row>
    <row r="381" spans="1:36" ht="12.75" customHeight="1">
      <c r="E381" s="7" t="s">
        <v>1062</v>
      </c>
      <c r="F381" s="7"/>
      <c r="G381" s="7"/>
      <c r="H381" s="7"/>
      <c r="I381" s="7"/>
      <c r="J381" s="7"/>
      <c r="K381" s="7"/>
      <c r="L381" s="7"/>
      <c r="V381" s="1991" t="s">
        <v>626</v>
      </c>
      <c r="W381" s="1991"/>
      <c r="Y381" s="7" t="s">
        <v>1063</v>
      </c>
    </row>
    <row r="382" spans="1:36" ht="12.75" customHeight="1"/>
    <row r="383" spans="1:36" ht="12.75" customHeight="1">
      <c r="A383" s="50" t="s">
        <v>82</v>
      </c>
      <c r="B383" s="50"/>
    </row>
    <row r="384" spans="1:36" ht="12.75" customHeight="1">
      <c r="D384" s="12" t="s">
        <v>449</v>
      </c>
      <c r="J384" s="2013" t="s">
        <v>2629</v>
      </c>
      <c r="K384" s="2013"/>
      <c r="L384" s="2013"/>
      <c r="M384" s="2013"/>
      <c r="N384" s="2013"/>
      <c r="O384" s="2013"/>
      <c r="P384" s="2013"/>
      <c r="Q384" s="2013"/>
      <c r="R384" s="2013"/>
      <c r="S384" s="2013"/>
      <c r="T384" s="2013"/>
      <c r="U384" s="2013"/>
      <c r="V384" s="14" t="s">
        <v>88</v>
      </c>
      <c r="W384" s="14"/>
      <c r="X384" s="14"/>
      <c r="Y384" s="14"/>
      <c r="Z384" s="14"/>
      <c r="AA384" s="14"/>
      <c r="AB384" s="14"/>
      <c r="AC384" s="2013" t="s">
        <v>2630</v>
      </c>
      <c r="AD384" s="2013"/>
      <c r="AE384" s="2013"/>
      <c r="AF384" s="2013"/>
      <c r="AG384" s="2013"/>
      <c r="AH384" s="2013"/>
      <c r="AI384" s="2013"/>
      <c r="AJ384" s="2013"/>
    </row>
    <row r="385" spans="1:96" ht="12.75" customHeight="1">
      <c r="A385" s="717"/>
      <c r="B385" s="717"/>
      <c r="C385" s="717"/>
      <c r="D385" s="58" t="s">
        <v>1379</v>
      </c>
      <c r="E385" s="717"/>
      <c r="F385" s="717"/>
      <c r="G385" s="717"/>
      <c r="H385" s="717"/>
      <c r="I385" s="717"/>
      <c r="J385" s="1993"/>
      <c r="K385" s="1993"/>
      <c r="L385" s="1993"/>
      <c r="M385" s="1993"/>
      <c r="N385" s="1993"/>
      <c r="O385" s="1993"/>
      <c r="P385" s="1993"/>
      <c r="Q385" s="1993"/>
      <c r="R385" s="1993"/>
      <c r="S385" s="1993"/>
      <c r="T385" s="1993"/>
      <c r="U385" s="1993"/>
      <c r="V385" s="58" t="s">
        <v>1379</v>
      </c>
      <c r="W385" s="14"/>
      <c r="X385" s="14"/>
      <c r="Y385" s="14"/>
      <c r="Z385" s="14"/>
      <c r="AA385" s="14"/>
      <c r="AB385" s="14"/>
      <c r="AC385" s="2013" t="s">
        <v>2630</v>
      </c>
      <c r="AD385" s="2013"/>
      <c r="AE385" s="2013"/>
      <c r="AF385" s="2013"/>
      <c r="AG385" s="2013"/>
      <c r="AH385" s="2013"/>
      <c r="AI385" s="2013"/>
      <c r="AJ385" s="2013"/>
      <c r="AK385" s="717"/>
      <c r="AL385" s="717"/>
    </row>
    <row r="386" spans="1:96" ht="12.75" customHeight="1">
      <c r="A386" s="717"/>
      <c r="B386" s="717"/>
      <c r="C386" s="717"/>
      <c r="D386" s="58" t="s">
        <v>464</v>
      </c>
      <c r="E386" s="717"/>
      <c r="F386" s="717"/>
      <c r="G386" s="717"/>
      <c r="H386" s="717"/>
      <c r="I386" s="717"/>
      <c r="J386" s="1993"/>
      <c r="K386" s="1993"/>
      <c r="L386" s="1993"/>
      <c r="M386" s="1993"/>
      <c r="N386" s="1993"/>
      <c r="O386" s="1993"/>
      <c r="P386" s="1993"/>
      <c r="Q386" s="1993"/>
      <c r="R386" s="1993"/>
      <c r="S386" s="1993"/>
      <c r="T386" s="1993"/>
      <c r="U386" s="1993"/>
      <c r="V386" s="58" t="s">
        <v>464</v>
      </c>
      <c r="W386" s="14"/>
      <c r="X386" s="14"/>
      <c r="Y386" s="14"/>
      <c r="Z386" s="14"/>
      <c r="AA386" s="14"/>
      <c r="AB386" s="14"/>
      <c r="AC386" s="2013"/>
      <c r="AD386" s="2013"/>
      <c r="AE386" s="2013"/>
      <c r="AF386" s="2013"/>
      <c r="AG386" s="2013"/>
      <c r="AH386" s="2013"/>
      <c r="AI386" s="2013"/>
      <c r="AJ386" s="2013"/>
      <c r="AK386" s="717"/>
      <c r="AL386" s="717"/>
    </row>
    <row r="387" spans="1:96" ht="12.75" customHeight="1">
      <c r="A387" s="717"/>
      <c r="B387" s="717"/>
      <c r="C387" s="717"/>
      <c r="D387" s="479" t="s">
        <v>1375</v>
      </c>
      <c r="E387" s="717"/>
      <c r="F387" s="717"/>
      <c r="G387" s="717"/>
      <c r="H387" s="717"/>
      <c r="I387" s="88"/>
      <c r="J387" s="2158" t="s">
        <v>2631</v>
      </c>
      <c r="K387" s="2158"/>
      <c r="L387" s="2158"/>
      <c r="M387" s="2158"/>
      <c r="N387" s="2158"/>
      <c r="O387" s="2158"/>
      <c r="P387" s="2158"/>
      <c r="Q387" s="2158"/>
      <c r="R387" s="2158"/>
      <c r="S387" s="2158"/>
      <c r="T387" s="2158"/>
      <c r="U387" s="2158"/>
      <c r="V387" s="2013"/>
      <c r="W387" s="2013"/>
      <c r="X387" s="2013"/>
      <c r="Y387" s="2013"/>
      <c r="Z387" s="2013"/>
      <c r="AA387" s="2013"/>
      <c r="AB387" s="2013"/>
      <c r="AC387" s="2013"/>
      <c r="AD387" s="2013"/>
      <c r="AE387" s="2013"/>
      <c r="AF387" s="2013"/>
      <c r="AG387" s="2013"/>
      <c r="AH387" s="2013"/>
      <c r="AI387" s="2013"/>
      <c r="AJ387" s="2013"/>
      <c r="AK387" s="717"/>
      <c r="AL387" s="717"/>
    </row>
    <row r="388" spans="1:96" ht="12.75" customHeight="1">
      <c r="D388" s="12" t="s">
        <v>4</v>
      </c>
      <c r="Q388" s="2382">
        <v>36580</v>
      </c>
      <c r="R388" s="2382"/>
      <c r="S388" s="2382"/>
      <c r="T388" s="2382"/>
      <c r="U388" s="2382"/>
      <c r="V388" s="12" t="s">
        <v>318</v>
      </c>
      <c r="AI388" s="1991" t="s">
        <v>706</v>
      </c>
      <c r="AJ388" s="1991"/>
    </row>
    <row r="389" spans="1:96" ht="12.75" customHeight="1">
      <c r="D389" s="12" t="s">
        <v>5</v>
      </c>
      <c r="Q389" s="2180">
        <v>44981</v>
      </c>
      <c r="R389" s="2305"/>
      <c r="S389" s="2305"/>
      <c r="T389" s="2305"/>
      <c r="U389" s="2305"/>
      <c r="W389" s="33" t="s">
        <v>78</v>
      </c>
      <c r="AG389" s="2383"/>
      <c r="AH389" s="2383"/>
      <c r="AI389" s="2383"/>
      <c r="AJ389" s="2383"/>
    </row>
    <row r="390" spans="1:96" ht="12.75" customHeight="1">
      <c r="D390" s="12" t="s">
        <v>448</v>
      </c>
      <c r="Q390" s="2384">
        <v>820000</v>
      </c>
      <c r="R390" s="2384"/>
      <c r="S390" s="2384"/>
      <c r="T390" s="2384"/>
      <c r="U390" s="2384"/>
      <c r="V390" s="58" t="s">
        <v>1378</v>
      </c>
      <c r="AG390" s="2513"/>
      <c r="AH390" s="2513"/>
      <c r="AI390" s="2513"/>
      <c r="AJ390" s="2513"/>
    </row>
    <row r="391" spans="1:96" ht="12.75" customHeight="1">
      <c r="D391" s="12" t="s">
        <v>93</v>
      </c>
      <c r="I391" s="2298"/>
      <c r="J391" s="2298"/>
      <c r="K391" s="2298"/>
      <c r="L391" s="2298"/>
      <c r="M391" s="2298"/>
      <c r="N391" s="2298"/>
      <c r="Q391" s="57" t="s">
        <v>212</v>
      </c>
      <c r="S391" s="2381"/>
      <c r="T391" s="2381"/>
      <c r="U391" s="2381"/>
      <c r="V391" s="12" t="s">
        <v>77</v>
      </c>
      <c r="AI391" s="1991" t="s">
        <v>706</v>
      </c>
      <c r="AJ391" s="1991"/>
    </row>
    <row r="392" spans="1:96" ht="12.75" customHeight="1">
      <c r="D392" s="12" t="s">
        <v>319</v>
      </c>
      <c r="Q392" s="2164"/>
      <c r="R392" s="2164"/>
      <c r="S392" s="2164"/>
      <c r="T392" s="2164"/>
      <c r="U392" s="2164"/>
      <c r="V392" s="12" t="s">
        <v>320</v>
      </c>
      <c r="AG392" s="2383"/>
      <c r="AH392" s="2383"/>
      <c r="AI392" s="2383"/>
      <c r="AJ392" s="2383"/>
    </row>
    <row r="393" spans="1:96" ht="12.75" customHeight="1">
      <c r="D393" s="12" t="s">
        <v>321</v>
      </c>
      <c r="Q393" s="2451"/>
      <c r="R393" s="2451"/>
      <c r="S393" s="2451"/>
      <c r="T393" s="2451"/>
      <c r="U393" s="2451"/>
      <c r="V393" s="717" t="s">
        <v>1355</v>
      </c>
      <c r="AG393" s="2383"/>
      <c r="AH393" s="2383"/>
      <c r="AI393" s="2383"/>
      <c r="AJ393" s="2383"/>
    </row>
    <row r="394" spans="1:96" ht="13.2">
      <c r="D394" s="717" t="s">
        <v>1354</v>
      </c>
      <c r="V394" s="717"/>
      <c r="AG394" s="2383"/>
      <c r="AH394" s="2383"/>
      <c r="AI394" s="2383"/>
      <c r="AJ394" s="2383"/>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1972</v>
      </c>
      <c r="AG396" s="746"/>
      <c r="AH396" s="746"/>
      <c r="AI396" s="1991" t="s">
        <v>706</v>
      </c>
      <c r="AJ396" s="1991"/>
      <c r="AM396" s="39"/>
      <c r="AN396" s="39"/>
      <c r="AO396" s="39"/>
      <c r="AP396" s="39"/>
      <c r="AQ396" s="39"/>
      <c r="AR396" s="39"/>
      <c r="AS396" s="39"/>
      <c r="AT396" s="39"/>
      <c r="AU396" s="39"/>
      <c r="AV396" s="39"/>
      <c r="AW396" s="39"/>
      <c r="AX396" s="39"/>
      <c r="AY396" s="39"/>
      <c r="CR396" s="25"/>
    </row>
    <row r="397" spans="1:96" s="717" customFormat="1" ht="13.2">
      <c r="D397" s="58" t="s">
        <v>1974</v>
      </c>
      <c r="T397" s="2492"/>
      <c r="U397" s="2492"/>
      <c r="V397" s="2492"/>
      <c r="W397" s="2492"/>
      <c r="X397" s="2492"/>
      <c r="Y397" s="2492"/>
      <c r="Z397" s="2492"/>
      <c r="AA397" s="2492"/>
      <c r="AB397" s="2492"/>
      <c r="AC397" s="2492"/>
      <c r="AD397" s="2492"/>
      <c r="AE397" s="2492"/>
      <c r="AF397" s="2492"/>
      <c r="AG397" s="2492"/>
      <c r="AH397" s="2492"/>
      <c r="AI397" s="2492"/>
      <c r="AJ397" s="2492"/>
      <c r="AM397" s="39"/>
      <c r="AN397" s="39"/>
      <c r="AO397" s="39"/>
      <c r="AP397" s="39"/>
      <c r="AQ397" s="39"/>
      <c r="AR397" s="39"/>
      <c r="AS397" s="39"/>
      <c r="AT397" s="39"/>
      <c r="AU397" s="39"/>
      <c r="AV397" s="39"/>
      <c r="AW397" s="39"/>
      <c r="AX397" s="39"/>
      <c r="AY397" s="39"/>
      <c r="CR397" s="25"/>
    </row>
    <row r="398" spans="1:96" s="717" customFormat="1" ht="13.2">
      <c r="D398" s="58" t="s">
        <v>1973</v>
      </c>
      <c r="T398" s="2492"/>
      <c r="U398" s="2492"/>
      <c r="V398" s="2492"/>
      <c r="W398" s="2492"/>
      <c r="X398" s="2492"/>
      <c r="Y398" s="2492"/>
      <c r="Z398" s="2492"/>
      <c r="AA398" s="2492"/>
      <c r="AB398" s="2492"/>
      <c r="AC398" s="2492"/>
      <c r="AD398" s="2492"/>
      <c r="AE398" s="2492"/>
      <c r="AF398" s="2492"/>
      <c r="AG398" s="2492"/>
      <c r="AH398" s="2492"/>
      <c r="AI398" s="2492"/>
      <c r="AJ398" s="2492"/>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1966</v>
      </c>
      <c r="E400" s="717"/>
      <c r="F400" s="717"/>
      <c r="G400" s="717"/>
      <c r="H400" s="717"/>
      <c r="I400" s="717"/>
      <c r="J400" s="717"/>
      <c r="K400" s="717"/>
      <c r="L400" s="717"/>
      <c r="M400" s="717"/>
      <c r="N400" s="717"/>
      <c r="O400" s="717"/>
      <c r="P400" s="717"/>
      <c r="Q400" s="717"/>
      <c r="R400" s="717"/>
      <c r="S400" s="2492" t="s">
        <v>706</v>
      </c>
      <c r="T400" s="2492"/>
      <c r="U400" s="2492"/>
      <c r="V400" s="479" t="s">
        <v>1967</v>
      </c>
      <c r="W400" s="717"/>
      <c r="X400" s="717"/>
      <c r="Y400" s="717"/>
      <c r="Z400" s="717"/>
      <c r="AA400" s="717"/>
      <c r="AB400" s="39"/>
      <c r="AC400" s="39"/>
      <c r="AD400" s="39"/>
      <c r="AE400" s="39"/>
      <c r="AF400" s="39"/>
      <c r="AG400" s="2481"/>
      <c r="AH400" s="2481"/>
      <c r="AI400" s="2481"/>
      <c r="AJ400" s="2481"/>
      <c r="AK400" s="39"/>
      <c r="AL400" s="717"/>
    </row>
    <row r="401" spans="1:96" s="717" customFormat="1" ht="13.2">
      <c r="D401" s="58" t="s">
        <v>1963</v>
      </c>
      <c r="S401" s="2492" t="s">
        <v>626</v>
      </c>
      <c r="T401" s="2492"/>
      <c r="U401" s="2492"/>
      <c r="V401" s="479" t="s">
        <v>1969</v>
      </c>
      <c r="AB401" s="39"/>
      <c r="AC401" s="39"/>
      <c r="AD401" s="39"/>
      <c r="AE401" s="2485"/>
      <c r="AF401" s="2485"/>
      <c r="AG401" s="2485"/>
      <c r="AH401" s="2485"/>
      <c r="AI401" s="2485"/>
      <c r="AJ401" s="2485"/>
      <c r="AK401" s="39"/>
      <c r="AM401" s="39"/>
      <c r="AN401" s="39"/>
      <c r="AO401" s="39"/>
      <c r="AP401" s="39"/>
      <c r="AQ401" s="39"/>
      <c r="AR401" s="39"/>
      <c r="AS401" s="39"/>
      <c r="AT401" s="39"/>
      <c r="AU401" s="39"/>
      <c r="AV401" s="39"/>
      <c r="AW401" s="39"/>
      <c r="AX401" s="39"/>
      <c r="AY401" s="39"/>
      <c r="CR401" s="25"/>
    </row>
    <row r="402" spans="1:96" s="717" customFormat="1" ht="13.2">
      <c r="D402" s="58" t="s">
        <v>1965</v>
      </c>
      <c r="K402" s="2486"/>
      <c r="L402" s="2486"/>
      <c r="M402" s="2486"/>
      <c r="N402" s="2486"/>
      <c r="O402" s="2486"/>
      <c r="P402" s="2486"/>
      <c r="Q402" s="2486"/>
      <c r="R402" s="2486"/>
      <c r="S402" s="2486"/>
      <c r="T402" s="2486"/>
      <c r="U402" s="2486"/>
      <c r="V402" s="2486"/>
      <c r="W402" s="2486"/>
      <c r="X402" s="2486"/>
      <c r="Y402" s="2486"/>
      <c r="Z402" s="2486"/>
      <c r="AA402" s="2486"/>
      <c r="AB402" s="2486"/>
      <c r="AC402" s="2486"/>
      <c r="AD402" s="2486"/>
      <c r="AE402" s="2486"/>
      <c r="AF402" s="2486"/>
      <c r="AG402" s="2486"/>
      <c r="AH402" s="2486"/>
      <c r="AI402" s="2486"/>
      <c r="AJ402" s="2486"/>
      <c r="AK402" s="39"/>
      <c r="AM402" s="39"/>
      <c r="AN402" s="39"/>
      <c r="AO402" s="39"/>
      <c r="AP402" s="39"/>
      <c r="AQ402" s="39"/>
      <c r="AR402" s="39"/>
      <c r="AS402" s="39"/>
      <c r="AT402" s="39"/>
      <c r="AU402" s="39"/>
      <c r="AV402" s="39"/>
      <c r="AW402" s="39"/>
      <c r="AX402" s="39"/>
      <c r="AY402" s="39"/>
      <c r="CR402" s="25"/>
    </row>
    <row r="403" spans="1:96" s="717" customFormat="1" ht="13.2">
      <c r="D403" s="58" t="s">
        <v>1968</v>
      </c>
      <c r="K403" s="2486"/>
      <c r="L403" s="2486"/>
      <c r="M403" s="2486"/>
      <c r="N403" s="2486"/>
      <c r="O403" s="2486"/>
      <c r="P403" s="2486"/>
      <c r="Q403" s="2486"/>
      <c r="R403" s="2486"/>
      <c r="S403" s="2486"/>
      <c r="T403" s="2486"/>
      <c r="U403" s="2486"/>
      <c r="V403" s="2486"/>
      <c r="W403" s="2486"/>
      <c r="X403" s="2486"/>
      <c r="Y403" s="2486"/>
      <c r="Z403" s="2486"/>
      <c r="AA403" s="2486"/>
      <c r="AB403" s="2486"/>
      <c r="AC403" s="2486"/>
      <c r="AD403" s="2486"/>
      <c r="AE403" s="2486"/>
      <c r="AF403" s="2486"/>
      <c r="AG403" s="2486"/>
      <c r="AH403" s="2486"/>
      <c r="AI403" s="2486"/>
      <c r="AJ403" s="2486"/>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88" t="s">
        <v>1381</v>
      </c>
      <c r="T404" s="2488"/>
      <c r="U404" s="2488"/>
      <c r="V404" s="2488"/>
      <c r="W404" s="2488"/>
      <c r="X404" s="2488"/>
      <c r="Y404" s="2488"/>
      <c r="Z404" s="2488"/>
      <c r="AA404" s="2488"/>
      <c r="AB404" s="2488"/>
      <c r="AC404" s="2488"/>
      <c r="AD404" s="2488"/>
      <c r="AE404" s="2488"/>
      <c r="AF404" s="2488"/>
      <c r="AG404" s="2488"/>
      <c r="AH404" s="2488"/>
      <c r="AI404" s="2488"/>
      <c r="AJ404" s="2488"/>
      <c r="AK404" s="39"/>
      <c r="AL404" s="39"/>
      <c r="AM404" s="39"/>
      <c r="AN404" s="39"/>
      <c r="AO404" s="39"/>
      <c r="AP404" s="39"/>
      <c r="AQ404" s="39"/>
      <c r="AR404" s="39"/>
      <c r="AS404" s="39"/>
      <c r="AT404" s="39"/>
      <c r="AU404" s="39"/>
      <c r="AV404" s="39"/>
      <c r="AW404" s="39"/>
      <c r="AX404" s="39"/>
      <c r="AY404" s="39"/>
      <c r="CR404" s="25"/>
    </row>
    <row r="405" spans="1:96" s="717" customFormat="1" ht="13.2">
      <c r="D405" s="2487" t="s">
        <v>1970</v>
      </c>
      <c r="E405" s="2487"/>
      <c r="F405" s="2487"/>
      <c r="G405" s="2487"/>
      <c r="H405" s="2487"/>
      <c r="I405" s="2487"/>
      <c r="J405" s="2487"/>
      <c r="K405" s="2487"/>
      <c r="L405" s="2487"/>
      <c r="M405" s="2487"/>
      <c r="N405" s="2487"/>
      <c r="O405" s="2487"/>
      <c r="P405" s="2487"/>
      <c r="Q405" s="2487"/>
      <c r="R405" s="2487"/>
      <c r="S405" s="2487"/>
      <c r="T405" s="2487"/>
      <c r="U405" s="2487"/>
      <c r="V405" s="2487"/>
      <c r="W405" s="2487"/>
      <c r="X405" s="2487"/>
      <c r="Y405" s="2487"/>
      <c r="Z405" s="2487"/>
      <c r="AA405" s="2487"/>
      <c r="AB405" s="2487"/>
      <c r="AC405" s="2487"/>
      <c r="AD405" s="2487"/>
      <c r="AE405" s="2487"/>
      <c r="AF405" s="2487"/>
      <c r="AG405" s="2487"/>
      <c r="AH405" s="2487"/>
      <c r="AI405" s="2487"/>
      <c r="AJ405" s="2487"/>
      <c r="AK405" s="39"/>
      <c r="AL405" s="39"/>
      <c r="AM405" s="39"/>
      <c r="AN405" s="39"/>
      <c r="AO405" s="39"/>
      <c r="AP405" s="39"/>
      <c r="AQ405" s="39"/>
      <c r="AR405" s="39"/>
      <c r="AS405" s="39"/>
      <c r="AT405" s="39"/>
      <c r="AU405" s="39"/>
      <c r="AV405" s="39"/>
      <c r="AW405" s="39"/>
      <c r="AX405" s="39"/>
      <c r="AY405" s="39"/>
      <c r="CR405" s="25"/>
    </row>
    <row r="406" spans="1:96" s="717" customFormat="1" ht="13.2">
      <c r="D406" s="2487"/>
      <c r="E406" s="2487"/>
      <c r="F406" s="2487"/>
      <c r="G406" s="2487"/>
      <c r="H406" s="2487"/>
      <c r="I406" s="2487"/>
      <c r="J406" s="2487"/>
      <c r="K406" s="2487"/>
      <c r="L406" s="2487"/>
      <c r="M406" s="2487"/>
      <c r="N406" s="2487"/>
      <c r="O406" s="2487"/>
      <c r="P406" s="2487"/>
      <c r="Q406" s="2487"/>
      <c r="R406" s="2487"/>
      <c r="S406" s="2487"/>
      <c r="T406" s="2487"/>
      <c r="U406" s="2487"/>
      <c r="V406" s="2487"/>
      <c r="W406" s="2487"/>
      <c r="X406" s="2487"/>
      <c r="Y406" s="2487"/>
      <c r="Z406" s="2487"/>
      <c r="AA406" s="2487"/>
      <c r="AB406" s="2487"/>
      <c r="AC406" s="2487"/>
      <c r="AD406" s="2487"/>
      <c r="AE406" s="2487"/>
      <c r="AF406" s="2487"/>
      <c r="AG406" s="2487"/>
      <c r="AH406" s="2487"/>
      <c r="AI406" s="2487"/>
      <c r="AJ406" s="2487"/>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51" t="s">
        <v>2549</v>
      </c>
      <c r="J409" s="2251"/>
      <c r="K409" s="2251"/>
      <c r="L409" s="2251"/>
      <c r="M409" s="2251"/>
      <c r="N409" s="2251"/>
      <c r="O409" s="2251"/>
      <c r="P409" s="2251"/>
      <c r="Q409" s="2251"/>
      <c r="R409" s="2251"/>
      <c r="S409" s="2251"/>
      <c r="T409" s="2251"/>
      <c r="U409" s="2251"/>
      <c r="V409" s="2251"/>
      <c r="W409" s="2251"/>
      <c r="X409" s="2251"/>
      <c r="Y409" s="2251"/>
      <c r="Z409" s="2251"/>
      <c r="AA409" s="2251"/>
      <c r="AB409" s="2251"/>
      <c r="AC409" s="2251"/>
      <c r="AD409" s="2251"/>
      <c r="AE409" s="2251"/>
    </row>
    <row r="410" spans="1:96" ht="12.75" customHeight="1">
      <c r="C410" s="25"/>
      <c r="D410" s="25"/>
      <c r="E410" s="12" t="s">
        <v>111</v>
      </c>
      <c r="F410" s="25"/>
      <c r="G410" s="25"/>
      <c r="H410" s="25"/>
      <c r="I410" s="25"/>
      <c r="J410" s="25"/>
      <c r="K410" s="25"/>
      <c r="L410" s="25"/>
      <c r="M410" s="25"/>
      <c r="N410" s="25"/>
      <c r="O410" s="25"/>
      <c r="P410" s="717"/>
      <c r="Q410" s="717"/>
      <c r="R410" s="1991" t="s">
        <v>626</v>
      </c>
      <c r="S410" s="1991"/>
      <c r="T410" s="12" t="s">
        <v>604</v>
      </c>
      <c r="U410" s="717"/>
      <c r="V410" s="717"/>
      <c r="W410" s="717"/>
      <c r="X410" s="717"/>
      <c r="Y410" s="717"/>
      <c r="Z410" s="717"/>
      <c r="AA410" s="717"/>
      <c r="AB410" s="717"/>
      <c r="AC410" s="717"/>
      <c r="AD410" s="2303">
        <v>0</v>
      </c>
      <c r="AE410" s="2303"/>
      <c r="AF410" s="717"/>
    </row>
    <row r="411" spans="1:96" ht="13.2">
      <c r="C411" s="25"/>
      <c r="E411" s="12" t="s">
        <v>112</v>
      </c>
      <c r="F411" s="717"/>
      <c r="G411" s="717"/>
      <c r="H411" s="717"/>
      <c r="I411" s="717"/>
      <c r="J411" s="717"/>
      <c r="K411" s="717"/>
      <c r="L411" s="717"/>
      <c r="M411" s="717"/>
      <c r="N411" s="25"/>
      <c r="O411" s="25"/>
      <c r="P411" s="717"/>
      <c r="Q411" s="717"/>
      <c r="R411" s="1991" t="s">
        <v>578</v>
      </c>
      <c r="S411" s="1991"/>
      <c r="T411" s="12" t="s">
        <v>604</v>
      </c>
      <c r="U411" s="717"/>
      <c r="V411" s="717"/>
      <c r="W411" s="717"/>
      <c r="X411" s="717"/>
      <c r="Y411" s="717"/>
      <c r="Z411" s="717"/>
      <c r="AA411" s="717"/>
      <c r="AB411" s="717"/>
      <c r="AC411" s="717"/>
      <c r="AD411" s="2303">
        <v>2</v>
      </c>
      <c r="AE411" s="2303"/>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626</v>
      </c>
      <c r="T412" s="1991"/>
      <c r="U412" s="717"/>
      <c r="V412" s="717"/>
      <c r="W412" s="717"/>
      <c r="X412" s="717"/>
      <c r="Y412" s="717"/>
      <c r="Z412" s="717"/>
      <c r="AA412" s="717"/>
      <c r="AB412" s="717"/>
      <c r="AC412" s="717"/>
      <c r="AD412" s="717"/>
      <c r="AE412" s="717"/>
      <c r="AF412" s="717"/>
    </row>
    <row r="413" spans="1:96" ht="12.75" customHeight="1">
      <c r="E413" s="12" t="s">
        <v>175</v>
      </c>
      <c r="F413" s="717"/>
      <c r="G413" s="717"/>
      <c r="H413" s="2449" t="s">
        <v>343</v>
      </c>
      <c r="I413" s="2449"/>
      <c r="J413" s="2449"/>
      <c r="K413" s="2449"/>
      <c r="L413" s="2449"/>
      <c r="M413" s="2449"/>
      <c r="N413" s="2449"/>
      <c r="O413" s="2449"/>
      <c r="P413" s="2449"/>
      <c r="Q413" s="2449"/>
      <c r="R413" s="2449"/>
      <c r="S413" s="2449"/>
      <c r="T413" s="2449"/>
      <c r="U413" s="2449"/>
      <c r="V413" s="2449"/>
      <c r="W413" s="2449"/>
      <c r="X413" s="2449"/>
      <c r="Y413" s="2449"/>
      <c r="Z413" s="2449"/>
      <c r="AA413" s="2449"/>
      <c r="AB413" s="2449"/>
      <c r="AC413" s="2449"/>
      <c r="AD413" s="2449"/>
      <c r="AE413" s="2449"/>
      <c r="AF413" s="717"/>
    </row>
    <row r="414" spans="1:96" ht="12.75" customHeight="1">
      <c r="E414" s="25"/>
      <c r="F414" s="717"/>
      <c r="G414" s="717"/>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F414" s="717"/>
    </row>
    <row r="415" spans="1:96" ht="12.75" customHeight="1"/>
    <row r="416" spans="1:96" ht="12.75" customHeight="1">
      <c r="A416" s="50" t="s">
        <v>625</v>
      </c>
      <c r="B416" s="50"/>
      <c r="C416" s="50"/>
      <c r="D416" s="50" t="s">
        <v>119</v>
      </c>
      <c r="AF416" s="50" t="s">
        <v>1036</v>
      </c>
    </row>
    <row r="417" spans="1:96" ht="12.75" customHeight="1">
      <c r="E417" s="2385"/>
      <c r="F417" s="2385"/>
      <c r="G417" s="2385"/>
      <c r="H417" s="23" t="s">
        <v>120</v>
      </c>
      <c r="I417" s="2385"/>
      <c r="J417" s="2385"/>
      <c r="K417" s="2385"/>
      <c r="L417" s="12" t="s">
        <v>121</v>
      </c>
      <c r="N417" s="141" t="s">
        <v>610</v>
      </c>
      <c r="P417" s="2461">
        <v>4</v>
      </c>
      <c r="Q417" s="2461"/>
      <c r="R417" s="2461"/>
      <c r="S417" s="12" t="s">
        <v>122</v>
      </c>
      <c r="W417" s="2516">
        <f>IF(E417&gt;0,(E417*I417),(P417*43560))</f>
        <v>174240</v>
      </c>
      <c r="X417" s="2516"/>
      <c r="Y417" s="2516"/>
      <c r="Z417" s="12" t="s">
        <v>123</v>
      </c>
      <c r="AF417" s="2443">
        <f>IF(P417&gt;0,(AG436/P417),(AG436/(W417/43560)))</f>
        <v>20.5</v>
      </c>
      <c r="AG417" s="2443"/>
      <c r="AH417" s="2443"/>
      <c r="AM417" s="239"/>
    </row>
    <row r="418" spans="1:96" ht="13.2">
      <c r="E418" s="12" t="s">
        <v>54</v>
      </c>
    </row>
    <row r="419" spans="1:96" ht="12.75" customHeight="1">
      <c r="E419" s="2504"/>
      <c r="F419" s="2504"/>
      <c r="G419" s="2504"/>
      <c r="H419" s="2504"/>
      <c r="I419" s="2504"/>
      <c r="J419" s="2504"/>
      <c r="K419" s="2504"/>
      <c r="L419" s="2504"/>
      <c r="M419" s="2504"/>
      <c r="N419" s="2504"/>
      <c r="O419" s="2504"/>
      <c r="P419" s="2504"/>
      <c r="Q419" s="2504"/>
      <c r="R419" s="2504"/>
      <c r="S419" s="2504"/>
      <c r="T419" s="2504"/>
      <c r="U419" s="2504"/>
      <c r="V419" s="2504"/>
      <c r="W419" s="2504"/>
      <c r="X419" s="2504"/>
      <c r="Y419" s="2504"/>
      <c r="Z419" s="2504"/>
      <c r="AA419" s="2504"/>
      <c r="AB419" s="2504"/>
      <c r="AC419" s="2504"/>
      <c r="AD419" s="2504"/>
      <c r="AE419" s="2504"/>
      <c r="AF419" s="2504"/>
      <c r="AG419" s="2504"/>
      <c r="AH419" s="2504"/>
      <c r="AI419" s="2504"/>
      <c r="AJ419" s="2504"/>
    </row>
    <row r="420" spans="1:96" s="39" customFormat="1" ht="12.75" customHeight="1">
      <c r="E420" s="254" t="s">
        <v>2163</v>
      </c>
      <c r="F420" s="1707"/>
      <c r="G420" s="1707"/>
      <c r="H420" s="1707"/>
      <c r="I420" s="2304">
        <v>4</v>
      </c>
      <c r="J420" s="2304"/>
      <c r="K420" s="2304"/>
      <c r="L420" s="1707"/>
      <c r="M420" s="254"/>
      <c r="N420" s="1707"/>
      <c r="O420" s="1707"/>
      <c r="P420" s="2262">
        <f>(CS637+CS645+CS661)/I420</f>
        <v>45</v>
      </c>
      <c r="Q420" s="2262"/>
      <c r="R420" s="2262"/>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1991">
        <v>6</v>
      </c>
      <c r="Q423" s="1991"/>
      <c r="S423" s="12" t="s">
        <v>195</v>
      </c>
      <c r="AE423" s="1991">
        <v>5</v>
      </c>
      <c r="AF423" s="1991"/>
    </row>
    <row r="424" spans="1:96" ht="13.2">
      <c r="E424" s="12" t="s">
        <v>196</v>
      </c>
      <c r="P424" s="1991">
        <v>1</v>
      </c>
      <c r="Q424" s="1991"/>
      <c r="S424" s="12" t="s">
        <v>136</v>
      </c>
      <c r="AE424" s="1991" t="s">
        <v>626</v>
      </c>
      <c r="AF424" s="1991"/>
    </row>
    <row r="425" spans="1:96" ht="13.2">
      <c r="F425" s="67" t="s">
        <v>137</v>
      </c>
    </row>
    <row r="426" spans="1:96" ht="13.2">
      <c r="F426" s="2403"/>
      <c r="G426" s="2403"/>
      <c r="H426" s="2403"/>
      <c r="I426" s="2403"/>
      <c r="J426" s="2403"/>
      <c r="K426" s="2403"/>
      <c r="L426" s="2403"/>
      <c r="M426" s="2403"/>
      <c r="N426" s="2403"/>
      <c r="O426" s="2403"/>
      <c r="P426" s="2403"/>
      <c r="Q426" s="2403"/>
      <c r="R426" s="2403"/>
      <c r="S426" s="2403"/>
      <c r="T426" s="2403"/>
      <c r="U426" s="2403"/>
      <c r="V426" s="2403"/>
      <c r="W426" s="2403"/>
      <c r="X426" s="2403"/>
      <c r="Y426" s="2403"/>
      <c r="Z426" s="2403"/>
      <c r="AA426" s="2403"/>
      <c r="AB426" s="2403"/>
      <c r="AC426" s="2403"/>
      <c r="AD426" s="2403"/>
      <c r="AE426" s="2403"/>
      <c r="AF426" s="2403"/>
      <c r="AG426" s="2403"/>
      <c r="AH426" s="2403"/>
    </row>
    <row r="427" spans="1:96" ht="12.75" customHeight="1">
      <c r="F427" s="2404"/>
      <c r="G427" s="2404"/>
      <c r="H427" s="2404"/>
      <c r="I427" s="2404"/>
      <c r="J427" s="2404"/>
      <c r="K427" s="2404"/>
      <c r="L427" s="2404"/>
      <c r="M427" s="2404"/>
      <c r="N427" s="2404"/>
      <c r="O427" s="2404"/>
      <c r="P427" s="2404"/>
      <c r="Q427" s="2404"/>
      <c r="R427" s="2404"/>
      <c r="S427" s="2404"/>
      <c r="T427" s="2404"/>
      <c r="U427" s="2404"/>
      <c r="V427" s="2404"/>
      <c r="W427" s="2404"/>
      <c r="X427" s="2404"/>
      <c r="Y427" s="2404"/>
      <c r="Z427" s="2404"/>
      <c r="AA427" s="2404"/>
      <c r="AB427" s="2404"/>
      <c r="AC427" s="2404"/>
      <c r="AD427" s="2404"/>
      <c r="AE427" s="2404"/>
      <c r="AF427" s="2404"/>
      <c r="AG427" s="2404"/>
      <c r="AH427" s="2404"/>
    </row>
    <row r="428" spans="1:96" ht="12.75" customHeight="1">
      <c r="E428" s="12" t="s">
        <v>643</v>
      </c>
      <c r="N428" s="39"/>
      <c r="O428" s="39"/>
      <c r="P428" s="235"/>
      <c r="Q428" s="1991" t="s">
        <v>578</v>
      </c>
      <c r="R428" s="199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1" t="s">
        <v>626</v>
      </c>
      <c r="AG429" s="2512"/>
    </row>
    <row r="430" spans="1:96" ht="12.75" customHeight="1">
      <c r="S430" s="25"/>
      <c r="T430" s="25"/>
    </row>
    <row r="431" spans="1:96" ht="12.75" customHeight="1">
      <c r="A431" s="50"/>
      <c r="B431" s="50"/>
      <c r="C431" s="50"/>
      <c r="E431" s="7" t="s">
        <v>317</v>
      </c>
      <c r="Z431" s="1991" t="s">
        <v>706</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1" t="s">
        <v>626</v>
      </c>
      <c r="AA433" s="1991"/>
    </row>
    <row r="434" spans="1:110" ht="12.75" customHeight="1"/>
    <row r="435" spans="1:110" ht="12.75" customHeight="1">
      <c r="A435" s="50" t="s">
        <v>500</v>
      </c>
      <c r="B435" s="50"/>
      <c r="C435" s="50"/>
      <c r="D435" s="50" t="s">
        <v>822</v>
      </c>
      <c r="AF435" s="80"/>
    </row>
    <row r="436" spans="1:110" ht="12.75" customHeight="1">
      <c r="D436" s="2213" t="s">
        <v>46</v>
      </c>
      <c r="E436" s="2214"/>
      <c r="F436" s="2214"/>
      <c r="G436" s="2214"/>
      <c r="H436" s="2214"/>
      <c r="I436" s="2214"/>
      <c r="J436" s="2214"/>
      <c r="K436" s="2214"/>
      <c r="L436" s="2214"/>
      <c r="M436" s="2214"/>
      <c r="N436" s="2214"/>
      <c r="O436" s="2214"/>
      <c r="P436" s="2214"/>
      <c r="Q436" s="2214"/>
      <c r="R436" s="2214"/>
      <c r="S436" s="2214"/>
      <c r="T436" s="2214"/>
      <c r="U436" s="2214"/>
      <c r="V436" s="2214"/>
      <c r="W436" s="2214"/>
      <c r="X436" s="2214"/>
      <c r="Y436" s="2214"/>
      <c r="Z436" s="2214"/>
      <c r="AA436" s="2214"/>
      <c r="AB436" s="2214"/>
      <c r="AC436" s="2214"/>
      <c r="AD436" s="2214"/>
      <c r="AE436" s="2214"/>
      <c r="AF436" s="2505"/>
      <c r="AG436" s="2482">
        <v>82</v>
      </c>
      <c r="AH436" s="2482"/>
      <c r="AI436" s="2482"/>
      <c r="AJ436" s="2482"/>
    </row>
    <row r="437" spans="1:110" ht="12.75" customHeight="1">
      <c r="D437" s="2428" t="s">
        <v>1433</v>
      </c>
      <c r="E437" s="2429"/>
      <c r="F437" s="2429"/>
      <c r="G437" s="2429"/>
      <c r="H437" s="2429"/>
      <c r="I437" s="2429"/>
      <c r="J437" s="2429"/>
      <c r="K437" s="2429"/>
      <c r="L437" s="2429"/>
      <c r="M437" s="2429"/>
      <c r="N437" s="2429"/>
      <c r="O437" s="2429"/>
      <c r="P437" s="2429"/>
      <c r="Q437" s="2429"/>
      <c r="R437" s="2429"/>
      <c r="S437" s="2429"/>
      <c r="T437" s="2429"/>
      <c r="U437" s="2429"/>
      <c r="V437" s="2429"/>
      <c r="W437" s="2429"/>
      <c r="X437" s="2429"/>
      <c r="Y437" s="2429"/>
      <c r="Z437" s="2429"/>
      <c r="AA437" s="2429"/>
      <c r="AB437" s="2429"/>
      <c r="AC437" s="2429"/>
      <c r="AD437" s="2429"/>
      <c r="AE437" s="2429"/>
      <c r="AF437" s="2430"/>
      <c r="AG437" s="2520"/>
      <c r="AH437" s="2243"/>
      <c r="AI437" s="2243"/>
      <c r="AJ437" s="2243"/>
    </row>
    <row r="438" spans="1:110" ht="12.75" customHeight="1">
      <c r="D438" s="2428" t="s">
        <v>1142</v>
      </c>
      <c r="E438" s="2429"/>
      <c r="F438" s="2429"/>
      <c r="G438" s="2429"/>
      <c r="H438" s="2429"/>
      <c r="I438" s="2429"/>
      <c r="J438" s="2429"/>
      <c r="K438" s="2429"/>
      <c r="L438" s="2429"/>
      <c r="M438" s="2429"/>
      <c r="N438" s="2429"/>
      <c r="O438" s="2429"/>
      <c r="P438" s="2429"/>
      <c r="Q438" s="2429"/>
      <c r="R438" s="2429"/>
      <c r="S438" s="2429"/>
      <c r="T438" s="2429"/>
      <c r="U438" s="2429"/>
      <c r="V438" s="2429"/>
      <c r="W438" s="2429"/>
      <c r="X438" s="2429"/>
      <c r="Y438" s="2429"/>
      <c r="Z438" s="2429"/>
      <c r="AA438" s="2429"/>
      <c r="AB438" s="2429"/>
      <c r="AC438" s="2429"/>
      <c r="AD438" s="2429"/>
      <c r="AE438" s="2429"/>
      <c r="AF438" s="2430"/>
      <c r="AG438" s="2482">
        <v>81</v>
      </c>
      <c r="AH438" s="2482"/>
      <c r="AI438" s="2482"/>
      <c r="AJ438" s="2482"/>
    </row>
    <row r="439" spans="1:110" ht="12.75" customHeight="1">
      <c r="D439" s="2428" t="s">
        <v>1143</v>
      </c>
      <c r="E439" s="2429"/>
      <c r="F439" s="2429"/>
      <c r="G439" s="2429"/>
      <c r="H439" s="2429"/>
      <c r="I439" s="2429"/>
      <c r="J439" s="2429"/>
      <c r="K439" s="2429"/>
      <c r="L439" s="2429"/>
      <c r="M439" s="2429"/>
      <c r="N439" s="2429"/>
      <c r="O439" s="2429"/>
      <c r="P439" s="2429"/>
      <c r="Q439" s="2429"/>
      <c r="R439" s="2429"/>
      <c r="S439" s="2429"/>
      <c r="T439" s="2429"/>
      <c r="U439" s="2429"/>
      <c r="V439" s="2429"/>
      <c r="W439" s="2429"/>
      <c r="X439" s="2429"/>
      <c r="Y439" s="2429"/>
      <c r="Z439" s="2429"/>
      <c r="AA439" s="2429"/>
      <c r="AB439" s="2429"/>
      <c r="AC439" s="2429"/>
      <c r="AD439" s="2429"/>
      <c r="AE439" s="2429"/>
      <c r="AF439" s="2430"/>
      <c r="AG439" s="2482">
        <v>81</v>
      </c>
      <c r="AH439" s="2482"/>
      <c r="AI439" s="2482"/>
      <c r="AJ439" s="2482"/>
    </row>
    <row r="440" spans="1:110" ht="12.75" customHeight="1">
      <c r="D440" s="2428" t="s">
        <v>1145</v>
      </c>
      <c r="E440" s="2429"/>
      <c r="F440" s="2429"/>
      <c r="G440" s="2429"/>
      <c r="H440" s="2429"/>
      <c r="I440" s="2429"/>
      <c r="J440" s="2429"/>
      <c r="K440" s="2429"/>
      <c r="L440" s="2429"/>
      <c r="M440" s="2429"/>
      <c r="N440" s="2429"/>
      <c r="O440" s="2429"/>
      <c r="P440" s="2429"/>
      <c r="Q440" s="2429"/>
      <c r="R440" s="2429"/>
      <c r="S440" s="2429"/>
      <c r="T440" s="2429"/>
      <c r="U440" s="2429"/>
      <c r="V440" s="2429"/>
      <c r="W440" s="2429"/>
      <c r="X440" s="2429"/>
      <c r="Y440" s="2429"/>
      <c r="Z440" s="2429"/>
      <c r="AA440" s="2429"/>
      <c r="AB440" s="2429"/>
      <c r="AC440" s="2429"/>
      <c r="AD440" s="2429"/>
      <c r="AE440" s="2429"/>
      <c r="AF440" s="2430"/>
      <c r="AG440" s="2483">
        <f>IF(ISERROR(AG439/AG438),"",AG439/AG438)</f>
        <v>1</v>
      </c>
      <c r="AH440" s="2483"/>
      <c r="AI440" s="2483"/>
      <c r="AJ440" s="2483"/>
    </row>
    <row r="441" spans="1:110" ht="12.75" customHeight="1">
      <c r="D441" s="2428" t="s">
        <v>1144</v>
      </c>
      <c r="E441" s="2429"/>
      <c r="F441" s="2429"/>
      <c r="G441" s="2429"/>
      <c r="H441" s="2429"/>
      <c r="I441" s="2429"/>
      <c r="J441" s="2429"/>
      <c r="K441" s="2429"/>
      <c r="L441" s="2429"/>
      <c r="M441" s="2429"/>
      <c r="N441" s="2429"/>
      <c r="O441" s="2429"/>
      <c r="P441" s="2429"/>
      <c r="Q441" s="2429"/>
      <c r="R441" s="2429"/>
      <c r="S441" s="2429"/>
      <c r="T441" s="2429"/>
      <c r="U441" s="2429"/>
      <c r="V441" s="2429"/>
      <c r="W441" s="2429"/>
      <c r="X441" s="2429"/>
      <c r="Y441" s="2429"/>
      <c r="Z441" s="2429"/>
      <c r="AA441" s="2429"/>
      <c r="AB441" s="2429"/>
      <c r="AC441" s="2429"/>
      <c r="AD441" s="2429"/>
      <c r="AE441" s="2429"/>
      <c r="AF441" s="2430"/>
      <c r="AG441" s="2444">
        <v>61008</v>
      </c>
      <c r="AH441" s="2444"/>
      <c r="AI441" s="2444"/>
      <c r="AJ441" s="2444"/>
    </row>
    <row r="442" spans="1:110" ht="12.75" customHeight="1">
      <c r="D442" s="2428" t="s">
        <v>1146</v>
      </c>
      <c r="E442" s="2429"/>
      <c r="F442" s="2429"/>
      <c r="G442" s="2429"/>
      <c r="H442" s="2429"/>
      <c r="I442" s="2429"/>
      <c r="J442" s="2429"/>
      <c r="K442" s="2429"/>
      <c r="L442" s="2429"/>
      <c r="M442" s="2429"/>
      <c r="N442" s="2429"/>
      <c r="O442" s="2429"/>
      <c r="P442" s="2429"/>
      <c r="Q442" s="2429"/>
      <c r="R442" s="2429"/>
      <c r="S442" s="2429"/>
      <c r="T442" s="2429"/>
      <c r="U442" s="2429"/>
      <c r="V442" s="2429"/>
      <c r="W442" s="2429"/>
      <c r="X442" s="2429"/>
      <c r="Y442" s="2429"/>
      <c r="Z442" s="2429"/>
      <c r="AA442" s="2429"/>
      <c r="AB442" s="2429"/>
      <c r="AC442" s="2429"/>
      <c r="AD442" s="2429"/>
      <c r="AE442" s="2429"/>
      <c r="AF442" s="2430"/>
      <c r="AG442" s="2444">
        <v>61008</v>
      </c>
      <c r="AH442" s="2444"/>
      <c r="AI442" s="2444"/>
      <c r="AJ442" s="2444"/>
    </row>
    <row r="443" spans="1:110" ht="12.75" customHeight="1">
      <c r="D443" s="2428" t="s">
        <v>1147</v>
      </c>
      <c r="E443" s="2429"/>
      <c r="F443" s="2429"/>
      <c r="G443" s="2429"/>
      <c r="H443" s="2429"/>
      <c r="I443" s="2429"/>
      <c r="J443" s="2429"/>
      <c r="K443" s="2429"/>
      <c r="L443" s="2429"/>
      <c r="M443" s="2429"/>
      <c r="N443" s="2429"/>
      <c r="O443" s="2429"/>
      <c r="P443" s="2429"/>
      <c r="Q443" s="2429"/>
      <c r="R443" s="2429"/>
      <c r="S443" s="2429"/>
      <c r="T443" s="2429"/>
      <c r="U443" s="2429"/>
      <c r="V443" s="2429"/>
      <c r="W443" s="2429"/>
      <c r="X443" s="2429"/>
      <c r="Y443" s="2429"/>
      <c r="Z443" s="2429"/>
      <c r="AA443" s="2429"/>
      <c r="AB443" s="2429"/>
      <c r="AC443" s="2429"/>
      <c r="AD443" s="2429"/>
      <c r="AE443" s="2429"/>
      <c r="AF443" s="2430"/>
      <c r="AG443" s="2483">
        <f>IF(ISERROR(AG442/AG441),"",AG442/AG441)</f>
        <v>1</v>
      </c>
      <c r="AH443" s="2483"/>
      <c r="AI443" s="2483"/>
      <c r="AJ443" s="2483"/>
    </row>
    <row r="444" spans="1:110" ht="12.75" customHeight="1">
      <c r="D444" s="2428" t="s">
        <v>1148</v>
      </c>
      <c r="E444" s="2429"/>
      <c r="F444" s="2429"/>
      <c r="G444" s="2429"/>
      <c r="H444" s="2429"/>
      <c r="I444" s="2429"/>
      <c r="J444" s="2429"/>
      <c r="K444" s="2429"/>
      <c r="L444" s="2429"/>
      <c r="M444" s="2429"/>
      <c r="N444" s="2429"/>
      <c r="O444" s="2429"/>
      <c r="P444" s="2429"/>
      <c r="Q444" s="2429"/>
      <c r="R444" s="2429"/>
      <c r="S444" s="2429"/>
      <c r="T444" s="2429"/>
      <c r="U444" s="2429"/>
      <c r="V444" s="2429"/>
      <c r="W444" s="2429"/>
      <c r="X444" s="2429"/>
      <c r="Y444" s="2429"/>
      <c r="Z444" s="2429"/>
      <c r="AA444" s="2429"/>
      <c r="AB444" s="2429"/>
      <c r="AC444" s="2429"/>
      <c r="AD444" s="2429"/>
      <c r="AE444" s="2429"/>
      <c r="AF444" s="2430"/>
      <c r="AG444" s="2483">
        <f>MIN(IF(AG440&gt;AG443,AG443,AG440),1)</f>
        <v>1</v>
      </c>
      <c r="AH444" s="2483"/>
      <c r="AI444" s="2483"/>
      <c r="AJ444" s="2483"/>
    </row>
    <row r="445" spans="1:110" ht="12.75" customHeight="1">
      <c r="D445" s="2428" t="s">
        <v>1409</v>
      </c>
      <c r="E445" s="2214"/>
      <c r="F445" s="2214"/>
      <c r="G445" s="2214"/>
      <c r="H445" s="2214"/>
      <c r="I445" s="2214"/>
      <c r="J445" s="2214"/>
      <c r="K445" s="2214"/>
      <c r="L445" s="2214"/>
      <c r="M445" s="2214"/>
      <c r="N445" s="2214"/>
      <c r="O445" s="2214"/>
      <c r="P445" s="2214"/>
      <c r="Q445" s="2214"/>
      <c r="R445" s="2214"/>
      <c r="S445" s="2214"/>
      <c r="T445" s="2214"/>
      <c r="U445" s="2214"/>
      <c r="V445" s="2214"/>
      <c r="W445" s="2214"/>
      <c r="X445" s="2214"/>
      <c r="Y445" s="2214"/>
      <c r="Z445" s="2214"/>
      <c r="AA445" s="2214"/>
      <c r="AB445" s="2214"/>
      <c r="AC445" s="2214"/>
      <c r="AD445" s="2214"/>
      <c r="AE445" s="2214"/>
      <c r="AF445" s="2505"/>
      <c r="AG445" s="2444">
        <v>0</v>
      </c>
      <c r="AH445" s="2444"/>
      <c r="AI445" s="2444"/>
      <c r="AJ445" s="2444"/>
    </row>
    <row r="446" spans="1:110" ht="12.75" customHeight="1">
      <c r="D446" s="2213" t="s">
        <v>602</v>
      </c>
      <c r="E446" s="2214"/>
      <c r="F446" s="2214"/>
      <c r="G446" s="2214"/>
      <c r="H446" s="2214"/>
      <c r="I446" s="2214"/>
      <c r="J446" s="2214"/>
      <c r="K446" s="2214"/>
      <c r="L446" s="2214"/>
      <c r="M446" s="2214"/>
      <c r="N446" s="2214"/>
      <c r="O446" s="2214"/>
      <c r="P446" s="2214"/>
      <c r="Q446" s="2214"/>
      <c r="R446" s="2214"/>
      <c r="S446" s="2214"/>
      <c r="T446" s="2214"/>
      <c r="U446" s="2214"/>
      <c r="V446" s="2214"/>
      <c r="W446" s="2214"/>
      <c r="X446" s="2214"/>
      <c r="Y446" s="2214"/>
      <c r="Z446" s="2214"/>
      <c r="AA446" s="2214"/>
      <c r="AB446" s="2214"/>
      <c r="AC446" s="2214"/>
      <c r="AD446" s="2214"/>
      <c r="AE446" s="2214"/>
      <c r="AF446" s="2505"/>
      <c r="AG446" s="2444">
        <v>0</v>
      </c>
      <c r="AH446" s="2444"/>
      <c r="AI446" s="2444"/>
      <c r="AJ446" s="244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5" customHeight="1">
      <c r="D447" s="2428" t="s">
        <v>1410</v>
      </c>
      <c r="E447" s="2214"/>
      <c r="F447" s="2214"/>
      <c r="G447" s="2214"/>
      <c r="H447" s="2214"/>
      <c r="I447" s="2214"/>
      <c r="J447" s="2214"/>
      <c r="K447" s="2214"/>
      <c r="L447" s="2214"/>
      <c r="M447" s="2214"/>
      <c r="N447" s="2214"/>
      <c r="O447" s="2214"/>
      <c r="P447" s="2214"/>
      <c r="Q447" s="2214"/>
      <c r="R447" s="2214"/>
      <c r="S447" s="2214"/>
      <c r="T447" s="2214"/>
      <c r="U447" s="2214"/>
      <c r="V447" s="2214"/>
      <c r="W447" s="2214"/>
      <c r="X447" s="2214"/>
      <c r="Y447" s="2214"/>
      <c r="Z447" s="2214"/>
      <c r="AA447" s="2214"/>
      <c r="AB447" s="2214"/>
      <c r="AC447" s="2214"/>
      <c r="AD447" s="2214"/>
      <c r="AE447" s="2214"/>
      <c r="AF447" s="2505"/>
      <c r="AG447" s="2444">
        <v>2200</v>
      </c>
      <c r="AH447" s="2444"/>
      <c r="AI447" s="2444"/>
      <c r="AJ447" s="244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28" t="s">
        <v>1149</v>
      </c>
      <c r="E448" s="2214"/>
      <c r="F448" s="2214"/>
      <c r="G448" s="2214"/>
      <c r="H448" s="2214"/>
      <c r="I448" s="2214"/>
      <c r="J448" s="2214"/>
      <c r="K448" s="2214"/>
      <c r="L448" s="2214"/>
      <c r="M448" s="2214"/>
      <c r="N448" s="2214"/>
      <c r="O448" s="2214"/>
      <c r="P448" s="2214"/>
      <c r="Q448" s="2214"/>
      <c r="R448" s="2214"/>
      <c r="S448" s="2214"/>
      <c r="T448" s="2214"/>
      <c r="U448" s="2214"/>
      <c r="V448" s="2214"/>
      <c r="W448" s="2214"/>
      <c r="X448" s="2214"/>
      <c r="Y448" s="2214"/>
      <c r="Z448" s="2214"/>
      <c r="AA448" s="2214"/>
      <c r="AB448" s="2214"/>
      <c r="AC448" s="2214"/>
      <c r="AD448" s="2214"/>
      <c r="AE448" s="2214"/>
      <c r="AF448" s="2505"/>
      <c r="AG448" s="2444">
        <v>0</v>
      </c>
      <c r="AH448" s="2444"/>
      <c r="AI448" s="2444"/>
      <c r="AJ448" s="244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21" t="s">
        <v>1150</v>
      </c>
      <c r="E449" s="2422"/>
      <c r="F449" s="2422"/>
      <c r="G449" s="2422"/>
      <c r="H449" s="2422"/>
      <c r="I449" s="2422"/>
      <c r="J449" s="2422"/>
      <c r="K449" s="2422"/>
      <c r="L449" s="2422"/>
      <c r="M449" s="2422"/>
      <c r="N449" s="2422"/>
      <c r="O449" s="2422"/>
      <c r="P449" s="2422"/>
      <c r="Q449" s="2422"/>
      <c r="R449" s="2422"/>
      <c r="S449" s="2422"/>
      <c r="T449" s="2422"/>
      <c r="U449" s="2422"/>
      <c r="V449" s="2422"/>
      <c r="W449" s="2422"/>
      <c r="X449" s="2422"/>
      <c r="Y449" s="2422"/>
      <c r="Z449" s="2422"/>
      <c r="AA449" s="2422"/>
      <c r="AB449" s="2422"/>
      <c r="AC449" s="2422"/>
      <c r="AD449" s="2422"/>
      <c r="AE449" s="2422"/>
      <c r="AF449" s="2423"/>
      <c r="AG449" s="2511">
        <f>AG441+AG445+AG447+AG448</f>
        <v>63208</v>
      </c>
      <c r="AH449" s="2511"/>
      <c r="AI449" s="2511"/>
      <c r="AJ449" s="251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24" t="s">
        <v>1411</v>
      </c>
      <c r="E450" s="2424"/>
      <c r="F450" s="2424"/>
      <c r="G450" s="2424"/>
      <c r="H450" s="2424"/>
      <c r="I450" s="2424"/>
      <c r="J450" s="2424"/>
      <c r="K450" s="2424"/>
      <c r="L450" s="2424"/>
      <c r="M450" s="2424"/>
      <c r="N450" s="2424"/>
      <c r="O450" s="2424"/>
      <c r="P450" s="2424"/>
      <c r="Q450" s="2424"/>
      <c r="R450" s="2424"/>
      <c r="S450" s="2424"/>
      <c r="T450" s="2424"/>
      <c r="U450" s="2424"/>
      <c r="V450" s="2424"/>
      <c r="W450" s="2424"/>
      <c r="X450" s="2424"/>
      <c r="Y450" s="2424"/>
      <c r="Z450" s="2424"/>
      <c r="AA450" s="2424"/>
      <c r="AB450" s="2424"/>
      <c r="AC450" s="2424"/>
      <c r="AD450" s="2424"/>
      <c r="AE450" s="2424"/>
      <c r="AF450" s="2424"/>
      <c r="AG450" s="2424"/>
      <c r="AH450" s="2424"/>
      <c r="AI450" s="2424"/>
      <c r="AJ450" s="242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25"/>
      <c r="E451" s="2425"/>
      <c r="F451" s="2425"/>
      <c r="G451" s="2425"/>
      <c r="H451" s="2425"/>
      <c r="I451" s="2425"/>
      <c r="J451" s="2425"/>
      <c r="K451" s="2425"/>
      <c r="L451" s="2425"/>
      <c r="M451" s="2425"/>
      <c r="N451" s="2425"/>
      <c r="O451" s="2425"/>
      <c r="P451" s="2425"/>
      <c r="Q451" s="2425"/>
      <c r="R451" s="2425"/>
      <c r="S451" s="2425"/>
      <c r="T451" s="2425"/>
      <c r="U451" s="2425"/>
      <c r="V451" s="2425"/>
      <c r="W451" s="2425"/>
      <c r="X451" s="2425"/>
      <c r="Y451" s="2425"/>
      <c r="Z451" s="2425"/>
      <c r="AA451" s="2425"/>
      <c r="AB451" s="2425"/>
      <c r="AC451" s="2425"/>
      <c r="AD451" s="2425"/>
      <c r="AE451" s="2425"/>
      <c r="AF451" s="2425"/>
      <c r="AG451" s="2425"/>
      <c r="AH451" s="2425"/>
      <c r="AI451" s="2425"/>
      <c r="AJ451" s="242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4">
        <f>'Sources and Uses Budget'!B105/Application!AG436</f>
        <v>446726.42682926828</v>
      </c>
      <c r="AD453" s="2484"/>
      <c r="AE453" s="2484"/>
      <c r="AF453" s="248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4">
        <f>'Sources and Uses Budget'!C105/Application!AG436</f>
        <v>446726.42682926828</v>
      </c>
      <c r="AD454" s="2484"/>
      <c r="AE454" s="2484"/>
      <c r="AF454" s="248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4">
        <f>('Sources and Uses Budget'!$S$107+'Sources and Uses Budget'!$T$107)/Application!AG436</f>
        <v>419083.96341463417</v>
      </c>
      <c r="AD455" s="2484"/>
      <c r="AE455" s="2484"/>
      <c r="AF455" s="248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31" t="s">
        <v>731</v>
      </c>
      <c r="E464" s="2432"/>
      <c r="F464" s="2432"/>
      <c r="G464" s="2432"/>
      <c r="H464" s="2432"/>
      <c r="I464" s="2432"/>
      <c r="J464" s="2432"/>
      <c r="K464" s="2432"/>
      <c r="L464" s="2432"/>
      <c r="M464" s="2432"/>
      <c r="N464" s="2432"/>
      <c r="O464" s="2432"/>
      <c r="P464" s="2432"/>
      <c r="Q464" s="2432"/>
      <c r="R464" s="2432"/>
      <c r="S464" s="2432"/>
      <c r="T464" s="2432"/>
      <c r="U464" s="2432"/>
      <c r="V464" s="2433"/>
      <c r="W464" s="2299">
        <v>0</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31" t="s">
        <v>732</v>
      </c>
      <c r="E465" s="2432"/>
      <c r="F465" s="2432"/>
      <c r="G465" s="2432"/>
      <c r="H465" s="2432"/>
      <c r="I465" s="2432"/>
      <c r="J465" s="2432"/>
      <c r="K465" s="2432"/>
      <c r="L465" s="2432"/>
      <c r="M465" s="2432"/>
      <c r="N465" s="2432"/>
      <c r="O465" s="2432"/>
      <c r="P465" s="2432"/>
      <c r="Q465" s="2432"/>
      <c r="R465" s="2432"/>
      <c r="S465" s="2432"/>
      <c r="T465" s="2432"/>
      <c r="U465" s="2432"/>
      <c r="V465" s="2433"/>
      <c r="W465" s="2299">
        <v>0</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31" t="s">
        <v>733</v>
      </c>
      <c r="E466" s="2432"/>
      <c r="F466" s="2432"/>
      <c r="G466" s="2432"/>
      <c r="H466" s="2432"/>
      <c r="I466" s="2432"/>
      <c r="J466" s="2432"/>
      <c r="K466" s="2432"/>
      <c r="L466" s="2432"/>
      <c r="M466" s="2432"/>
      <c r="N466" s="2432"/>
      <c r="O466" s="2432"/>
      <c r="P466" s="2432"/>
      <c r="Q466" s="2432"/>
      <c r="R466" s="2432"/>
      <c r="S466" s="2432"/>
      <c r="T466" s="2432"/>
      <c r="U466" s="2432"/>
      <c r="V466" s="2433"/>
      <c r="W466" s="2299">
        <v>0</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1" t="s">
        <v>734</v>
      </c>
      <c r="E467" s="2432"/>
      <c r="F467" s="2432"/>
      <c r="G467" s="2432"/>
      <c r="H467" s="2432"/>
      <c r="I467" s="2432"/>
      <c r="J467" s="2432"/>
      <c r="K467" s="2432"/>
      <c r="L467" s="2432"/>
      <c r="M467" s="2432"/>
      <c r="N467" s="2432"/>
      <c r="O467" s="2432"/>
      <c r="P467" s="2432"/>
      <c r="Q467" s="2432"/>
      <c r="R467" s="2432"/>
      <c r="S467" s="2432"/>
      <c r="T467" s="2432"/>
      <c r="U467" s="2432"/>
      <c r="V467" s="2433"/>
      <c r="W467" s="2299">
        <v>0</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1" t="s">
        <v>946</v>
      </c>
      <c r="E468" s="2432"/>
      <c r="F468" s="2432"/>
      <c r="G468" s="2432"/>
      <c r="H468" s="2432"/>
      <c r="I468" s="2432"/>
      <c r="J468" s="2432"/>
      <c r="K468" s="2432"/>
      <c r="L468" s="2432"/>
      <c r="M468" s="2432"/>
      <c r="N468" s="2432"/>
      <c r="O468" s="2432"/>
      <c r="P468" s="2432"/>
      <c r="Q468" s="2432"/>
      <c r="R468" s="2432"/>
      <c r="S468" s="2432"/>
      <c r="T468" s="2432"/>
      <c r="U468" s="2432"/>
      <c r="V468" s="2433"/>
      <c r="W468" s="2299">
        <v>0</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31" t="s">
        <v>735</v>
      </c>
      <c r="E469" s="2432"/>
      <c r="F469" s="2432"/>
      <c r="G469" s="2432"/>
      <c r="H469" s="2432"/>
      <c r="I469" s="2432"/>
      <c r="J469" s="2432"/>
      <c r="K469" s="2432"/>
      <c r="L469" s="2432"/>
      <c r="M469" s="2432"/>
      <c r="N469" s="2432"/>
      <c r="O469" s="2432"/>
      <c r="P469" s="2432"/>
      <c r="Q469" s="2432"/>
      <c r="R469" s="2432"/>
      <c r="S469" s="2432"/>
      <c r="T469" s="2432"/>
      <c r="U469" s="2432"/>
      <c r="V469" s="2433"/>
      <c r="W469" s="2299">
        <v>0</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31" t="s">
        <v>1116</v>
      </c>
      <c r="E470" s="2432"/>
      <c r="F470" s="2432"/>
      <c r="G470" s="2432"/>
      <c r="H470" s="2432"/>
      <c r="I470" s="2432"/>
      <c r="J470" s="2432"/>
      <c r="K470" s="2432"/>
      <c r="L470" s="2432"/>
      <c r="M470" s="2432"/>
      <c r="N470" s="2432"/>
      <c r="O470" s="2432"/>
      <c r="P470" s="2432"/>
      <c r="Q470" s="2432"/>
      <c r="R470" s="2432"/>
      <c r="S470" s="2432"/>
      <c r="T470" s="2432"/>
      <c r="U470" s="2432"/>
      <c r="V470" s="2433"/>
      <c r="W470" s="2299">
        <v>0</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10" t="s">
        <v>1958</v>
      </c>
      <c r="E471" s="2432"/>
      <c r="F471" s="2432"/>
      <c r="G471" s="2432"/>
      <c r="H471" s="2432"/>
      <c r="I471" s="2432"/>
      <c r="J471" s="2432"/>
      <c r="K471" s="2432"/>
      <c r="L471" s="2432"/>
      <c r="M471" s="2432"/>
      <c r="N471" s="2432"/>
      <c r="O471" s="2432"/>
      <c r="P471" s="2432"/>
      <c r="Q471" s="2432"/>
      <c r="R471" s="2432"/>
      <c r="S471" s="2432"/>
      <c r="T471" s="2432"/>
      <c r="U471" s="2432"/>
      <c r="V471" s="2433"/>
      <c r="W471" s="2299">
        <v>0</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07"/>
      <c r="H472" s="2508"/>
      <c r="I472" s="2508"/>
      <c r="J472" s="2508"/>
      <c r="K472" s="2508"/>
      <c r="L472" s="2508"/>
      <c r="M472" s="2508"/>
      <c r="N472" s="2508"/>
      <c r="O472" s="2508"/>
      <c r="P472" s="2508"/>
      <c r="Q472" s="2508"/>
      <c r="R472" s="2508"/>
      <c r="S472" s="2508"/>
      <c r="T472" s="2508"/>
      <c r="U472" s="2508"/>
      <c r="V472" s="2509"/>
      <c r="W472" s="2299">
        <v>0</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37" t="s">
        <v>869</v>
      </c>
      <c r="B478" s="2337"/>
      <c r="C478" s="2337"/>
      <c r="D478" s="2337"/>
      <c r="E478" s="2337"/>
      <c r="F478" s="2337"/>
      <c r="G478" s="2337"/>
      <c r="H478" s="2337"/>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7"/>
      <c r="AD478" s="2337"/>
      <c r="AE478" s="2337"/>
      <c r="AF478" s="2337"/>
      <c r="AG478" s="2337"/>
      <c r="AH478" s="2337"/>
      <c r="AI478" s="2337"/>
      <c r="AJ478" s="2337"/>
      <c r="AK478" s="2337"/>
      <c r="AL478" s="23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38"/>
      <c r="B479" s="2338"/>
      <c r="C479" s="2338"/>
      <c r="D479" s="2338"/>
      <c r="E479" s="2338"/>
      <c r="F479" s="2338"/>
      <c r="G479" s="2338"/>
      <c r="H479" s="2338"/>
      <c r="I479" s="2338"/>
      <c r="J479" s="2338"/>
      <c r="K479" s="2338"/>
      <c r="L479" s="2338"/>
      <c r="M479" s="2338"/>
      <c r="N479" s="2338"/>
      <c r="O479" s="2338"/>
      <c r="P479" s="2338"/>
      <c r="Q479" s="2338"/>
      <c r="R479" s="2338"/>
      <c r="S479" s="2338"/>
      <c r="T479" s="2338"/>
      <c r="U479" s="2338"/>
      <c r="V479" s="2338"/>
      <c r="W479" s="2338"/>
      <c r="X479" s="2338"/>
      <c r="Y479" s="2338"/>
      <c r="Z479" s="2338"/>
      <c r="AA479" s="2338"/>
      <c r="AB479" s="2338"/>
      <c r="AC479" s="2338"/>
      <c r="AD479" s="2338"/>
      <c r="AE479" s="2338"/>
      <c r="AF479" s="2338"/>
      <c r="AG479" s="2338"/>
      <c r="AH479" s="2338"/>
      <c r="AI479" s="2338"/>
      <c r="AJ479" s="2338"/>
      <c r="AK479" s="2338"/>
      <c r="AL479" s="23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426" t="s">
        <v>870</v>
      </c>
      <c r="U483" s="2427"/>
      <c r="V483" s="2427"/>
      <c r="W483" s="2427"/>
      <c r="X483" s="2427"/>
      <c r="Y483" s="2427"/>
      <c r="Z483" s="2427"/>
      <c r="AA483" s="2427"/>
      <c r="AB483" s="2427"/>
      <c r="AC483" s="2427"/>
      <c r="AD483" s="2427"/>
      <c r="AE483" s="2427"/>
      <c r="AF483" s="2427"/>
      <c r="AG483" s="2427"/>
      <c r="AH483" s="24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445" t="s">
        <v>36</v>
      </c>
      <c r="U484" s="2445"/>
      <c r="V484" s="2445"/>
      <c r="W484" s="2445"/>
      <c r="X484" s="2445"/>
      <c r="Y484" s="2445" t="s">
        <v>37</v>
      </c>
      <c r="Z484" s="2445"/>
      <c r="AA484" s="2445"/>
      <c r="AB484" s="2445"/>
      <c r="AC484" s="2445"/>
      <c r="AD484" s="2445" t="s">
        <v>348</v>
      </c>
      <c r="AE484" s="2445"/>
      <c r="AF484" s="2445"/>
      <c r="AG484" s="2445"/>
      <c r="AH484" s="244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445"/>
      <c r="U485" s="2445"/>
      <c r="V485" s="2445"/>
      <c r="W485" s="2445"/>
      <c r="X485" s="2445"/>
      <c r="Y485" s="2445"/>
      <c r="Z485" s="2445"/>
      <c r="AA485" s="2445"/>
      <c r="AB485" s="2445"/>
      <c r="AC485" s="2445"/>
      <c r="AD485" s="2445"/>
      <c r="AE485" s="2445"/>
      <c r="AF485" s="2445"/>
      <c r="AG485" s="2445"/>
      <c r="AH485" s="244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19">
        <v>0</v>
      </c>
      <c r="U486" s="2419"/>
      <c r="V486" s="2419"/>
      <c r="W486" s="2419"/>
      <c r="X486" s="2419"/>
      <c r="Y486" s="2419">
        <v>0</v>
      </c>
      <c r="Z486" s="2419"/>
      <c r="AA486" s="2419"/>
      <c r="AB486" s="2419"/>
      <c r="AC486" s="2419"/>
      <c r="AD486" s="2419">
        <v>0</v>
      </c>
      <c r="AE486" s="2419"/>
      <c r="AF486" s="2419"/>
      <c r="AG486" s="2419"/>
      <c r="AH486" s="241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19">
        <v>0</v>
      </c>
      <c r="U487" s="2419"/>
      <c r="V487" s="2419"/>
      <c r="W487" s="2419"/>
      <c r="X487" s="2419"/>
      <c r="Y487" s="2419">
        <v>0</v>
      </c>
      <c r="Z487" s="2419"/>
      <c r="AA487" s="2419"/>
      <c r="AB487" s="2419"/>
      <c r="AC487" s="2419"/>
      <c r="AD487" s="2419">
        <v>0</v>
      </c>
      <c r="AE487" s="2419"/>
      <c r="AF487" s="2419"/>
      <c r="AG487" s="2419"/>
      <c r="AH487" s="241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19">
        <v>0</v>
      </c>
      <c r="U488" s="2419"/>
      <c r="V488" s="2419"/>
      <c r="W488" s="2419"/>
      <c r="X488" s="2419"/>
      <c r="Y488" s="2419">
        <v>0</v>
      </c>
      <c r="Z488" s="2419"/>
      <c r="AA488" s="2419"/>
      <c r="AB488" s="2419"/>
      <c r="AC488" s="2419"/>
      <c r="AD488" s="2419">
        <v>0</v>
      </c>
      <c r="AE488" s="2419"/>
      <c r="AF488" s="2419"/>
      <c r="AG488" s="2419"/>
      <c r="AH488" s="241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19">
        <v>0</v>
      </c>
      <c r="U489" s="2419"/>
      <c r="V489" s="2419"/>
      <c r="W489" s="2419"/>
      <c r="X489" s="2419"/>
      <c r="Y489" s="2419">
        <v>0</v>
      </c>
      <c r="Z489" s="2419"/>
      <c r="AA489" s="2419"/>
      <c r="AB489" s="2419"/>
      <c r="AC489" s="2419"/>
      <c r="AD489" s="2419">
        <v>0</v>
      </c>
      <c r="AE489" s="2419"/>
      <c r="AF489" s="2419"/>
      <c r="AG489" s="2419"/>
      <c r="AH489" s="241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19">
        <v>0</v>
      </c>
      <c r="U490" s="2419"/>
      <c r="V490" s="2419"/>
      <c r="W490" s="2419"/>
      <c r="X490" s="2419"/>
      <c r="Y490" s="2419">
        <v>0</v>
      </c>
      <c r="Z490" s="2419"/>
      <c r="AA490" s="2419"/>
      <c r="AB490" s="2419"/>
      <c r="AC490" s="2419"/>
      <c r="AD490" s="2419">
        <v>0</v>
      </c>
      <c r="AE490" s="2419"/>
      <c r="AF490" s="2419"/>
      <c r="AG490" s="2419"/>
      <c r="AH490" s="241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19">
        <v>0</v>
      </c>
      <c r="U491" s="2419"/>
      <c r="V491" s="2419"/>
      <c r="W491" s="2419"/>
      <c r="X491" s="2419"/>
      <c r="Y491" s="2419">
        <v>0</v>
      </c>
      <c r="Z491" s="2419"/>
      <c r="AA491" s="2419"/>
      <c r="AB491" s="2419"/>
      <c r="AC491" s="2419"/>
      <c r="AD491" s="2419">
        <v>0</v>
      </c>
      <c r="AE491" s="2419"/>
      <c r="AF491" s="2419"/>
      <c r="AG491" s="2419"/>
      <c r="AH491" s="241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19">
        <v>0</v>
      </c>
      <c r="U492" s="2419"/>
      <c r="V492" s="2419"/>
      <c r="W492" s="2419"/>
      <c r="X492" s="2419"/>
      <c r="Y492" s="2419">
        <v>0</v>
      </c>
      <c r="Z492" s="2419"/>
      <c r="AA492" s="2419"/>
      <c r="AB492" s="2419"/>
      <c r="AC492" s="2419"/>
      <c r="AD492" s="2419">
        <v>0</v>
      </c>
      <c r="AE492" s="2419"/>
      <c r="AF492" s="2419"/>
      <c r="AG492" s="2419"/>
      <c r="AH492" s="241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19">
        <v>0</v>
      </c>
      <c r="U493" s="2419"/>
      <c r="V493" s="2419"/>
      <c r="W493" s="2419"/>
      <c r="X493" s="2419"/>
      <c r="Y493" s="2419">
        <v>0</v>
      </c>
      <c r="Z493" s="2419"/>
      <c r="AA493" s="2419"/>
      <c r="AB493" s="2419"/>
      <c r="AC493" s="2419"/>
      <c r="AD493" s="2419">
        <v>0</v>
      </c>
      <c r="AE493" s="2419"/>
      <c r="AF493" s="2419"/>
      <c r="AG493" s="2419"/>
      <c r="AH493" s="241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19">
        <v>0</v>
      </c>
      <c r="U494" s="2419"/>
      <c r="V494" s="2419"/>
      <c r="W494" s="2419"/>
      <c r="X494" s="2419"/>
      <c r="Y494" s="2419">
        <v>0</v>
      </c>
      <c r="Z494" s="2419"/>
      <c r="AA494" s="2419"/>
      <c r="AB494" s="2419"/>
      <c r="AC494" s="2419"/>
      <c r="AD494" s="2419">
        <v>0</v>
      </c>
      <c r="AE494" s="2419"/>
      <c r="AF494" s="2419"/>
      <c r="AG494" s="2419"/>
      <c r="AH494" s="241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1090</v>
      </c>
      <c r="F495" s="80"/>
      <c r="G495" s="80"/>
      <c r="H495" s="80"/>
      <c r="I495" s="80"/>
      <c r="J495" s="80"/>
      <c r="K495" s="80"/>
      <c r="L495" s="80"/>
      <c r="M495" s="80"/>
      <c r="N495" s="80"/>
      <c r="O495" s="80"/>
      <c r="P495" s="80"/>
      <c r="Q495" s="80"/>
      <c r="R495" s="80"/>
      <c r="S495" s="80"/>
      <c r="T495" s="2419">
        <v>0</v>
      </c>
      <c r="U495" s="2419"/>
      <c r="V495" s="2419"/>
      <c r="W495" s="2419"/>
      <c r="X495" s="2419"/>
      <c r="Y495" s="2419">
        <v>0</v>
      </c>
      <c r="Z495" s="2419"/>
      <c r="AA495" s="2419"/>
      <c r="AB495" s="2419"/>
      <c r="AC495" s="2419"/>
      <c r="AD495" s="2419">
        <v>0</v>
      </c>
      <c r="AE495" s="2419"/>
      <c r="AF495" s="2419"/>
      <c r="AG495" s="2419"/>
      <c r="AH495" s="241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52" t="s">
        <v>414</v>
      </c>
      <c r="R497" s="2453"/>
      <c r="S497" s="2453"/>
      <c r="T497" s="2453"/>
      <c r="U497" s="2453"/>
      <c r="V497" s="2453"/>
      <c r="W497" s="2453"/>
      <c r="X497" s="2453"/>
      <c r="Y497" s="2453"/>
      <c r="Z497" s="2453"/>
      <c r="AA497" s="2453"/>
      <c r="AB497" s="2453"/>
      <c r="AC497" s="2453"/>
      <c r="AD497" s="2453"/>
      <c r="AE497" s="2453"/>
      <c r="AF497" s="2453"/>
      <c r="AG497" s="2453"/>
      <c r="AH497" s="2453"/>
      <c r="AI497" s="2453"/>
      <c r="AJ497" s="2453"/>
      <c r="AK497" s="24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326">
        <v>0</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326">
        <v>0</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326">
        <v>0</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55" t="s">
        <v>418</v>
      </c>
      <c r="C501" s="2456"/>
      <c r="D501" s="2456"/>
      <c r="E501" s="2456"/>
      <c r="F501" s="2456"/>
      <c r="G501" s="2456"/>
      <c r="H501" s="2456"/>
      <c r="I501" s="2456"/>
      <c r="J501" s="2456"/>
      <c r="K501" s="2456"/>
      <c r="L501" s="2456"/>
      <c r="M501" s="2456"/>
      <c r="N501" s="2456"/>
      <c r="O501" s="2456"/>
      <c r="P501" s="2457"/>
      <c r="Q501" s="2475" t="s">
        <v>706</v>
      </c>
      <c r="R501" s="2476"/>
      <c r="S501" s="2245" t="s">
        <v>171</v>
      </c>
      <c r="T501" s="2246"/>
      <c r="U501" s="2246"/>
      <c r="V501" s="2246"/>
      <c r="W501" s="2246"/>
      <c r="X501" s="2246"/>
      <c r="Y501" s="2246"/>
      <c r="Z501" s="2246"/>
      <c r="AA501" s="2246"/>
      <c r="AB501" s="2246"/>
      <c r="AC501" s="2246"/>
      <c r="AD501" s="2246"/>
      <c r="AE501" s="2246"/>
      <c r="AF501" s="2246"/>
      <c r="AG501" s="2246"/>
      <c r="AH501" s="2246"/>
      <c r="AI501" s="2246"/>
      <c r="AJ501" s="2246"/>
      <c r="AK501" s="224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58"/>
      <c r="C502" s="2459"/>
      <c r="D502" s="2459"/>
      <c r="E502" s="2459"/>
      <c r="F502" s="2459"/>
      <c r="G502" s="2459"/>
      <c r="H502" s="2459"/>
      <c r="I502" s="2459"/>
      <c r="J502" s="2459"/>
      <c r="K502" s="2459"/>
      <c r="L502" s="2459"/>
      <c r="M502" s="2459"/>
      <c r="N502" s="2459"/>
      <c r="O502" s="2459"/>
      <c r="P502" s="2460"/>
      <c r="Q502" s="2477"/>
      <c r="R502" s="2478"/>
      <c r="S502" s="2248"/>
      <c r="T502" s="2249"/>
      <c r="U502" s="2249"/>
      <c r="V502" s="2249"/>
      <c r="W502" s="2249"/>
      <c r="X502" s="2249"/>
      <c r="Y502" s="2249"/>
      <c r="Z502" s="2249"/>
      <c r="AA502" s="2249"/>
      <c r="AB502" s="2249"/>
      <c r="AC502" s="2249"/>
      <c r="AD502" s="2249"/>
      <c r="AE502" s="2249"/>
      <c r="AF502" s="2249"/>
      <c r="AG502" s="2249"/>
      <c r="AH502" s="2249"/>
      <c r="AI502" s="2249"/>
      <c r="AJ502" s="2249"/>
      <c r="AK502" s="225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5" customHeight="1">
      <c r="B503" s="1472" t="s">
        <v>1978</v>
      </c>
      <c r="C503" s="1440"/>
      <c r="D503" s="1440"/>
      <c r="E503" s="1440"/>
      <c r="F503" s="1440"/>
      <c r="G503" s="1440"/>
      <c r="H503" s="1440"/>
      <c r="I503" s="1440"/>
      <c r="J503" s="1440"/>
      <c r="K503" s="1440"/>
      <c r="L503" s="1440"/>
      <c r="M503" s="1440"/>
      <c r="N503" s="1440"/>
      <c r="O503" s="1440"/>
      <c r="P503" s="1440"/>
      <c r="Q503" s="2517"/>
      <c r="R503" s="2518"/>
      <c r="S503" s="2518"/>
      <c r="T503" s="2518"/>
      <c r="U503" s="2518"/>
      <c r="V503" s="2518"/>
      <c r="W503" s="2518"/>
      <c r="X503" s="2518"/>
      <c r="Y503" s="2518"/>
      <c r="Z503" s="2518"/>
      <c r="AA503" s="2518"/>
      <c r="AB503" s="2518"/>
      <c r="AC503" s="2518"/>
      <c r="AD503" s="2518"/>
      <c r="AE503" s="2518"/>
      <c r="AF503" s="2518"/>
      <c r="AG503" s="2518"/>
      <c r="AH503" s="2518"/>
      <c r="AI503" s="2518"/>
      <c r="AJ503" s="2518"/>
      <c r="AK503" s="251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326">
        <v>0</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326">
        <v>0</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1975</v>
      </c>
      <c r="C506" s="77"/>
      <c r="D506" s="77"/>
      <c r="E506" s="77"/>
      <c r="F506" s="77"/>
      <c r="G506" s="77"/>
      <c r="H506" s="77"/>
      <c r="I506" s="77"/>
      <c r="J506" s="77"/>
      <c r="K506" s="77"/>
      <c r="L506" s="77"/>
      <c r="M506" s="77"/>
      <c r="N506" s="77"/>
      <c r="O506" s="77"/>
      <c r="P506" s="77"/>
      <c r="Q506" s="2326">
        <v>0</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1976</v>
      </c>
      <c r="C507" s="77"/>
      <c r="D507" s="77"/>
      <c r="E507" s="77"/>
      <c r="F507" s="77"/>
      <c r="G507" s="77"/>
      <c r="H507" s="77"/>
      <c r="I507" s="77"/>
      <c r="J507" s="77"/>
      <c r="K507" s="77"/>
      <c r="L507" s="77"/>
      <c r="M507" s="1999"/>
      <c r="N507" s="2000"/>
      <c r="O507" s="2000"/>
      <c r="P507" s="2001"/>
      <c r="Q507" s="1470" t="s">
        <v>1977</v>
      </c>
      <c r="R507" s="1471"/>
      <c r="S507" s="1471"/>
      <c r="T507" s="1471"/>
      <c r="U507" s="1471"/>
      <c r="V507" s="1471"/>
      <c r="W507" s="1471"/>
      <c r="X507" s="1471"/>
      <c r="Y507" s="1471"/>
      <c r="Z507" s="1471"/>
      <c r="AA507" s="1471"/>
      <c r="AB507" s="1471"/>
      <c r="AC507" s="1471"/>
      <c r="AD507" s="1471"/>
      <c r="AE507" s="1471"/>
      <c r="AF507" s="1471"/>
      <c r="AG507" s="1471"/>
      <c r="AH507" s="1999"/>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2" t="s">
        <v>422</v>
      </c>
      <c r="AD511" s="2453"/>
      <c r="AE511" s="2453"/>
      <c r="AF511" s="2453"/>
      <c r="AG511" s="2453"/>
      <c r="AH511" s="2453"/>
      <c r="AI511" s="2453"/>
      <c r="AJ511" s="2453"/>
      <c r="AK511" s="24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6" t="s">
        <v>423</v>
      </c>
      <c r="AD512" s="2427"/>
      <c r="AE512" s="2427"/>
      <c r="AF512" s="2427"/>
      <c r="AG512" s="82" t="s">
        <v>424</v>
      </c>
      <c r="AH512" s="2427" t="s">
        <v>425</v>
      </c>
      <c r="AI512" s="2427"/>
      <c r="AJ512" s="2427"/>
      <c r="AK512" s="24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34" t="s">
        <v>426</v>
      </c>
      <c r="C513" s="2435"/>
      <c r="D513" s="2435"/>
      <c r="E513" s="2435"/>
      <c r="F513" s="2435"/>
      <c r="G513" s="2435"/>
      <c r="H513" s="2436"/>
      <c r="I513" s="72" t="s">
        <v>427</v>
      </c>
      <c r="J513" s="72"/>
      <c r="K513" s="72"/>
      <c r="L513" s="72"/>
      <c r="M513" s="72"/>
      <c r="N513" s="72"/>
      <c r="O513" s="72"/>
      <c r="P513" s="72"/>
      <c r="Q513" s="72"/>
      <c r="R513" s="72"/>
      <c r="S513" s="72"/>
      <c r="T513" s="72"/>
      <c r="U513" s="72"/>
      <c r="V513" s="72"/>
      <c r="W513" s="72"/>
      <c r="X513" s="25"/>
      <c r="Y513" s="25"/>
      <c r="AC513" s="2420" t="s">
        <v>626</v>
      </c>
      <c r="AD513" s="2303"/>
      <c r="AE513" s="2303"/>
      <c r="AF513" s="2303"/>
      <c r="AG513" s="75" t="s">
        <v>424</v>
      </c>
      <c r="AH513" s="2158">
        <v>0</v>
      </c>
      <c r="AI513" s="2158"/>
      <c r="AJ513" s="2158"/>
      <c r="AK513" s="215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37"/>
      <c r="C514" s="2438"/>
      <c r="D514" s="2438"/>
      <c r="E514" s="2438"/>
      <c r="F514" s="2438"/>
      <c r="G514" s="2438"/>
      <c r="H514" s="2439"/>
      <c r="I514" s="80" t="s">
        <v>428</v>
      </c>
      <c r="J514" s="80"/>
      <c r="K514" s="80"/>
      <c r="L514" s="80"/>
      <c r="M514" s="80"/>
      <c r="N514" s="80"/>
      <c r="O514" s="80"/>
      <c r="P514" s="80"/>
      <c r="Q514" s="80"/>
      <c r="R514" s="80"/>
      <c r="S514" s="80"/>
      <c r="T514" s="80"/>
      <c r="U514" s="80"/>
      <c r="V514" s="80"/>
      <c r="W514" s="80"/>
      <c r="X514" s="80"/>
      <c r="Y514" s="80"/>
      <c r="Z514" s="80"/>
      <c r="AA514" s="80"/>
      <c r="AB514" s="80"/>
      <c r="AC514" s="2420">
        <v>7</v>
      </c>
      <c r="AD514" s="2303"/>
      <c r="AE514" s="2303"/>
      <c r="AF514" s="2303"/>
      <c r="AG514" s="65" t="s">
        <v>424</v>
      </c>
      <c r="AH514" s="2158">
        <v>2022</v>
      </c>
      <c r="AI514" s="2158"/>
      <c r="AJ514" s="2158"/>
      <c r="AK514" s="215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34" t="s">
        <v>429</v>
      </c>
      <c r="C515" s="2435"/>
      <c r="D515" s="2435"/>
      <c r="E515" s="2435"/>
      <c r="F515" s="2435"/>
      <c r="G515" s="2435"/>
      <c r="H515" s="2436"/>
      <c r="I515" s="72" t="s">
        <v>430</v>
      </c>
      <c r="J515" s="72"/>
      <c r="K515" s="72"/>
      <c r="L515" s="72"/>
      <c r="M515" s="72"/>
      <c r="N515" s="72"/>
      <c r="O515" s="72"/>
      <c r="P515" s="72"/>
      <c r="Q515" s="72"/>
      <c r="R515" s="72"/>
      <c r="S515" s="72"/>
      <c r="T515" s="72"/>
      <c r="U515" s="72"/>
      <c r="V515" s="72"/>
      <c r="W515" s="72"/>
      <c r="X515" s="25"/>
      <c r="Y515" s="25"/>
      <c r="AC515" s="2420" t="s">
        <v>626</v>
      </c>
      <c r="AD515" s="2303"/>
      <c r="AE515" s="2303"/>
      <c r="AF515" s="2303"/>
      <c r="AG515" s="75" t="s">
        <v>424</v>
      </c>
      <c r="AH515" s="2158"/>
      <c r="AI515" s="2158"/>
      <c r="AJ515" s="2158"/>
      <c r="AK515" s="215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37"/>
      <c r="C516" s="2438"/>
      <c r="D516" s="2438"/>
      <c r="E516" s="2438"/>
      <c r="F516" s="2438"/>
      <c r="G516" s="2438"/>
      <c r="H516" s="2439"/>
      <c r="I516" s="25" t="s">
        <v>431</v>
      </c>
      <c r="J516" s="25"/>
      <c r="K516" s="25"/>
      <c r="L516" s="25"/>
      <c r="M516" s="25"/>
      <c r="N516" s="25"/>
      <c r="O516" s="25"/>
      <c r="P516" s="25"/>
      <c r="Q516" s="25"/>
      <c r="R516" s="25"/>
      <c r="S516" s="25"/>
      <c r="T516" s="25"/>
      <c r="U516" s="25"/>
      <c r="V516" s="25"/>
      <c r="W516" s="25"/>
      <c r="X516" s="25"/>
      <c r="Y516" s="25"/>
      <c r="AC516" s="2420" t="s">
        <v>626</v>
      </c>
      <c r="AD516" s="2303"/>
      <c r="AE516" s="2303"/>
      <c r="AF516" s="2303"/>
      <c r="AG516" s="75" t="s">
        <v>424</v>
      </c>
      <c r="AH516" s="2158"/>
      <c r="AI516" s="2158"/>
      <c r="AJ516" s="2158"/>
      <c r="AK516" s="215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7"/>
      <c r="C517" s="2438"/>
      <c r="D517" s="2438"/>
      <c r="E517" s="2438"/>
      <c r="F517" s="2438"/>
      <c r="G517" s="2438"/>
      <c r="H517" s="2439"/>
      <c r="I517" s="25" t="s">
        <v>432</v>
      </c>
      <c r="J517" s="25"/>
      <c r="K517" s="25"/>
      <c r="L517" s="25"/>
      <c r="M517" s="25"/>
      <c r="N517" s="25"/>
      <c r="O517" s="25"/>
      <c r="P517" s="25"/>
      <c r="Q517" s="25"/>
      <c r="R517" s="25"/>
      <c r="S517" s="25"/>
      <c r="T517" s="25"/>
      <c r="U517" s="25"/>
      <c r="V517" s="25"/>
      <c r="W517" s="25"/>
      <c r="X517" s="25"/>
      <c r="Y517" s="25"/>
      <c r="AC517" s="2420" t="s">
        <v>626</v>
      </c>
      <c r="AD517" s="2303"/>
      <c r="AE517" s="2303"/>
      <c r="AF517" s="2303"/>
      <c r="AG517" s="75" t="s">
        <v>424</v>
      </c>
      <c r="AH517" s="2158"/>
      <c r="AI517" s="2158"/>
      <c r="AJ517" s="2158"/>
      <c r="AK517" s="215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37"/>
      <c r="C518" s="2438"/>
      <c r="D518" s="2438"/>
      <c r="E518" s="2438"/>
      <c r="F518" s="2438"/>
      <c r="G518" s="2438"/>
      <c r="H518" s="2439"/>
      <c r="I518" s="25" t="s">
        <v>433</v>
      </c>
      <c r="J518" s="25"/>
      <c r="K518" s="25"/>
      <c r="L518" s="25"/>
      <c r="M518" s="25"/>
      <c r="N518" s="25"/>
      <c r="O518" s="25"/>
      <c r="P518" s="25"/>
      <c r="Q518" s="25"/>
      <c r="R518" s="25"/>
      <c r="S518" s="25"/>
      <c r="T518" s="25"/>
      <c r="U518" s="25"/>
      <c r="V518" s="25"/>
      <c r="W518" s="25"/>
      <c r="X518" s="25"/>
      <c r="Y518" s="25"/>
      <c r="AC518" s="2420" t="s">
        <v>626</v>
      </c>
      <c r="AD518" s="2303"/>
      <c r="AE518" s="2303"/>
      <c r="AF518" s="2303"/>
      <c r="AG518" s="75" t="s">
        <v>424</v>
      </c>
      <c r="AH518" s="2158"/>
      <c r="AI518" s="2158"/>
      <c r="AJ518" s="2158"/>
      <c r="AK518" s="215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37"/>
      <c r="C519" s="2438"/>
      <c r="D519" s="2438"/>
      <c r="E519" s="2438"/>
      <c r="F519" s="2438"/>
      <c r="G519" s="2438"/>
      <c r="H519" s="2439"/>
      <c r="I519" s="177" t="s">
        <v>434</v>
      </c>
      <c r="J519" s="25"/>
      <c r="K519" s="25"/>
      <c r="L519" s="25"/>
      <c r="M519" s="25"/>
      <c r="N519" s="25"/>
      <c r="O519" s="25"/>
      <c r="P519" s="25"/>
      <c r="Q519" s="25"/>
      <c r="R519" s="25"/>
      <c r="S519" s="25"/>
      <c r="T519" s="25"/>
      <c r="U519" s="25"/>
      <c r="V519" s="25"/>
      <c r="W519" s="25"/>
      <c r="X519" s="25"/>
      <c r="Y519" s="25"/>
      <c r="AC519" s="2143" t="s">
        <v>626</v>
      </c>
      <c r="AD519" s="2144"/>
      <c r="AE519" s="2144"/>
      <c r="AF519" s="2144"/>
      <c r="AG519" s="75" t="s">
        <v>424</v>
      </c>
      <c r="AH519" s="2158"/>
      <c r="AI519" s="2158"/>
      <c r="AJ519" s="2158"/>
      <c r="AK519" s="215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37"/>
      <c r="C520" s="2438"/>
      <c r="D520" s="2438"/>
      <c r="E520" s="2438"/>
      <c r="F520" s="2438"/>
      <c r="G520" s="2438"/>
      <c r="H520" s="2439"/>
      <c r="I520" s="1473" t="s">
        <v>175</v>
      </c>
      <c r="J520" s="80"/>
      <c r="K520" s="80"/>
      <c r="L520" s="2493" t="s">
        <v>343</v>
      </c>
      <c r="M520" s="2492"/>
      <c r="N520" s="2492"/>
      <c r="O520" s="2492"/>
      <c r="P520" s="2492"/>
      <c r="Q520" s="2492"/>
      <c r="R520" s="2492"/>
      <c r="S520" s="2492"/>
      <c r="T520" s="2492"/>
      <c r="U520" s="2492"/>
      <c r="V520" s="2492"/>
      <c r="W520" s="2492"/>
      <c r="X520" s="2492"/>
      <c r="Y520" s="2492"/>
      <c r="Z520" s="2492"/>
      <c r="AA520" s="2492"/>
      <c r="AB520" s="2494"/>
      <c r="AC520" s="2420" t="s">
        <v>626</v>
      </c>
      <c r="AD520" s="2303"/>
      <c r="AE520" s="2303"/>
      <c r="AF520" s="2303"/>
      <c r="AG520" s="1444" t="s">
        <v>424</v>
      </c>
      <c r="AH520" s="2158"/>
      <c r="AI520" s="2158"/>
      <c r="AJ520" s="2158"/>
      <c r="AK520" s="215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82" t="s">
        <v>706</v>
      </c>
      <c r="AD521" s="2482"/>
      <c r="AE521" s="2482"/>
      <c r="AF521" s="2482"/>
      <c r="AG521" s="1687"/>
      <c r="AH521" s="2521"/>
      <c r="AI521" s="2521"/>
      <c r="AJ521" s="2521"/>
      <c r="AK521" s="252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3"/>
      <c r="AD522" s="2144"/>
      <c r="AE522" s="2144"/>
      <c r="AF522" s="2145"/>
      <c r="AG522" s="1687"/>
      <c r="AH522" s="2521"/>
      <c r="AI522" s="2521"/>
      <c r="AJ522" s="2521"/>
      <c r="AK522" s="252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23"/>
      <c r="AD524" s="2524"/>
      <c r="AE524" s="2524"/>
      <c r="AF524" s="2525"/>
      <c r="AG524" s="1688"/>
      <c r="AH524" s="2526"/>
      <c r="AI524" s="2526"/>
      <c r="AJ524" s="2526"/>
      <c r="AK524" s="252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9" t="s">
        <v>423</v>
      </c>
      <c r="AD525" s="2490"/>
      <c r="AE525" s="2490"/>
      <c r="AF525" s="2490"/>
      <c r="AG525" s="1688" t="s">
        <v>424</v>
      </c>
      <c r="AH525" s="2490" t="s">
        <v>425</v>
      </c>
      <c r="AI525" s="2490"/>
      <c r="AJ525" s="2490"/>
      <c r="AK525" s="249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4" t="s">
        <v>435</v>
      </c>
      <c r="C526" s="2435"/>
      <c r="D526" s="2435"/>
      <c r="E526" s="2435"/>
      <c r="F526" s="2435"/>
      <c r="G526" s="2435"/>
      <c r="H526" s="2436"/>
      <c r="I526" s="72" t="s">
        <v>436</v>
      </c>
      <c r="J526" s="72"/>
      <c r="K526" s="72"/>
      <c r="L526" s="72"/>
      <c r="M526" s="72"/>
      <c r="N526" s="72"/>
      <c r="O526" s="72"/>
      <c r="P526" s="72"/>
      <c r="Q526" s="72"/>
      <c r="R526" s="72"/>
      <c r="S526" s="72"/>
      <c r="T526" s="72"/>
      <c r="U526" s="72"/>
      <c r="V526" s="72"/>
      <c r="W526" s="72"/>
      <c r="X526" s="25"/>
      <c r="Y526" s="25"/>
      <c r="AC526" s="2420">
        <v>3</v>
      </c>
      <c r="AD526" s="2303"/>
      <c r="AE526" s="2303"/>
      <c r="AF526" s="2303"/>
      <c r="AG526" s="75" t="s">
        <v>424</v>
      </c>
      <c r="AH526" s="2158">
        <v>2022</v>
      </c>
      <c r="AI526" s="2158"/>
      <c r="AJ526" s="2158"/>
      <c r="AK526" s="215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37"/>
      <c r="C527" s="2438"/>
      <c r="D527" s="2438"/>
      <c r="E527" s="2438"/>
      <c r="F527" s="2438"/>
      <c r="G527" s="2438"/>
      <c r="H527" s="2439"/>
      <c r="I527" s="25" t="s">
        <v>437</v>
      </c>
      <c r="J527" s="25"/>
      <c r="K527" s="25"/>
      <c r="L527" s="25"/>
      <c r="M527" s="25"/>
      <c r="N527" s="25"/>
      <c r="O527" s="25"/>
      <c r="P527" s="25"/>
      <c r="Q527" s="25"/>
      <c r="R527" s="25"/>
      <c r="S527" s="25"/>
      <c r="T527" s="25"/>
      <c r="U527" s="25"/>
      <c r="V527" s="25"/>
      <c r="W527" s="25"/>
      <c r="X527" s="25"/>
      <c r="Y527" s="25"/>
      <c r="AC527" s="2420">
        <v>3</v>
      </c>
      <c r="AD527" s="2303"/>
      <c r="AE527" s="2303"/>
      <c r="AF527" s="2303"/>
      <c r="AG527" s="75" t="s">
        <v>424</v>
      </c>
      <c r="AH527" s="2158">
        <v>2022</v>
      </c>
      <c r="AI527" s="2158"/>
      <c r="AJ527" s="2158"/>
      <c r="AK527" s="215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37"/>
      <c r="C528" s="2438"/>
      <c r="D528" s="2438"/>
      <c r="E528" s="2438"/>
      <c r="F528" s="2438"/>
      <c r="G528" s="2438"/>
      <c r="H528" s="2439"/>
      <c r="I528" s="80" t="s">
        <v>438</v>
      </c>
      <c r="J528" s="80"/>
      <c r="K528" s="80"/>
      <c r="L528" s="80"/>
      <c r="M528" s="80"/>
      <c r="N528" s="80"/>
      <c r="O528" s="80"/>
      <c r="P528" s="80"/>
      <c r="Q528" s="80"/>
      <c r="R528" s="80"/>
      <c r="S528" s="80"/>
      <c r="T528" s="80"/>
      <c r="U528" s="80"/>
      <c r="V528" s="80"/>
      <c r="W528" s="80"/>
      <c r="X528" s="80"/>
      <c r="Y528" s="80"/>
      <c r="Z528" s="80"/>
      <c r="AA528" s="80"/>
      <c r="AB528" s="80"/>
      <c r="AC528" s="2420">
        <v>12</v>
      </c>
      <c r="AD528" s="2303"/>
      <c r="AE528" s="2303"/>
      <c r="AF528" s="2303"/>
      <c r="AG528" s="65" t="s">
        <v>424</v>
      </c>
      <c r="AH528" s="2158">
        <v>2022</v>
      </c>
      <c r="AI528" s="2158"/>
      <c r="AJ528" s="2158"/>
      <c r="AK528" s="215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34" t="s">
        <v>439</v>
      </c>
      <c r="C529" s="2435"/>
      <c r="D529" s="2435"/>
      <c r="E529" s="2435"/>
      <c r="F529" s="2435"/>
      <c r="G529" s="2435"/>
      <c r="H529" s="2436"/>
      <c r="I529" s="72" t="s">
        <v>436</v>
      </c>
      <c r="J529" s="72"/>
      <c r="K529" s="72"/>
      <c r="L529" s="72"/>
      <c r="M529" s="72"/>
      <c r="N529" s="72"/>
      <c r="O529" s="72"/>
      <c r="P529" s="72"/>
      <c r="Q529" s="72"/>
      <c r="R529" s="72"/>
      <c r="S529" s="72"/>
      <c r="T529" s="72"/>
      <c r="U529" s="72"/>
      <c r="V529" s="72"/>
      <c r="W529" s="72"/>
      <c r="X529" s="72"/>
      <c r="Y529" s="72"/>
      <c r="Z529" s="72"/>
      <c r="AA529" s="72"/>
      <c r="AB529" s="72"/>
      <c r="AC529" s="2143">
        <v>3</v>
      </c>
      <c r="AD529" s="2144"/>
      <c r="AE529" s="2144"/>
      <c r="AF529" s="2144"/>
      <c r="AG529" s="196" t="s">
        <v>424</v>
      </c>
      <c r="AH529" s="2158">
        <v>2022</v>
      </c>
      <c r="AI529" s="2158"/>
      <c r="AJ529" s="2158"/>
      <c r="AK529" s="215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37"/>
      <c r="C530" s="2438"/>
      <c r="D530" s="2438"/>
      <c r="E530" s="2438"/>
      <c r="F530" s="2438"/>
      <c r="G530" s="2438"/>
      <c r="H530" s="2439"/>
      <c r="I530" s="25" t="s">
        <v>437</v>
      </c>
      <c r="J530" s="25"/>
      <c r="K530" s="25"/>
      <c r="L530" s="25"/>
      <c r="M530" s="25"/>
      <c r="N530" s="25"/>
      <c r="O530" s="25"/>
      <c r="P530" s="25"/>
      <c r="Q530" s="25"/>
      <c r="R530" s="25"/>
      <c r="S530" s="25"/>
      <c r="T530" s="25"/>
      <c r="U530" s="25"/>
      <c r="V530" s="25"/>
      <c r="W530" s="25"/>
      <c r="X530" s="25"/>
      <c r="Y530" s="25"/>
      <c r="Z530" s="25"/>
      <c r="AA530" s="25"/>
      <c r="AB530" s="25"/>
      <c r="AC530" s="2420">
        <v>3</v>
      </c>
      <c r="AD530" s="2303"/>
      <c r="AE530" s="2303"/>
      <c r="AF530" s="2303"/>
      <c r="AG530" s="75" t="s">
        <v>424</v>
      </c>
      <c r="AH530" s="2158">
        <v>2022</v>
      </c>
      <c r="AI530" s="2158"/>
      <c r="AJ530" s="2158"/>
      <c r="AK530" s="215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40"/>
      <c r="C531" s="2441"/>
      <c r="D531" s="2441"/>
      <c r="E531" s="2441"/>
      <c r="F531" s="2441"/>
      <c r="G531" s="2441"/>
      <c r="H531" s="2442"/>
      <c r="I531" s="80" t="s">
        <v>438</v>
      </c>
      <c r="J531" s="80"/>
      <c r="K531" s="80"/>
      <c r="L531" s="80"/>
      <c r="M531" s="80"/>
      <c r="N531" s="80"/>
      <c r="O531" s="80"/>
      <c r="P531" s="80"/>
      <c r="Q531" s="80"/>
      <c r="R531" s="80"/>
      <c r="S531" s="80"/>
      <c r="T531" s="80"/>
      <c r="U531" s="80"/>
      <c r="V531" s="80"/>
      <c r="W531" s="80"/>
      <c r="X531" s="80"/>
      <c r="Y531" s="80"/>
      <c r="Z531" s="80"/>
      <c r="AA531" s="80"/>
      <c r="AB531" s="80"/>
      <c r="AC531" s="2420">
        <v>12</v>
      </c>
      <c r="AD531" s="2303"/>
      <c r="AE531" s="2303"/>
      <c r="AF531" s="2303"/>
      <c r="AG531" s="65" t="s">
        <v>424</v>
      </c>
      <c r="AH531" s="2158">
        <v>2022</v>
      </c>
      <c r="AI531" s="2158"/>
      <c r="AJ531" s="2158"/>
      <c r="AK531" s="215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34" t="s">
        <v>440</v>
      </c>
      <c r="C532" s="2435"/>
      <c r="D532" s="2435"/>
      <c r="E532" s="2435"/>
      <c r="F532" s="2435"/>
      <c r="G532" s="2435"/>
      <c r="H532" s="2436"/>
      <c r="I532" s="71" t="s">
        <v>441</v>
      </c>
      <c r="J532" s="72"/>
      <c r="K532" s="72"/>
      <c r="L532" s="72"/>
      <c r="M532" s="72"/>
      <c r="N532" s="72"/>
      <c r="O532" s="1993" t="s">
        <v>861</v>
      </c>
      <c r="P532" s="1993"/>
      <c r="Q532" s="1993"/>
      <c r="R532" s="1993"/>
      <c r="S532" s="1993"/>
      <c r="T532" s="1993"/>
      <c r="U532" s="1993"/>
      <c r="V532" s="1993"/>
      <c r="W532" s="1993"/>
      <c r="X532" s="1993"/>
      <c r="Y532" s="1993"/>
      <c r="Z532" s="1993"/>
      <c r="AA532" s="1993"/>
      <c r="AB532" s="94"/>
      <c r="AC532" s="2143" t="s">
        <v>626</v>
      </c>
      <c r="AD532" s="2144"/>
      <c r="AE532" s="2144"/>
      <c r="AF532" s="2144"/>
      <c r="AG532" s="196" t="s">
        <v>424</v>
      </c>
      <c r="AH532" s="2158"/>
      <c r="AI532" s="2158"/>
      <c r="AJ532" s="2158"/>
      <c r="AK532" s="215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37"/>
      <c r="C533" s="2438"/>
      <c r="D533" s="2438"/>
      <c r="E533" s="2438"/>
      <c r="F533" s="2438"/>
      <c r="G533" s="2438"/>
      <c r="H533" s="2439"/>
      <c r="I533" s="171" t="s">
        <v>442</v>
      </c>
      <c r="J533" s="25"/>
      <c r="K533" s="25"/>
      <c r="L533" s="25"/>
      <c r="M533" s="25"/>
      <c r="N533" s="25"/>
      <c r="O533" s="25"/>
      <c r="P533" s="25"/>
      <c r="Q533" s="25"/>
      <c r="R533" s="25"/>
      <c r="S533" s="25"/>
      <c r="T533" s="25"/>
      <c r="U533" s="25"/>
      <c r="V533" s="25"/>
      <c r="W533" s="25"/>
      <c r="X533" s="25"/>
      <c r="Y533" s="25"/>
      <c r="Z533" s="25"/>
      <c r="AA533" s="25"/>
      <c r="AB533" s="101"/>
      <c r="AC533" s="2420">
        <v>2</v>
      </c>
      <c r="AD533" s="2303"/>
      <c r="AE533" s="2303"/>
      <c r="AF533" s="2303"/>
      <c r="AG533" s="75" t="s">
        <v>424</v>
      </c>
      <c r="AH533" s="2158">
        <v>2020</v>
      </c>
      <c r="AI533" s="2158"/>
      <c r="AJ533" s="2158"/>
      <c r="AK533" s="215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37"/>
      <c r="C534" s="2438"/>
      <c r="D534" s="2438"/>
      <c r="E534" s="2438"/>
      <c r="F534" s="2438"/>
      <c r="G534" s="2438"/>
      <c r="H534" s="2439"/>
      <c r="I534" s="79" t="s">
        <v>443</v>
      </c>
      <c r="J534" s="80"/>
      <c r="K534" s="80"/>
      <c r="L534" s="80"/>
      <c r="M534" s="80"/>
      <c r="N534" s="80"/>
      <c r="O534" s="80"/>
      <c r="P534" s="80"/>
      <c r="Q534" s="80"/>
      <c r="R534" s="80"/>
      <c r="S534" s="80"/>
      <c r="T534" s="80"/>
      <c r="U534" s="80"/>
      <c r="V534" s="80"/>
      <c r="W534" s="80"/>
      <c r="X534" s="80"/>
      <c r="Y534" s="80"/>
      <c r="Z534" s="80"/>
      <c r="AA534" s="80"/>
      <c r="AB534" s="81"/>
      <c r="AC534" s="2420">
        <v>6</v>
      </c>
      <c r="AD534" s="2303"/>
      <c r="AE534" s="2303"/>
      <c r="AF534" s="2303"/>
      <c r="AG534" s="65" t="s">
        <v>424</v>
      </c>
      <c r="AH534" s="2158">
        <v>2020</v>
      </c>
      <c r="AI534" s="2158"/>
      <c r="AJ534" s="2158"/>
      <c r="AK534" s="215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37"/>
      <c r="C535" s="2438"/>
      <c r="D535" s="2438"/>
      <c r="E535" s="2438"/>
      <c r="F535" s="2438"/>
      <c r="G535" s="2438"/>
      <c r="H535" s="2439"/>
      <c r="I535" s="72" t="s">
        <v>444</v>
      </c>
      <c r="J535" s="72"/>
      <c r="K535" s="72"/>
      <c r="L535" s="72"/>
      <c r="M535" s="72"/>
      <c r="N535" s="72"/>
      <c r="O535" s="2013" t="s">
        <v>2632</v>
      </c>
      <c r="P535" s="2013"/>
      <c r="Q535" s="2013"/>
      <c r="R535" s="2013"/>
      <c r="S535" s="2013"/>
      <c r="T535" s="2013"/>
      <c r="U535" s="2013"/>
      <c r="V535" s="2013"/>
      <c r="W535" s="2013"/>
      <c r="X535" s="2013"/>
      <c r="Y535" s="2013"/>
      <c r="Z535" s="2013"/>
      <c r="AA535" s="2013"/>
      <c r="AC535" s="2420" t="s">
        <v>626</v>
      </c>
      <c r="AD535" s="2303"/>
      <c r="AE535" s="2303"/>
      <c r="AF535" s="2303"/>
      <c r="AG535" s="75" t="s">
        <v>424</v>
      </c>
      <c r="AH535" s="2158"/>
      <c r="AI535" s="2158"/>
      <c r="AJ535" s="2158"/>
      <c r="AK535" s="215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37"/>
      <c r="C536" s="2438"/>
      <c r="D536" s="2438"/>
      <c r="E536" s="2438"/>
      <c r="F536" s="2438"/>
      <c r="G536" s="2438"/>
      <c r="H536" s="2439"/>
      <c r="I536" s="25" t="s">
        <v>442</v>
      </c>
      <c r="J536" s="25"/>
      <c r="K536" s="25"/>
      <c r="L536" s="25"/>
      <c r="M536" s="25"/>
      <c r="N536" s="25"/>
      <c r="O536" s="25"/>
      <c r="P536" s="25"/>
      <c r="Q536" s="25"/>
      <c r="R536" s="25"/>
      <c r="S536" s="25"/>
      <c r="T536" s="25"/>
      <c r="U536" s="25"/>
      <c r="V536" s="25"/>
      <c r="W536" s="25"/>
      <c r="X536" s="25"/>
      <c r="Y536" s="25"/>
      <c r="AC536" s="2420">
        <v>6</v>
      </c>
      <c r="AD536" s="2303"/>
      <c r="AE536" s="2303"/>
      <c r="AF536" s="2303"/>
      <c r="AG536" s="75" t="s">
        <v>424</v>
      </c>
      <c r="AH536" s="2158">
        <v>2021</v>
      </c>
      <c r="AI536" s="2158"/>
      <c r="AJ536" s="2158"/>
      <c r="AK536" s="215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37"/>
      <c r="C537" s="2438"/>
      <c r="D537" s="2438"/>
      <c r="E537" s="2438"/>
      <c r="F537" s="2438"/>
      <c r="G537" s="2438"/>
      <c r="H537" s="2439"/>
      <c r="I537" s="80" t="s">
        <v>443</v>
      </c>
      <c r="J537" s="80"/>
      <c r="K537" s="80"/>
      <c r="L537" s="80"/>
      <c r="M537" s="80"/>
      <c r="N537" s="80"/>
      <c r="O537" s="80"/>
      <c r="P537" s="80"/>
      <c r="Q537" s="80"/>
      <c r="R537" s="80"/>
      <c r="S537" s="80"/>
      <c r="T537" s="80"/>
      <c r="U537" s="80"/>
      <c r="V537" s="80"/>
      <c r="W537" s="80"/>
      <c r="X537" s="80"/>
      <c r="Y537" s="80"/>
      <c r="Z537" s="80"/>
      <c r="AA537" s="80"/>
      <c r="AB537" s="80"/>
      <c r="AC537" s="2420">
        <v>7</v>
      </c>
      <c r="AD537" s="2303"/>
      <c r="AE537" s="2303"/>
      <c r="AF537" s="2303"/>
      <c r="AG537" s="65" t="s">
        <v>424</v>
      </c>
      <c r="AH537" s="2158">
        <v>2021</v>
      </c>
      <c r="AI537" s="2158"/>
      <c r="AJ537" s="2158"/>
      <c r="AK537" s="215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37"/>
      <c r="C538" s="2438"/>
      <c r="D538" s="2438"/>
      <c r="E538" s="2438"/>
      <c r="F538" s="2438"/>
      <c r="G538" s="2438"/>
      <c r="H538" s="2439"/>
      <c r="I538" s="72" t="s">
        <v>444</v>
      </c>
      <c r="J538" s="72"/>
      <c r="K538" s="72"/>
      <c r="L538" s="72"/>
      <c r="M538" s="72"/>
      <c r="N538" s="72"/>
      <c r="O538" s="2013" t="s">
        <v>2597</v>
      </c>
      <c r="P538" s="2013"/>
      <c r="Q538" s="2013"/>
      <c r="R538" s="2013"/>
      <c r="S538" s="2013"/>
      <c r="T538" s="2013"/>
      <c r="U538" s="2013"/>
      <c r="V538" s="2013"/>
      <c r="W538" s="2013"/>
      <c r="X538" s="2013"/>
      <c r="Y538" s="2013"/>
      <c r="Z538" s="2013"/>
      <c r="AA538" s="2013"/>
      <c r="AC538" s="2420" t="s">
        <v>626</v>
      </c>
      <c r="AD538" s="2303"/>
      <c r="AE538" s="2303"/>
      <c r="AF538" s="2303"/>
      <c r="AG538" s="75" t="s">
        <v>424</v>
      </c>
      <c r="AH538" s="2158"/>
      <c r="AI538" s="2158"/>
      <c r="AJ538" s="2158"/>
      <c r="AK538" s="215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37"/>
      <c r="C539" s="2438"/>
      <c r="D539" s="2438"/>
      <c r="E539" s="2438"/>
      <c r="F539" s="2438"/>
      <c r="G539" s="2438"/>
      <c r="H539" s="2439"/>
      <c r="I539" s="25" t="s">
        <v>442</v>
      </c>
      <c r="J539" s="25"/>
      <c r="K539" s="25"/>
      <c r="L539" s="25"/>
      <c r="M539" s="25"/>
      <c r="N539" s="25"/>
      <c r="O539" s="25"/>
      <c r="P539" s="25"/>
      <c r="Q539" s="25"/>
      <c r="R539" s="25"/>
      <c r="S539" s="25"/>
      <c r="T539" s="25"/>
      <c r="U539" s="25"/>
      <c r="V539" s="25"/>
      <c r="W539" s="25"/>
      <c r="X539" s="25"/>
      <c r="Y539" s="25"/>
      <c r="AC539" s="2420">
        <v>11</v>
      </c>
      <c r="AD539" s="2303"/>
      <c r="AE539" s="2303"/>
      <c r="AF539" s="2303"/>
      <c r="AG539" s="75" t="s">
        <v>424</v>
      </c>
      <c r="AH539" s="2158">
        <v>2020</v>
      </c>
      <c r="AI539" s="2158"/>
      <c r="AJ539" s="2158"/>
      <c r="AK539" s="215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37"/>
      <c r="C540" s="2438"/>
      <c r="D540" s="2438"/>
      <c r="E540" s="2438"/>
      <c r="F540" s="2438"/>
      <c r="G540" s="2438"/>
      <c r="H540" s="2439"/>
      <c r="I540" s="80" t="s">
        <v>443</v>
      </c>
      <c r="J540" s="80"/>
      <c r="K540" s="80"/>
      <c r="L540" s="80"/>
      <c r="M540" s="80"/>
      <c r="N540" s="80"/>
      <c r="O540" s="80"/>
      <c r="P540" s="80"/>
      <c r="Q540" s="80"/>
      <c r="R540" s="80"/>
      <c r="S540" s="80"/>
      <c r="T540" s="80"/>
      <c r="U540" s="80"/>
      <c r="V540" s="80"/>
      <c r="W540" s="80"/>
      <c r="X540" s="80"/>
      <c r="Y540" s="80"/>
      <c r="Z540" s="80"/>
      <c r="AA540" s="80"/>
      <c r="AB540" s="80"/>
      <c r="AC540" s="2420">
        <v>3</v>
      </c>
      <c r="AD540" s="2303"/>
      <c r="AE540" s="2303"/>
      <c r="AF540" s="2303"/>
      <c r="AG540" s="65" t="s">
        <v>424</v>
      </c>
      <c r="AH540" s="2158">
        <v>2021</v>
      </c>
      <c r="AI540" s="2158"/>
      <c r="AJ540" s="2158"/>
      <c r="AK540" s="215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37"/>
      <c r="C541" s="2438"/>
      <c r="D541" s="2438"/>
      <c r="E541" s="2438"/>
      <c r="F541" s="2438"/>
      <c r="G541" s="2438"/>
      <c r="H541" s="2439"/>
      <c r="I541" s="72" t="s">
        <v>444</v>
      </c>
      <c r="J541" s="72"/>
      <c r="K541" s="72"/>
      <c r="L541" s="72"/>
      <c r="M541" s="72"/>
      <c r="N541" s="72"/>
      <c r="O541" s="2013" t="s">
        <v>2633</v>
      </c>
      <c r="P541" s="2013"/>
      <c r="Q541" s="2013"/>
      <c r="R541" s="2013"/>
      <c r="S541" s="2013"/>
      <c r="T541" s="2013"/>
      <c r="U541" s="2013"/>
      <c r="V541" s="2013"/>
      <c r="W541" s="2013"/>
      <c r="X541" s="2013"/>
      <c r="Y541" s="2013"/>
      <c r="Z541" s="2013"/>
      <c r="AA541" s="2013"/>
      <c r="AC541" s="2420" t="s">
        <v>626</v>
      </c>
      <c r="AD541" s="2303"/>
      <c r="AE541" s="2303"/>
      <c r="AF541" s="2303"/>
      <c r="AG541" s="75" t="s">
        <v>424</v>
      </c>
      <c r="AH541" s="2158"/>
      <c r="AI541" s="2158"/>
      <c r="AJ541" s="2158"/>
      <c r="AK541" s="215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37"/>
      <c r="C542" s="2438"/>
      <c r="D542" s="2438"/>
      <c r="E542" s="2438"/>
      <c r="F542" s="2438"/>
      <c r="G542" s="2438"/>
      <c r="H542" s="2439"/>
      <c r="I542" s="25" t="s">
        <v>442</v>
      </c>
      <c r="J542" s="25"/>
      <c r="K542" s="25"/>
      <c r="L542" s="25"/>
      <c r="M542" s="25"/>
      <c r="N542" s="25"/>
      <c r="O542" s="25"/>
      <c r="P542" s="25"/>
      <c r="Q542" s="25"/>
      <c r="R542" s="25"/>
      <c r="S542" s="25"/>
      <c r="T542" s="25"/>
      <c r="U542" s="25"/>
      <c r="V542" s="25"/>
      <c r="W542" s="25"/>
      <c r="X542" s="25"/>
      <c r="Y542" s="25"/>
      <c r="AC542" s="2420">
        <v>2</v>
      </c>
      <c r="AD542" s="2303"/>
      <c r="AE542" s="2303"/>
      <c r="AF542" s="2303"/>
      <c r="AG542" s="75" t="s">
        <v>424</v>
      </c>
      <c r="AH542" s="2158">
        <v>2020</v>
      </c>
      <c r="AI542" s="2158"/>
      <c r="AJ542" s="2158"/>
      <c r="AK542" s="215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37"/>
      <c r="C543" s="2438"/>
      <c r="D543" s="2438"/>
      <c r="E543" s="2438"/>
      <c r="F543" s="2438"/>
      <c r="G543" s="2438"/>
      <c r="H543" s="2439"/>
      <c r="I543" s="80" t="s">
        <v>443</v>
      </c>
      <c r="J543" s="80"/>
      <c r="K543" s="80"/>
      <c r="L543" s="80"/>
      <c r="M543" s="80"/>
      <c r="N543" s="80"/>
      <c r="O543" s="80"/>
      <c r="P543" s="80"/>
      <c r="Q543" s="80"/>
      <c r="R543" s="80"/>
      <c r="S543" s="80"/>
      <c r="T543" s="80"/>
      <c r="U543" s="80"/>
      <c r="V543" s="80"/>
      <c r="W543" s="80"/>
      <c r="X543" s="80"/>
      <c r="Y543" s="80"/>
      <c r="Z543" s="80"/>
      <c r="AA543" s="80"/>
      <c r="AB543" s="80"/>
      <c r="AC543" s="2420">
        <v>6</v>
      </c>
      <c r="AD543" s="2303"/>
      <c r="AE543" s="2303"/>
      <c r="AF543" s="2303"/>
      <c r="AG543" s="65" t="s">
        <v>424</v>
      </c>
      <c r="AH543" s="2158">
        <v>2020</v>
      </c>
      <c r="AI543" s="2158"/>
      <c r="AJ543" s="2158"/>
      <c r="AK543" s="215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37"/>
      <c r="C544" s="2438"/>
      <c r="D544" s="2438"/>
      <c r="E544" s="2438"/>
      <c r="F544" s="2438"/>
      <c r="G544" s="2438"/>
      <c r="H544" s="2439"/>
      <c r="I544" s="72" t="s">
        <v>444</v>
      </c>
      <c r="J544" s="72"/>
      <c r="K544" s="72"/>
      <c r="L544" s="72"/>
      <c r="M544" s="72"/>
      <c r="N544" s="72"/>
      <c r="O544" s="2013" t="s">
        <v>343</v>
      </c>
      <c r="P544" s="2013"/>
      <c r="Q544" s="2013"/>
      <c r="R544" s="2013"/>
      <c r="S544" s="2013"/>
      <c r="T544" s="2013"/>
      <c r="U544" s="2013"/>
      <c r="V544" s="2013"/>
      <c r="W544" s="2013"/>
      <c r="X544" s="2013"/>
      <c r="Y544" s="2013"/>
      <c r="Z544" s="2013"/>
      <c r="AA544" s="2013"/>
      <c r="AC544" s="2420" t="s">
        <v>626</v>
      </c>
      <c r="AD544" s="2303"/>
      <c r="AE544" s="2303"/>
      <c r="AF544" s="2303"/>
      <c r="AG544" s="75" t="s">
        <v>424</v>
      </c>
      <c r="AH544" s="2158"/>
      <c r="AI544" s="2158"/>
      <c r="AJ544" s="2158"/>
      <c r="AK544" s="215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37"/>
      <c r="C545" s="2438"/>
      <c r="D545" s="2438"/>
      <c r="E545" s="2438"/>
      <c r="F545" s="2438"/>
      <c r="G545" s="2438"/>
      <c r="H545" s="2439"/>
      <c r="I545" s="25" t="s">
        <v>442</v>
      </c>
      <c r="J545" s="25"/>
      <c r="K545" s="25"/>
      <c r="L545" s="25"/>
      <c r="M545" s="25"/>
      <c r="N545" s="25"/>
      <c r="O545" s="25"/>
      <c r="P545" s="25"/>
      <c r="Q545" s="25"/>
      <c r="R545" s="25"/>
      <c r="S545" s="25"/>
      <c r="T545" s="25"/>
      <c r="U545" s="25"/>
      <c r="V545" s="25"/>
      <c r="W545" s="25"/>
      <c r="X545" s="25"/>
      <c r="Y545" s="25"/>
      <c r="AC545" s="2420" t="s">
        <v>626</v>
      </c>
      <c r="AD545" s="2303"/>
      <c r="AE545" s="2303"/>
      <c r="AF545" s="2303"/>
      <c r="AG545" s="65" t="s">
        <v>424</v>
      </c>
      <c r="AH545" s="2158"/>
      <c r="AI545" s="2158"/>
      <c r="AJ545" s="2158"/>
      <c r="AK545" s="215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37"/>
      <c r="C546" s="2438"/>
      <c r="D546" s="2438"/>
      <c r="E546" s="2438"/>
      <c r="F546" s="2438"/>
      <c r="G546" s="2438"/>
      <c r="H546" s="2439"/>
      <c r="I546" s="80" t="s">
        <v>443</v>
      </c>
      <c r="J546" s="80"/>
      <c r="K546" s="80"/>
      <c r="L546" s="80"/>
      <c r="M546" s="80"/>
      <c r="N546" s="80"/>
      <c r="O546" s="80"/>
      <c r="P546" s="80"/>
      <c r="Q546" s="80"/>
      <c r="R546" s="80"/>
      <c r="S546" s="80"/>
      <c r="T546" s="80"/>
      <c r="U546" s="80"/>
      <c r="V546" s="80"/>
      <c r="W546" s="80"/>
      <c r="X546" s="80"/>
      <c r="Y546" s="80"/>
      <c r="Z546" s="80"/>
      <c r="AA546" s="80"/>
      <c r="AB546" s="80"/>
      <c r="AC546" s="2420" t="s">
        <v>626</v>
      </c>
      <c r="AD546" s="2303"/>
      <c r="AE546" s="2303"/>
      <c r="AF546" s="2303"/>
      <c r="AG546" s="75" t="s">
        <v>424</v>
      </c>
      <c r="AH546" s="2158"/>
      <c r="AI546" s="2158"/>
      <c r="AJ546" s="2158"/>
      <c r="AK546" s="215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37"/>
      <c r="C547" s="2438"/>
      <c r="D547" s="2438"/>
      <c r="E547" s="2438"/>
      <c r="F547" s="2438"/>
      <c r="G547" s="2438"/>
      <c r="H547" s="2439"/>
      <c r="I547" s="72" t="s">
        <v>444</v>
      </c>
      <c r="J547" s="72"/>
      <c r="K547" s="72"/>
      <c r="L547" s="72"/>
      <c r="M547" s="72"/>
      <c r="N547" s="72"/>
      <c r="O547" s="2013" t="s">
        <v>343</v>
      </c>
      <c r="P547" s="2013"/>
      <c r="Q547" s="2013"/>
      <c r="R547" s="2013"/>
      <c r="S547" s="2013"/>
      <c r="T547" s="2013"/>
      <c r="U547" s="2013"/>
      <c r="V547" s="2013"/>
      <c r="W547" s="2013"/>
      <c r="X547" s="2013"/>
      <c r="Y547" s="2013"/>
      <c r="Z547" s="2013"/>
      <c r="AA547" s="2013"/>
      <c r="AC547" s="2420" t="s">
        <v>626</v>
      </c>
      <c r="AD547" s="2303"/>
      <c r="AE547" s="2303"/>
      <c r="AF547" s="2303"/>
      <c r="AG547" s="65" t="s">
        <v>424</v>
      </c>
      <c r="AH547" s="2158"/>
      <c r="AI547" s="2158"/>
      <c r="AJ547" s="2158"/>
      <c r="AK547" s="215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37"/>
      <c r="C548" s="2438"/>
      <c r="D548" s="2438"/>
      <c r="E548" s="2438"/>
      <c r="F548" s="2438"/>
      <c r="G548" s="2438"/>
      <c r="H548" s="2439"/>
      <c r="I548" s="25" t="s">
        <v>442</v>
      </c>
      <c r="J548" s="25"/>
      <c r="K548" s="25"/>
      <c r="L548" s="25"/>
      <c r="M548" s="25"/>
      <c r="N548" s="25"/>
      <c r="O548" s="25"/>
      <c r="P548" s="25"/>
      <c r="Q548" s="25"/>
      <c r="R548" s="25"/>
      <c r="S548" s="25"/>
      <c r="T548" s="25"/>
      <c r="U548" s="25"/>
      <c r="V548" s="25"/>
      <c r="W548" s="25"/>
      <c r="X548" s="25"/>
      <c r="Y548" s="25"/>
      <c r="AC548" s="2420" t="s">
        <v>626</v>
      </c>
      <c r="AD548" s="2303"/>
      <c r="AE548" s="2303"/>
      <c r="AF548" s="2303"/>
      <c r="AG548" s="75" t="s">
        <v>424</v>
      </c>
      <c r="AH548" s="2158"/>
      <c r="AI548" s="2158"/>
      <c r="AJ548" s="2158"/>
      <c r="AK548" s="215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37"/>
      <c r="C549" s="2438"/>
      <c r="D549" s="2438"/>
      <c r="E549" s="2438"/>
      <c r="F549" s="2438"/>
      <c r="G549" s="2438"/>
      <c r="H549" s="2439"/>
      <c r="I549" s="80" t="s">
        <v>443</v>
      </c>
      <c r="J549" s="80"/>
      <c r="K549" s="80"/>
      <c r="L549" s="80"/>
      <c r="M549" s="80"/>
      <c r="N549" s="80"/>
      <c r="O549" s="80"/>
      <c r="P549" s="80"/>
      <c r="Q549" s="80"/>
      <c r="R549" s="80"/>
      <c r="S549" s="80"/>
      <c r="T549" s="80"/>
      <c r="U549" s="80"/>
      <c r="V549" s="80"/>
      <c r="W549" s="80"/>
      <c r="X549" s="80"/>
      <c r="Y549" s="80"/>
      <c r="Z549" s="80"/>
      <c r="AA549" s="80"/>
      <c r="AB549" s="80"/>
      <c r="AC549" s="2420" t="s">
        <v>626</v>
      </c>
      <c r="AD549" s="2303"/>
      <c r="AE549" s="2303"/>
      <c r="AF549" s="2303"/>
      <c r="AG549" s="65" t="s">
        <v>424</v>
      </c>
      <c r="AH549" s="2158"/>
      <c r="AI549" s="2158"/>
      <c r="AJ549" s="2158"/>
      <c r="AK549" s="215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37"/>
      <c r="C550" s="2438"/>
      <c r="D550" s="2438"/>
      <c r="E550" s="2438"/>
      <c r="F550" s="2438"/>
      <c r="G550" s="2438"/>
      <c r="H550" s="2439"/>
      <c r="I550" s="72" t="s">
        <v>595</v>
      </c>
      <c r="J550" s="72"/>
      <c r="K550" s="72"/>
      <c r="L550" s="72"/>
      <c r="M550" s="72"/>
      <c r="N550" s="72"/>
      <c r="O550" s="72"/>
      <c r="P550" s="72"/>
      <c r="Q550" s="72"/>
      <c r="R550" s="72"/>
      <c r="S550" s="72"/>
      <c r="T550" s="72"/>
      <c r="U550" s="72"/>
      <c r="V550" s="72"/>
      <c r="W550" s="72"/>
      <c r="X550" s="25"/>
      <c r="Y550" s="25"/>
      <c r="AC550" s="2420" t="s">
        <v>626</v>
      </c>
      <c r="AD550" s="2303"/>
      <c r="AE550" s="2303"/>
      <c r="AF550" s="2303"/>
      <c r="AG550" s="65" t="s">
        <v>424</v>
      </c>
      <c r="AH550" s="2158"/>
      <c r="AI550" s="2158"/>
      <c r="AJ550" s="2158"/>
      <c r="AK550" s="215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37"/>
      <c r="C551" s="2438"/>
      <c r="D551" s="2438"/>
      <c r="E551" s="2438"/>
      <c r="F551" s="2438"/>
      <c r="G551" s="2438"/>
      <c r="H551" s="2439"/>
      <c r="I551" s="25" t="s">
        <v>596</v>
      </c>
      <c r="J551" s="25"/>
      <c r="K551" s="25"/>
      <c r="L551" s="25"/>
      <c r="M551" s="25"/>
      <c r="N551" s="25"/>
      <c r="O551" s="25"/>
      <c r="P551" s="25"/>
      <c r="Q551" s="25"/>
      <c r="R551" s="25"/>
      <c r="S551" s="25"/>
      <c r="T551" s="25"/>
      <c r="U551" s="25"/>
      <c r="V551" s="25"/>
      <c r="W551" s="25"/>
      <c r="X551" s="25"/>
      <c r="Y551" s="25"/>
      <c r="AC551" s="2420" t="s">
        <v>626</v>
      </c>
      <c r="AD551" s="2303"/>
      <c r="AE551" s="2303"/>
      <c r="AF551" s="2303"/>
      <c r="AG551" s="75" t="s">
        <v>424</v>
      </c>
      <c r="AH551" s="2158"/>
      <c r="AI551" s="2158"/>
      <c r="AJ551" s="2158"/>
      <c r="AK551" s="215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37"/>
      <c r="C552" s="2438"/>
      <c r="D552" s="2438"/>
      <c r="E552" s="2438"/>
      <c r="F552" s="2438"/>
      <c r="G552" s="2438"/>
      <c r="H552" s="2439"/>
      <c r="I552" s="25" t="s">
        <v>597</v>
      </c>
      <c r="J552" s="25"/>
      <c r="K552" s="25"/>
      <c r="L552" s="25"/>
      <c r="M552" s="25"/>
      <c r="N552" s="25"/>
      <c r="O552" s="25"/>
      <c r="P552" s="25"/>
      <c r="Q552" s="25"/>
      <c r="R552" s="25"/>
      <c r="S552" s="25"/>
      <c r="T552" s="25"/>
      <c r="U552" s="25"/>
      <c r="V552" s="25"/>
      <c r="W552" s="25"/>
      <c r="X552" s="25"/>
      <c r="Y552" s="25"/>
      <c r="AC552" s="2420" t="s">
        <v>626</v>
      </c>
      <c r="AD552" s="2303"/>
      <c r="AE552" s="2303"/>
      <c r="AF552" s="2303"/>
      <c r="AG552" s="65" t="s">
        <v>424</v>
      </c>
      <c r="AH552" s="2158"/>
      <c r="AI552" s="2158"/>
      <c r="AJ552" s="2158"/>
      <c r="AK552" s="215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37"/>
      <c r="C553" s="2438"/>
      <c r="D553" s="2438"/>
      <c r="E553" s="2438"/>
      <c r="F553" s="2438"/>
      <c r="G553" s="2438"/>
      <c r="H553" s="2439"/>
      <c r="I553" s="25" t="s">
        <v>598</v>
      </c>
      <c r="J553" s="25"/>
      <c r="K553" s="25"/>
      <c r="L553" s="25"/>
      <c r="M553" s="25"/>
      <c r="N553" s="25"/>
      <c r="O553" s="25"/>
      <c r="P553" s="25"/>
      <c r="Q553" s="25"/>
      <c r="R553" s="25"/>
      <c r="S553" s="25"/>
      <c r="T553" s="25"/>
      <c r="U553" s="25"/>
      <c r="V553" s="25"/>
      <c r="W553" s="25"/>
      <c r="X553" s="25"/>
      <c r="Y553" s="25"/>
      <c r="AC553" s="2420" t="s">
        <v>626</v>
      </c>
      <c r="AD553" s="2303"/>
      <c r="AE553" s="2303"/>
      <c r="AF553" s="2303"/>
      <c r="AG553" s="65" t="s">
        <v>424</v>
      </c>
      <c r="AH553" s="2158"/>
      <c r="AI553" s="2158"/>
      <c r="AJ553" s="2158"/>
      <c r="AK553" s="215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40"/>
      <c r="C554" s="2441"/>
      <c r="D554" s="2441"/>
      <c r="E554" s="2441"/>
      <c r="F554" s="2441"/>
      <c r="G554" s="2441"/>
      <c r="H554" s="2442"/>
      <c r="I554" s="80" t="s">
        <v>482</v>
      </c>
      <c r="J554" s="80"/>
      <c r="K554" s="80"/>
      <c r="L554" s="80"/>
      <c r="M554" s="80"/>
      <c r="N554" s="80"/>
      <c r="O554" s="80"/>
      <c r="P554" s="80"/>
      <c r="Q554" s="80"/>
      <c r="R554" s="80"/>
      <c r="S554" s="80"/>
      <c r="T554" s="80"/>
      <c r="U554" s="80"/>
      <c r="V554" s="80"/>
      <c r="W554" s="80"/>
      <c r="X554" s="80"/>
      <c r="Y554" s="80"/>
      <c r="Z554" s="80"/>
      <c r="AA554" s="80"/>
      <c r="AB554" s="80"/>
      <c r="AC554" s="2420" t="s">
        <v>626</v>
      </c>
      <c r="AD554" s="2303"/>
      <c r="AE554" s="2303"/>
      <c r="AF554" s="2303"/>
      <c r="AG554" s="65" t="s">
        <v>424</v>
      </c>
      <c r="AH554" s="2158"/>
      <c r="AI554" s="2158"/>
      <c r="AJ554" s="2158"/>
      <c r="AK554" s="215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6" t="s">
        <v>484</v>
      </c>
      <c r="C563" s="2027"/>
      <c r="D563" s="2027"/>
      <c r="E563" s="2027"/>
      <c r="F563" s="2027"/>
      <c r="G563" s="2027"/>
      <c r="H563" s="2027"/>
      <c r="I563" s="2027"/>
      <c r="J563" s="2027"/>
      <c r="K563" s="2027"/>
      <c r="L563" s="2027"/>
      <c r="M563" s="2027"/>
      <c r="N563" s="2027"/>
      <c r="O563" s="2027"/>
      <c r="P563" s="2028"/>
      <c r="Q563" s="2446" t="s">
        <v>2293</v>
      </c>
      <c r="R563" s="2447"/>
      <c r="S563" s="2448"/>
      <c r="T563" s="2446" t="s">
        <v>2291</v>
      </c>
      <c r="U563" s="2447"/>
      <c r="V563" s="2448"/>
      <c r="W563" s="2446" t="s">
        <v>485</v>
      </c>
      <c r="X563" s="2447"/>
      <c r="Y563" s="2448"/>
      <c r="Z563" s="2446" t="s">
        <v>2292</v>
      </c>
      <c r="AA563" s="2447"/>
      <c r="AB563" s="2447"/>
      <c r="AC563" s="2447"/>
      <c r="AD563" s="2447"/>
      <c r="AE563" s="2446" t="s">
        <v>2088</v>
      </c>
      <c r="AF563" s="2447"/>
      <c r="AG563" s="2447"/>
      <c r="AH563" s="2448"/>
      <c r="AI563" s="2446" t="s">
        <v>2089</v>
      </c>
      <c r="AJ563" s="2447"/>
      <c r="AK563" s="2447"/>
      <c r="AL563" s="2448"/>
      <c r="AM563" s="2446" t="s">
        <v>486</v>
      </c>
      <c r="AN563" s="2447"/>
      <c r="AO563" s="2447"/>
      <c r="AP563" s="2447"/>
      <c r="AQ563" s="2447"/>
      <c r="AR563" s="2447"/>
      <c r="AS563" s="244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8" t="s">
        <v>2551</v>
      </c>
      <c r="D564" s="2048"/>
      <c r="E564" s="2048"/>
      <c r="F564" s="2048"/>
      <c r="G564" s="2048"/>
      <c r="H564" s="2048"/>
      <c r="I564" s="2048"/>
      <c r="J564" s="2048"/>
      <c r="K564" s="2048"/>
      <c r="L564" s="2048"/>
      <c r="M564" s="2048"/>
      <c r="N564" s="2048"/>
      <c r="O564" s="2048"/>
      <c r="P564" s="2049"/>
      <c r="Q564" s="2479">
        <v>24</v>
      </c>
      <c r="R564" s="2017"/>
      <c r="S564" s="2480"/>
      <c r="T564" s="2479">
        <v>24</v>
      </c>
      <c r="U564" s="2017"/>
      <c r="V564" s="2480"/>
      <c r="W564" s="2471">
        <v>3.5000000000000003E-2</v>
      </c>
      <c r="X564" s="2472"/>
      <c r="Y564" s="2473"/>
      <c r="Z564" s="2468" t="s">
        <v>2599</v>
      </c>
      <c r="AA564" s="2469"/>
      <c r="AB564" s="2469"/>
      <c r="AC564" s="2469"/>
      <c r="AD564" s="2470"/>
      <c r="AE564" s="2462">
        <v>1</v>
      </c>
      <c r="AF564" s="2463"/>
      <c r="AG564" s="2463"/>
      <c r="AH564" s="2464"/>
      <c r="AI564" s="2465"/>
      <c r="AJ564" s="2466"/>
      <c r="AK564" s="2466"/>
      <c r="AL564" s="2467"/>
      <c r="AM564" s="1982">
        <v>18500000</v>
      </c>
      <c r="AN564" s="1983"/>
      <c r="AO564" s="1983"/>
      <c r="AP564" s="1983"/>
      <c r="AQ564" s="1983"/>
      <c r="AR564" s="1983"/>
      <c r="AS564" s="198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8" t="s">
        <v>2552</v>
      </c>
      <c r="D565" s="2048"/>
      <c r="E565" s="2048"/>
      <c r="F565" s="2048"/>
      <c r="G565" s="2048"/>
      <c r="H565" s="2048"/>
      <c r="I565" s="2048"/>
      <c r="J565" s="2048"/>
      <c r="K565" s="2048"/>
      <c r="L565" s="2048"/>
      <c r="M565" s="2048"/>
      <c r="N565" s="2048"/>
      <c r="O565" s="2048"/>
      <c r="P565" s="2049"/>
      <c r="Q565" s="2004">
        <v>24</v>
      </c>
      <c r="R565" s="2005"/>
      <c r="S565" s="2006"/>
      <c r="T565" s="2004">
        <v>24</v>
      </c>
      <c r="U565" s="2005"/>
      <c r="V565" s="2006"/>
      <c r="W565" s="2471">
        <v>0.04</v>
      </c>
      <c r="X565" s="2472"/>
      <c r="Y565" s="2473"/>
      <c r="Z565" s="2468" t="s">
        <v>2599</v>
      </c>
      <c r="AA565" s="2469"/>
      <c r="AB565" s="2469"/>
      <c r="AC565" s="2469"/>
      <c r="AD565" s="2470"/>
      <c r="AE565" s="2462">
        <v>2</v>
      </c>
      <c r="AF565" s="2463"/>
      <c r="AG565" s="2463"/>
      <c r="AH565" s="2464"/>
      <c r="AI565" s="2465"/>
      <c r="AJ565" s="2466"/>
      <c r="AK565" s="2466"/>
      <c r="AL565" s="2467"/>
      <c r="AM565" s="1982">
        <v>10602855</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8" t="s">
        <v>2065</v>
      </c>
      <c r="D566" s="2048"/>
      <c r="E566" s="2048"/>
      <c r="F566" s="2048"/>
      <c r="G566" s="2048"/>
      <c r="H566" s="2048"/>
      <c r="I566" s="2048"/>
      <c r="J566" s="2048"/>
      <c r="K566" s="2048"/>
      <c r="L566" s="2048"/>
      <c r="M566" s="2048"/>
      <c r="N566" s="2048"/>
      <c r="O566" s="2048"/>
      <c r="P566" s="2049"/>
      <c r="Q566" s="2004"/>
      <c r="R566" s="2005"/>
      <c r="S566" s="2006"/>
      <c r="T566" s="2004"/>
      <c r="U566" s="2005"/>
      <c r="V566" s="2006"/>
      <c r="W566" s="2471"/>
      <c r="X566" s="2472"/>
      <c r="Y566" s="2473"/>
      <c r="Z566" s="2468" t="s">
        <v>626</v>
      </c>
      <c r="AA566" s="2469"/>
      <c r="AB566" s="2469"/>
      <c r="AC566" s="2469"/>
      <c r="AD566" s="2470"/>
      <c r="AE566" s="2462"/>
      <c r="AF566" s="2463"/>
      <c r="AG566" s="2463"/>
      <c r="AH566" s="2464"/>
      <c r="AI566" s="2465"/>
      <c r="AJ566" s="2466"/>
      <c r="AK566" s="2466"/>
      <c r="AL566" s="2467"/>
      <c r="AM566" s="1982">
        <v>2200000</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48" t="s">
        <v>2553</v>
      </c>
      <c r="D567" s="2048"/>
      <c r="E567" s="2048"/>
      <c r="F567" s="2048"/>
      <c r="G567" s="2048"/>
      <c r="H567" s="2048"/>
      <c r="I567" s="2048"/>
      <c r="J567" s="2048"/>
      <c r="K567" s="2048"/>
      <c r="L567" s="2048"/>
      <c r="M567" s="2048"/>
      <c r="N567" s="2048"/>
      <c r="O567" s="2048"/>
      <c r="P567" s="2049"/>
      <c r="Q567" s="2004"/>
      <c r="R567" s="2005"/>
      <c r="S567" s="2006"/>
      <c r="T567" s="2004"/>
      <c r="U567" s="2005"/>
      <c r="V567" s="2006"/>
      <c r="W567" s="2471"/>
      <c r="X567" s="2472"/>
      <c r="Y567" s="2473"/>
      <c r="Z567" s="2468" t="s">
        <v>626</v>
      </c>
      <c r="AA567" s="2469"/>
      <c r="AB567" s="2469"/>
      <c r="AC567" s="2469"/>
      <c r="AD567" s="2470"/>
      <c r="AE567" s="2462"/>
      <c r="AF567" s="2463"/>
      <c r="AG567" s="2463"/>
      <c r="AH567" s="2464"/>
      <c r="AI567" s="2465"/>
      <c r="AJ567" s="2466"/>
      <c r="AK567" s="2466"/>
      <c r="AL567" s="2467"/>
      <c r="AM567" s="1982">
        <v>2157893</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48" t="s">
        <v>2554</v>
      </c>
      <c r="D568" s="2048"/>
      <c r="E568" s="2048"/>
      <c r="F568" s="2048"/>
      <c r="G568" s="2048"/>
      <c r="H568" s="2048"/>
      <c r="I568" s="2048"/>
      <c r="J568" s="2048"/>
      <c r="K568" s="2048"/>
      <c r="L568" s="2048"/>
      <c r="M568" s="2048"/>
      <c r="N568" s="2048"/>
      <c r="O568" s="2048"/>
      <c r="P568" s="2049"/>
      <c r="Q568" s="2004">
        <v>660</v>
      </c>
      <c r="R568" s="2005"/>
      <c r="S568" s="2006"/>
      <c r="T568" s="2004">
        <v>660</v>
      </c>
      <c r="U568" s="2005"/>
      <c r="V568" s="2006"/>
      <c r="W568" s="2471">
        <v>0.03</v>
      </c>
      <c r="X568" s="2472"/>
      <c r="Y568" s="2473"/>
      <c r="Z568" s="2468" t="s">
        <v>2599</v>
      </c>
      <c r="AA568" s="2469"/>
      <c r="AB568" s="2469"/>
      <c r="AC568" s="2469"/>
      <c r="AD568" s="2470"/>
      <c r="AE568" s="2462">
        <v>4</v>
      </c>
      <c r="AF568" s="2463"/>
      <c r="AG568" s="2463"/>
      <c r="AH568" s="2464"/>
      <c r="AI568" s="2465"/>
      <c r="AJ568" s="2466"/>
      <c r="AK568" s="2466"/>
      <c r="AL568" s="2467"/>
      <c r="AM568" s="1982">
        <v>820000</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48" t="s">
        <v>2555</v>
      </c>
      <c r="D569" s="2048"/>
      <c r="E569" s="2048"/>
      <c r="F569" s="2048"/>
      <c r="G569" s="2048"/>
      <c r="H569" s="2048"/>
      <c r="I569" s="2048"/>
      <c r="J569" s="2048"/>
      <c r="K569" s="2048"/>
      <c r="L569" s="2048"/>
      <c r="M569" s="2048"/>
      <c r="N569" s="2048"/>
      <c r="O569" s="2048"/>
      <c r="P569" s="2049"/>
      <c r="Q569" s="2004">
        <v>660</v>
      </c>
      <c r="R569" s="2005"/>
      <c r="S569" s="2006"/>
      <c r="T569" s="2004">
        <v>660</v>
      </c>
      <c r="U569" s="2005"/>
      <c r="V569" s="2006"/>
      <c r="W569" s="2471">
        <v>0.03</v>
      </c>
      <c r="X569" s="2472"/>
      <c r="Y569" s="2473"/>
      <c r="Z569" s="2468" t="s">
        <v>2599</v>
      </c>
      <c r="AA569" s="2469"/>
      <c r="AB569" s="2469"/>
      <c r="AC569" s="2469"/>
      <c r="AD569" s="2470"/>
      <c r="AE569" s="2462">
        <v>3</v>
      </c>
      <c r="AF569" s="2463"/>
      <c r="AG569" s="2463"/>
      <c r="AH569" s="2464"/>
      <c r="AI569" s="2465"/>
      <c r="AJ569" s="2466"/>
      <c r="AK569" s="2466"/>
      <c r="AL569" s="2467"/>
      <c r="AM569" s="1982">
        <v>820000</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48" t="s">
        <v>2600</v>
      </c>
      <c r="D570" s="2048"/>
      <c r="E570" s="2048"/>
      <c r="F570" s="2048"/>
      <c r="G570" s="2048"/>
      <c r="H570" s="2048"/>
      <c r="I570" s="2048"/>
      <c r="J570" s="2048"/>
      <c r="K570" s="2048"/>
      <c r="L570" s="2048"/>
      <c r="M570" s="2048"/>
      <c r="N570" s="2048"/>
      <c r="O570" s="2048"/>
      <c r="P570" s="2049"/>
      <c r="Q570" s="2004"/>
      <c r="R570" s="2005"/>
      <c r="S570" s="2006"/>
      <c r="T570" s="2004"/>
      <c r="U570" s="2005"/>
      <c r="V570" s="2006"/>
      <c r="W570" s="2471"/>
      <c r="X570" s="2472"/>
      <c r="Y570" s="2473"/>
      <c r="Z570" s="2469" t="s">
        <v>626</v>
      </c>
      <c r="AA570" s="2469"/>
      <c r="AB570" s="2469"/>
      <c r="AC570" s="2469"/>
      <c r="AD570" s="2469"/>
      <c r="AE570" s="2462"/>
      <c r="AF570" s="2463"/>
      <c r="AG570" s="2463"/>
      <c r="AH570" s="2464"/>
      <c r="AI570" s="2465"/>
      <c r="AJ570" s="2466"/>
      <c r="AK570" s="2466"/>
      <c r="AL570" s="2467"/>
      <c r="AM570" s="1982">
        <v>1530819</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48"/>
      <c r="D571" s="2048"/>
      <c r="E571" s="2048"/>
      <c r="F571" s="2048"/>
      <c r="G571" s="2048"/>
      <c r="H571" s="2048"/>
      <c r="I571" s="2048"/>
      <c r="J571" s="2048"/>
      <c r="K571" s="2048"/>
      <c r="L571" s="2048"/>
      <c r="M571" s="2048"/>
      <c r="N571" s="2048"/>
      <c r="O571" s="2048"/>
      <c r="P571" s="2049"/>
      <c r="Q571" s="2017"/>
      <c r="R571" s="2005"/>
      <c r="S571" s="2006"/>
      <c r="T571" s="2479"/>
      <c r="U571" s="2005"/>
      <c r="V571" s="2006"/>
      <c r="W571" s="2471"/>
      <c r="X571" s="2472"/>
      <c r="Y571" s="2473"/>
      <c r="Z571" s="2469"/>
      <c r="AA571" s="2469"/>
      <c r="AB571" s="2469"/>
      <c r="AC571" s="2469"/>
      <c r="AD571" s="2469"/>
      <c r="AE571" s="2462"/>
      <c r="AF571" s="2463"/>
      <c r="AG571" s="2463"/>
      <c r="AH571" s="2464"/>
      <c r="AI571" s="2465"/>
      <c r="AJ571" s="2466"/>
      <c r="AK571" s="2466"/>
      <c r="AL571" s="2467"/>
      <c r="AM571" s="1982"/>
      <c r="AN571" s="1983"/>
      <c r="AO571" s="1983"/>
      <c r="AP571" s="1983"/>
      <c r="AQ571" s="1983"/>
      <c r="AR571" s="1983"/>
      <c r="AS571" s="198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48"/>
      <c r="D572" s="2048"/>
      <c r="E572" s="2048"/>
      <c r="F572" s="2048"/>
      <c r="G572" s="2048"/>
      <c r="H572" s="2048"/>
      <c r="I572" s="2048"/>
      <c r="J572" s="2048"/>
      <c r="K572" s="2048"/>
      <c r="L572" s="2048"/>
      <c r="M572" s="2048"/>
      <c r="N572" s="2048"/>
      <c r="O572" s="2048"/>
      <c r="P572" s="2049"/>
      <c r="Q572" s="2004"/>
      <c r="R572" s="2005"/>
      <c r="S572" s="2006"/>
      <c r="T572" s="2004"/>
      <c r="U572" s="2005"/>
      <c r="V572" s="2006"/>
      <c r="W572" s="2471"/>
      <c r="X572" s="2472"/>
      <c r="Y572" s="2473"/>
      <c r="Z572" s="2469" t="s">
        <v>1381</v>
      </c>
      <c r="AA572" s="2469"/>
      <c r="AB572" s="2469"/>
      <c r="AC572" s="2469"/>
      <c r="AD572" s="2469"/>
      <c r="AE572" s="2462"/>
      <c r="AF572" s="2463"/>
      <c r="AG572" s="2463"/>
      <c r="AH572" s="2464"/>
      <c r="AI572" s="2465"/>
      <c r="AJ572" s="2466"/>
      <c r="AK572" s="2466"/>
      <c r="AL572" s="2467"/>
      <c r="AM572" s="1982"/>
      <c r="AN572" s="1983"/>
      <c r="AO572" s="1983"/>
      <c r="AP572" s="1983"/>
      <c r="AQ572" s="1983"/>
      <c r="AR572" s="1983"/>
      <c r="AS572" s="198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8"/>
      <c r="D573" s="2048"/>
      <c r="E573" s="2048"/>
      <c r="F573" s="2048"/>
      <c r="G573" s="2048"/>
      <c r="H573" s="2048"/>
      <c r="I573" s="2048"/>
      <c r="J573" s="2048"/>
      <c r="K573" s="2048"/>
      <c r="L573" s="2048"/>
      <c r="M573" s="2048"/>
      <c r="N573" s="2048"/>
      <c r="O573" s="2048"/>
      <c r="P573" s="2049"/>
      <c r="Q573" s="2004"/>
      <c r="R573" s="2005"/>
      <c r="S573" s="2006"/>
      <c r="T573" s="2004"/>
      <c r="U573" s="2005"/>
      <c r="V573" s="2006"/>
      <c r="W573" s="2471"/>
      <c r="X573" s="2472"/>
      <c r="Y573" s="2473"/>
      <c r="Z573" s="2469" t="s">
        <v>1381</v>
      </c>
      <c r="AA573" s="2469"/>
      <c r="AB573" s="2469"/>
      <c r="AC573" s="2469"/>
      <c r="AD573" s="2469"/>
      <c r="AE573" s="2462"/>
      <c r="AF573" s="2463"/>
      <c r="AG573" s="2463"/>
      <c r="AH573" s="2464"/>
      <c r="AI573" s="2465"/>
      <c r="AJ573" s="2466"/>
      <c r="AK573" s="2466"/>
      <c r="AL573" s="2467"/>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8"/>
      <c r="D574" s="2048"/>
      <c r="E574" s="2048"/>
      <c r="F574" s="2048"/>
      <c r="G574" s="2048"/>
      <c r="H574" s="2048"/>
      <c r="I574" s="2048"/>
      <c r="J574" s="2048"/>
      <c r="K574" s="2048"/>
      <c r="L574" s="2048"/>
      <c r="M574" s="2048"/>
      <c r="N574" s="2048"/>
      <c r="O574" s="2048"/>
      <c r="P574" s="2049"/>
      <c r="Q574" s="2004"/>
      <c r="R574" s="2005"/>
      <c r="S574" s="2006"/>
      <c r="T574" s="2004"/>
      <c r="U574" s="2005"/>
      <c r="V574" s="2006"/>
      <c r="W574" s="2471"/>
      <c r="X574" s="2472"/>
      <c r="Y574" s="2473"/>
      <c r="Z574" s="2469" t="s">
        <v>1381</v>
      </c>
      <c r="AA574" s="2469"/>
      <c r="AB574" s="2469"/>
      <c r="AC574" s="2469"/>
      <c r="AD574" s="2469"/>
      <c r="AE574" s="2462"/>
      <c r="AF574" s="2463"/>
      <c r="AG574" s="2463"/>
      <c r="AH574" s="2464"/>
      <c r="AI574" s="2465"/>
      <c r="AJ574" s="2466"/>
      <c r="AK574" s="2466"/>
      <c r="AL574" s="2467"/>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8"/>
      <c r="D575" s="2048"/>
      <c r="E575" s="2048"/>
      <c r="F575" s="2048"/>
      <c r="G575" s="2048"/>
      <c r="H575" s="2048"/>
      <c r="I575" s="2048"/>
      <c r="J575" s="2048"/>
      <c r="K575" s="2048"/>
      <c r="L575" s="2048"/>
      <c r="M575" s="2048"/>
      <c r="N575" s="2048"/>
      <c r="O575" s="2048"/>
      <c r="P575" s="2049"/>
      <c r="Q575" s="2004"/>
      <c r="R575" s="2005"/>
      <c r="S575" s="2006"/>
      <c r="T575" s="2004"/>
      <c r="U575" s="2005"/>
      <c r="V575" s="2006"/>
      <c r="W575" s="2471"/>
      <c r="X575" s="2472"/>
      <c r="Y575" s="2473"/>
      <c r="Z575" s="2469" t="s">
        <v>1381</v>
      </c>
      <c r="AA575" s="2469"/>
      <c r="AB575" s="2469"/>
      <c r="AC575" s="2469"/>
      <c r="AD575" s="2469"/>
      <c r="AE575" s="2462"/>
      <c r="AF575" s="2463"/>
      <c r="AG575" s="2463"/>
      <c r="AH575" s="2464"/>
      <c r="AI575" s="2465"/>
      <c r="AJ575" s="2466"/>
      <c r="AK575" s="2466"/>
      <c r="AL575" s="2467"/>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379"/>
      <c r="V576" s="2286"/>
      <c r="W576" s="2286"/>
      <c r="X576" s="2286"/>
      <c r="Y576" s="2286"/>
      <c r="Z576" s="2286"/>
      <c r="AA576" s="2286"/>
      <c r="AB576" s="2286"/>
      <c r="AC576" s="2286"/>
      <c r="AD576" s="2286"/>
      <c r="AE576" s="2286"/>
      <c r="AF576" s="2286"/>
      <c r="AG576" s="2286"/>
      <c r="AH576" s="2286"/>
      <c r="AI576" s="2286"/>
      <c r="AJ576" s="2286"/>
      <c r="AK576" s="2286"/>
      <c r="AL576" s="2287"/>
      <c r="AM576" s="2292">
        <f>SUM(AM564:AS575)</f>
        <v>36631567</v>
      </c>
      <c r="AN576" s="2293"/>
      <c r="AO576" s="2293"/>
      <c r="AP576" s="2293"/>
      <c r="AQ576" s="2293"/>
      <c r="AR576" s="2293"/>
      <c r="AS576" s="22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1981" t="str">
        <f>C564</f>
        <v>Tax-Exempt Bonds - Citi Capital</v>
      </c>
      <c r="H578" s="1981"/>
      <c r="I578" s="1981"/>
      <c r="J578" s="1981"/>
      <c r="K578" s="1981"/>
      <c r="L578" s="1981"/>
      <c r="M578" s="1981"/>
      <c r="N578" s="1981"/>
      <c r="O578" s="1981"/>
      <c r="P578" s="1981"/>
      <c r="Q578" s="1981"/>
      <c r="R578" s="1981"/>
      <c r="S578" s="14"/>
      <c r="T578" s="87" t="s">
        <v>118</v>
      </c>
      <c r="U578" s="12" t="s">
        <v>496</v>
      </c>
      <c r="Z578" s="1981" t="str">
        <f>C565</f>
        <v>Taxable Bonds - Citi Capital</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3" t="s">
        <v>2634</v>
      </c>
      <c r="H579" s="2013"/>
      <c r="I579" s="2013"/>
      <c r="J579" s="2013"/>
      <c r="K579" s="2013"/>
      <c r="L579" s="2013"/>
      <c r="M579" s="2013"/>
      <c r="N579" s="2013"/>
      <c r="O579" s="2013"/>
      <c r="P579" s="2013"/>
      <c r="Q579" s="2013"/>
      <c r="R579" s="2013"/>
      <c r="S579" s="14"/>
      <c r="T579" s="35"/>
      <c r="U579" s="12" t="s">
        <v>90</v>
      </c>
      <c r="Z579" s="2013" t="s">
        <v>2634</v>
      </c>
      <c r="AA579" s="2013"/>
      <c r="AB579" s="2013"/>
      <c r="AC579" s="2013"/>
      <c r="AD579" s="2013"/>
      <c r="AE579" s="2013"/>
      <c r="AF579" s="2013"/>
      <c r="AG579" s="2013"/>
      <c r="AH579" s="2013"/>
      <c r="AI579" s="2013"/>
      <c r="AJ579" s="2013"/>
      <c r="AK579" s="201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13" t="s">
        <v>2635</v>
      </c>
      <c r="H580" s="2013"/>
      <c r="I580" s="2013"/>
      <c r="J580" s="2013"/>
      <c r="K580" s="2013"/>
      <c r="L580" s="2013"/>
      <c r="M580" s="2013"/>
      <c r="N580" s="2013"/>
      <c r="O580" s="2013"/>
      <c r="P580" s="2013"/>
      <c r="Q580" s="2013"/>
      <c r="R580" s="2013"/>
      <c r="S580" s="88"/>
      <c r="T580" s="35"/>
      <c r="U580" s="12" t="s">
        <v>615</v>
      </c>
      <c r="Z580" s="2013" t="s">
        <v>2635</v>
      </c>
      <c r="AA580" s="2013"/>
      <c r="AB580" s="2013"/>
      <c r="AC580" s="2013"/>
      <c r="AD580" s="2013"/>
      <c r="AE580" s="2013"/>
      <c r="AF580" s="2013"/>
      <c r="AG580" s="2013"/>
      <c r="AH580" s="2013"/>
      <c r="AI580" s="2013"/>
      <c r="AJ580" s="2013"/>
      <c r="AK580" s="201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2636</v>
      </c>
      <c r="H581" s="2013"/>
      <c r="I581" s="2013"/>
      <c r="J581" s="2013"/>
      <c r="K581" s="2013"/>
      <c r="L581" s="2013"/>
      <c r="M581" s="2013"/>
      <c r="N581" s="2013"/>
      <c r="O581" s="2013"/>
      <c r="P581" s="2013"/>
      <c r="Q581" s="2013"/>
      <c r="R581" s="2013"/>
      <c r="S581" s="14"/>
      <c r="T581" s="35"/>
      <c r="U581" s="12" t="s">
        <v>17</v>
      </c>
      <c r="Z581" s="2013" t="s">
        <v>2636</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3" t="s">
        <v>2637</v>
      </c>
      <c r="H582" s="2035"/>
      <c r="I582" s="2035"/>
      <c r="J582" s="2035"/>
      <c r="K582" s="2035"/>
      <c r="L582" s="2035"/>
      <c r="O582" s="137" t="s">
        <v>212</v>
      </c>
      <c r="P582" s="1992"/>
      <c r="Q582" s="1992"/>
      <c r="R582" s="1992"/>
      <c r="S582" s="16"/>
      <c r="T582" s="35"/>
      <c r="U582" s="12" t="s">
        <v>325</v>
      </c>
      <c r="Z582" s="2263" t="s">
        <v>2637</v>
      </c>
      <c r="AA582" s="2035"/>
      <c r="AB582" s="2035"/>
      <c r="AC582" s="2035"/>
      <c r="AD582" s="2035"/>
      <c r="AE582" s="2035"/>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2638</v>
      </c>
      <c r="I583" s="2013"/>
      <c r="J583" s="2013"/>
      <c r="K583" s="2013"/>
      <c r="L583" s="2013"/>
      <c r="M583" s="2013"/>
      <c r="N583" s="2013"/>
      <c r="O583" s="2013"/>
      <c r="P583" s="2013"/>
      <c r="Q583" s="2013"/>
      <c r="R583" s="2013"/>
      <c r="S583" s="14"/>
      <c r="T583" s="35"/>
      <c r="U583" s="12" t="s">
        <v>18</v>
      </c>
      <c r="AA583" s="2013" t="s">
        <v>2638</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24"/>
      <c r="N584" s="2024"/>
      <c r="O584" s="2024"/>
      <c r="P584" s="2024"/>
      <c r="Q584" s="2024"/>
      <c r="R584" s="2024"/>
      <c r="S584" s="14"/>
      <c r="T584" s="35"/>
      <c r="U584" s="507" t="s">
        <v>1382</v>
      </c>
      <c r="V584" s="717"/>
      <c r="W584" s="717"/>
      <c r="X584" s="717"/>
      <c r="Y584" s="717"/>
      <c r="Z584" s="717"/>
      <c r="AA584" s="14"/>
      <c r="AB584" s="14"/>
      <c r="AC584" s="14"/>
      <c r="AD584" s="14"/>
      <c r="AE584" s="14"/>
      <c r="AF584" s="2024"/>
      <c r="AG584" s="2024"/>
      <c r="AH584" s="2024"/>
      <c r="AI584" s="2024"/>
      <c r="AJ584" s="2024"/>
      <c r="AK584" s="202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578</v>
      </c>
      <c r="O585" s="1991"/>
      <c r="T585" s="35"/>
      <c r="U585" s="12" t="s">
        <v>20</v>
      </c>
      <c r="AG585" s="1991" t="s">
        <v>578</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1" t="str">
        <f>C566</f>
        <v>Deferred Developer Fee</v>
      </c>
      <c r="H587" s="1981"/>
      <c r="I587" s="1981"/>
      <c r="J587" s="1981"/>
      <c r="K587" s="1981"/>
      <c r="L587" s="1981"/>
      <c r="M587" s="1981"/>
      <c r="N587" s="1981"/>
      <c r="O587" s="1981"/>
      <c r="P587" s="1981"/>
      <c r="Q587" s="1981"/>
      <c r="R587" s="1981"/>
      <c r="T587" s="87" t="s">
        <v>616</v>
      </c>
      <c r="U587" s="12" t="s">
        <v>496</v>
      </c>
      <c r="Z587" s="1981" t="str">
        <f>C567</f>
        <v>HCD-IIG</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2601</v>
      </c>
      <c r="H588" s="2013"/>
      <c r="I588" s="2013"/>
      <c r="J588" s="2013"/>
      <c r="K588" s="2013"/>
      <c r="L588" s="2013"/>
      <c r="M588" s="2013"/>
      <c r="N588" s="2013"/>
      <c r="O588" s="2013"/>
      <c r="P588" s="2013"/>
      <c r="Q588" s="2013"/>
      <c r="R588" s="2013"/>
      <c r="T588" s="35"/>
      <c r="U588" s="12" t="s">
        <v>90</v>
      </c>
      <c r="Z588" s="2013" t="s">
        <v>2641</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3" t="s">
        <v>770</v>
      </c>
      <c r="H589" s="1993"/>
      <c r="I589" s="1993"/>
      <c r="J589" s="1993"/>
      <c r="K589" s="1993"/>
      <c r="L589" s="1993"/>
      <c r="M589" s="1993"/>
      <c r="N589" s="1993"/>
      <c r="O589" s="1993"/>
      <c r="P589" s="1993"/>
      <c r="Q589" s="1993"/>
      <c r="R589" s="1993"/>
      <c r="T589" s="35"/>
      <c r="U589" s="12" t="s">
        <v>615</v>
      </c>
      <c r="Z589" s="1993" t="s">
        <v>2642</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3" t="s">
        <v>2602</v>
      </c>
      <c r="H590" s="1993"/>
      <c r="I590" s="1993"/>
      <c r="J590" s="1993"/>
      <c r="K590" s="1993"/>
      <c r="L590" s="1993"/>
      <c r="M590" s="1993"/>
      <c r="N590" s="1993"/>
      <c r="O590" s="1993"/>
      <c r="P590" s="1993"/>
      <c r="Q590" s="1993"/>
      <c r="R590" s="1993"/>
      <c r="T590" s="35"/>
      <c r="U590" s="12" t="s">
        <v>17</v>
      </c>
      <c r="Z590" s="1993"/>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3" t="s">
        <v>2570</v>
      </c>
      <c r="H591" s="2035"/>
      <c r="I591" s="2035"/>
      <c r="J591" s="2035"/>
      <c r="K591" s="2035"/>
      <c r="L591" s="2035"/>
      <c r="O591" s="137" t="s">
        <v>212</v>
      </c>
      <c r="P591" s="1992"/>
      <c r="Q591" s="1992"/>
      <c r="R591" s="1992"/>
      <c r="T591" s="35"/>
      <c r="U591" s="12" t="s">
        <v>325</v>
      </c>
      <c r="Z591" s="2035"/>
      <c r="AA591" s="2035"/>
      <c r="AB591" s="2035"/>
      <c r="AC591" s="2035"/>
      <c r="AD591" s="2035"/>
      <c r="AE591" s="2035"/>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2065</v>
      </c>
      <c r="I592" s="2013"/>
      <c r="J592" s="2013"/>
      <c r="K592" s="2013"/>
      <c r="L592" s="2013"/>
      <c r="M592" s="2013"/>
      <c r="N592" s="2013"/>
      <c r="O592" s="2013"/>
      <c r="P592" s="2013"/>
      <c r="Q592" s="2013"/>
      <c r="R592" s="2013"/>
      <c r="T592" s="35"/>
      <c r="U592" s="12" t="s">
        <v>18</v>
      </c>
      <c r="AA592" s="2013" t="s">
        <v>2643</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578</v>
      </c>
      <c r="O593" s="1991"/>
      <c r="T593" s="35"/>
      <c r="U593" s="12" t="s">
        <v>20</v>
      </c>
      <c r="AG593" s="1991" t="s">
        <v>578</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1" t="str">
        <f>C568</f>
        <v>HCD-CDBG</v>
      </c>
      <c r="H595" s="1981"/>
      <c r="I595" s="1981"/>
      <c r="J595" s="1981"/>
      <c r="K595" s="1981"/>
      <c r="L595" s="1981"/>
      <c r="M595" s="1981"/>
      <c r="N595" s="1981"/>
      <c r="O595" s="1981"/>
      <c r="P595" s="1981"/>
      <c r="Q595" s="1981"/>
      <c r="R595" s="1981"/>
      <c r="T595" s="87" t="s">
        <v>619</v>
      </c>
      <c r="U595" s="12" t="s">
        <v>496</v>
      </c>
      <c r="Z595" s="1981" t="str">
        <f>C569</f>
        <v>HCD-CPLHA</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2641</v>
      </c>
      <c r="H596" s="2013"/>
      <c r="I596" s="2013"/>
      <c r="J596" s="2013"/>
      <c r="K596" s="2013"/>
      <c r="L596" s="2013"/>
      <c r="M596" s="2013"/>
      <c r="N596" s="2013"/>
      <c r="O596" s="2013"/>
      <c r="P596" s="2013"/>
      <c r="Q596" s="2013"/>
      <c r="R596" s="2013"/>
      <c r="T596" s="35"/>
      <c r="U596" s="12" t="s">
        <v>90</v>
      </c>
      <c r="Z596" s="2013" t="s">
        <v>2641</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3" t="s">
        <v>2642</v>
      </c>
      <c r="H597" s="1993"/>
      <c r="I597" s="1993"/>
      <c r="J597" s="1993"/>
      <c r="K597" s="1993"/>
      <c r="L597" s="1993"/>
      <c r="M597" s="1993"/>
      <c r="N597" s="1993"/>
      <c r="O597" s="1993"/>
      <c r="P597" s="1993"/>
      <c r="Q597" s="1993"/>
      <c r="R597" s="1993"/>
      <c r="T597" s="35"/>
      <c r="U597" s="12" t="s">
        <v>615</v>
      </c>
      <c r="Z597" s="1993" t="s">
        <v>2642</v>
      </c>
      <c r="AA597" s="1993"/>
      <c r="AB597" s="1993"/>
      <c r="AC597" s="1993"/>
      <c r="AD597" s="1993"/>
      <c r="AE597" s="1993"/>
      <c r="AF597" s="1993"/>
      <c r="AG597" s="1993"/>
      <c r="AH597" s="1993"/>
      <c r="AI597" s="1993"/>
      <c r="AJ597" s="1993"/>
      <c r="AK597" s="19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3"/>
      <c r="H598" s="2013"/>
      <c r="I598" s="2013"/>
      <c r="J598" s="2013"/>
      <c r="K598" s="2013"/>
      <c r="L598" s="2013"/>
      <c r="M598" s="2013"/>
      <c r="N598" s="2013"/>
      <c r="O598" s="2013"/>
      <c r="P598" s="2013"/>
      <c r="Q598" s="2013"/>
      <c r="R598" s="2013"/>
      <c r="T598" s="35"/>
      <c r="U598" s="12" t="s">
        <v>17</v>
      </c>
      <c r="Z598" s="1993"/>
      <c r="AA598" s="1993"/>
      <c r="AB598" s="1993"/>
      <c r="AC598" s="1993"/>
      <c r="AD598" s="1993"/>
      <c r="AE598" s="1993"/>
      <c r="AF598" s="1993"/>
      <c r="AG598" s="1993"/>
      <c r="AH598" s="1993"/>
      <c r="AI598" s="1993"/>
      <c r="AJ598" s="1993"/>
      <c r="AK598" s="19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5"/>
      <c r="H599" s="2035"/>
      <c r="I599" s="2035"/>
      <c r="J599" s="2035"/>
      <c r="K599" s="2035"/>
      <c r="L599" s="2035"/>
      <c r="O599" s="137" t="s">
        <v>212</v>
      </c>
      <c r="P599" s="1992"/>
      <c r="Q599" s="1992"/>
      <c r="R599" s="1992"/>
      <c r="T599" s="35"/>
      <c r="U599" s="12" t="s">
        <v>325</v>
      </c>
      <c r="Z599" s="2035"/>
      <c r="AA599" s="2035"/>
      <c r="AB599" s="2035"/>
      <c r="AC599" s="2035"/>
      <c r="AD599" s="2035"/>
      <c r="AE599" s="2035"/>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c r="I600" s="2013"/>
      <c r="J600" s="2013"/>
      <c r="K600" s="2013"/>
      <c r="L600" s="2013"/>
      <c r="M600" s="2013"/>
      <c r="N600" s="2013"/>
      <c r="O600" s="2013"/>
      <c r="P600" s="2013"/>
      <c r="Q600" s="2013"/>
      <c r="R600" s="2013"/>
      <c r="T600" s="35"/>
      <c r="U600" s="12" t="s">
        <v>18</v>
      </c>
      <c r="AA600" s="2013"/>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91" t="s">
        <v>578</v>
      </c>
      <c r="O601" s="1991"/>
      <c r="T601" s="35"/>
      <c r="U601" s="12" t="s">
        <v>20</v>
      </c>
      <c r="AG601" s="1991" t="s">
        <v>578</v>
      </c>
      <c r="AH601" s="199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1981" t="str">
        <f>C570</f>
        <v>LHTIC - Red Stone Equity</v>
      </c>
      <c r="H603" s="1981"/>
      <c r="I603" s="1981"/>
      <c r="J603" s="1981"/>
      <c r="K603" s="1981"/>
      <c r="L603" s="1981"/>
      <c r="M603" s="1981"/>
      <c r="N603" s="1981"/>
      <c r="O603" s="1981"/>
      <c r="P603" s="1981"/>
      <c r="Q603" s="1981"/>
      <c r="R603" s="1981"/>
      <c r="T603" s="87" t="s">
        <v>488</v>
      </c>
      <c r="U603" s="12" t="s">
        <v>496</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3" t="s">
        <v>2610</v>
      </c>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3" t="s">
        <v>2611</v>
      </c>
      <c r="H605" s="2013"/>
      <c r="I605" s="2013"/>
      <c r="J605" s="2013"/>
      <c r="K605" s="2013"/>
      <c r="L605" s="2013"/>
      <c r="M605" s="2013"/>
      <c r="N605" s="2013"/>
      <c r="O605" s="2013"/>
      <c r="P605" s="2013"/>
      <c r="Q605" s="2013"/>
      <c r="R605" s="2013"/>
      <c r="T605" s="35"/>
      <c r="U605" s="12" t="s">
        <v>615</v>
      </c>
      <c r="Z605" s="1993"/>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3" t="s">
        <v>2639</v>
      </c>
      <c r="H606" s="2013"/>
      <c r="I606" s="2013"/>
      <c r="J606" s="2013"/>
      <c r="K606" s="2013"/>
      <c r="L606" s="2013"/>
      <c r="M606" s="2013"/>
      <c r="N606" s="2013"/>
      <c r="O606" s="2013"/>
      <c r="P606" s="2013"/>
      <c r="Q606" s="2013"/>
      <c r="R606" s="2013"/>
      <c r="T606" s="35"/>
      <c r="U606" s="12" t="s">
        <v>17</v>
      </c>
      <c r="Z606" s="1993"/>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3" t="s">
        <v>2613</v>
      </c>
      <c r="H607" s="2035"/>
      <c r="I607" s="2035"/>
      <c r="J607" s="2035"/>
      <c r="K607" s="2035"/>
      <c r="L607" s="2035"/>
      <c r="M607" s="12"/>
      <c r="N607" s="12"/>
      <c r="O607" s="137" t="s">
        <v>212</v>
      </c>
      <c r="P607" s="1992"/>
      <c r="Q607" s="1992"/>
      <c r="R607" s="1992"/>
      <c r="S607" s="12"/>
      <c r="T607" s="35"/>
      <c r="U607" s="12" t="s">
        <v>325</v>
      </c>
      <c r="V607" s="12"/>
      <c r="W607" s="12"/>
      <c r="X607" s="12"/>
      <c r="Y607" s="12"/>
      <c r="Z607" s="2035"/>
      <c r="AA607" s="2035"/>
      <c r="AB607" s="2035"/>
      <c r="AC607" s="2035"/>
      <c r="AD607" s="2035"/>
      <c r="AE607" s="2035"/>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3" t="s">
        <v>2640</v>
      </c>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91" t="s">
        <v>578</v>
      </c>
      <c r="O609" s="1991"/>
      <c r="P609" s="12"/>
      <c r="Q609" s="12"/>
      <c r="R609" s="12"/>
      <c r="S609" s="12"/>
      <c r="T609" s="35"/>
      <c r="U609" s="12" t="s">
        <v>20</v>
      </c>
      <c r="V609" s="12"/>
      <c r="W609" s="12"/>
      <c r="X609" s="12"/>
      <c r="Y609" s="12"/>
      <c r="Z609" s="12"/>
      <c r="AA609" s="12"/>
      <c r="AB609" s="12"/>
      <c r="AC609" s="12"/>
      <c r="AD609" s="12"/>
      <c r="AE609" s="12"/>
      <c r="AF609" s="12"/>
      <c r="AG609" s="1991" t="s">
        <v>706</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113" t="s">
        <v>668</v>
      </c>
      <c r="BO609" s="2114"/>
      <c r="BP609" s="2114"/>
      <c r="BQ609" s="2114"/>
      <c r="BR609" s="2115"/>
      <c r="BS609" s="2050" t="s">
        <v>334</v>
      </c>
      <c r="BT609" s="2050"/>
      <c r="BU609" s="2050"/>
      <c r="BV609" s="2050"/>
      <c r="BW609" s="2050"/>
      <c r="BX609" s="2050" t="s">
        <v>168</v>
      </c>
      <c r="BY609" s="2050"/>
      <c r="BZ609" s="2050"/>
      <c r="CA609" s="2050"/>
      <c r="CB609" s="2050"/>
      <c r="CC609" s="2050" t="s">
        <v>169</v>
      </c>
      <c r="CD609" s="2050"/>
      <c r="CE609" s="2050"/>
      <c r="CF609" s="2050"/>
      <c r="CG609" s="2050"/>
      <c r="CH609" s="2050" t="s">
        <v>493</v>
      </c>
      <c r="CI609" s="2050"/>
      <c r="CJ609" s="2050"/>
      <c r="CK609" s="2050"/>
      <c r="CL609" s="2050"/>
      <c r="CM609" s="2050" t="s">
        <v>31</v>
      </c>
      <c r="CN609" s="2050"/>
      <c r="CO609" s="2050"/>
      <c r="CP609" s="2050"/>
      <c r="CQ609" s="2050"/>
      <c r="CR609" s="1704"/>
      <c r="CS609" s="2050" t="s">
        <v>668</v>
      </c>
      <c r="CT609" s="2050"/>
      <c r="CU609" s="2050"/>
      <c r="CV609" s="2050"/>
      <c r="CW609" s="2050"/>
      <c r="CX609" s="2050" t="s">
        <v>334</v>
      </c>
      <c r="CY609" s="2050"/>
      <c r="CZ609" s="2050"/>
      <c r="DA609" s="2050"/>
      <c r="DB609" s="2050"/>
      <c r="DC609" s="2050" t="s">
        <v>168</v>
      </c>
      <c r="DD609" s="2050"/>
      <c r="DE609" s="2050"/>
      <c r="DF609" s="2050"/>
      <c r="DG609" s="2050"/>
      <c r="DH609" s="2050" t="s">
        <v>169</v>
      </c>
      <c r="DI609" s="2050"/>
      <c r="DJ609" s="2050"/>
      <c r="DK609" s="2050"/>
      <c r="DL609" s="2050"/>
      <c r="DM609" s="2050" t="s">
        <v>493</v>
      </c>
      <c r="DN609" s="2050"/>
      <c r="DO609" s="2050"/>
      <c r="DP609" s="2050"/>
      <c r="DQ609" s="2050"/>
      <c r="DR609" s="2050" t="s">
        <v>31</v>
      </c>
      <c r="DS609" s="2050"/>
      <c r="DT609" s="2050"/>
      <c r="DU609" s="2050"/>
      <c r="DV609" s="2050"/>
      <c r="DX609" s="2050" t="s">
        <v>668</v>
      </c>
      <c r="DY609" s="2050"/>
      <c r="DZ609" s="2050"/>
      <c r="EA609" s="2050"/>
      <c r="EB609" s="2050"/>
      <c r="EC609" s="2050" t="s">
        <v>334</v>
      </c>
      <c r="ED609" s="2050"/>
      <c r="EE609" s="2050"/>
      <c r="EF609" s="2050"/>
      <c r="EG609" s="2050"/>
      <c r="EH609" s="2050" t="s">
        <v>168</v>
      </c>
      <c r="EI609" s="2050"/>
      <c r="EJ609" s="2050"/>
      <c r="EK609" s="2050"/>
      <c r="EL609" s="2050"/>
      <c r="EM609" s="2050" t="s">
        <v>169</v>
      </c>
      <c r="EN609" s="2050"/>
      <c r="EO609" s="2050"/>
      <c r="EP609" s="2050"/>
      <c r="EQ609" s="2050"/>
      <c r="ER609" s="2050" t="s">
        <v>493</v>
      </c>
      <c r="ES609" s="2050"/>
      <c r="ET609" s="2050"/>
      <c r="EU609" s="2050"/>
      <c r="EV609" s="2050"/>
      <c r="EW609" s="2050" t="s">
        <v>31</v>
      </c>
      <c r="EX609" s="2050"/>
      <c r="EY609" s="2050"/>
      <c r="EZ609" s="2050"/>
      <c r="FA609" s="205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0</v>
      </c>
      <c r="BJ610" s="1997"/>
      <c r="BK610" s="1977">
        <f t="shared" ref="BK610:BK634" si="3">IF(BI610=1,G728,0)</f>
        <v>0</v>
      </c>
      <c r="BL610" s="1979"/>
      <c r="BM610" s="58"/>
      <c r="BN610" s="1970">
        <f t="shared" ref="BN610:BN634" si="4">IF(B728="SRO/Studio",G728,0)</f>
        <v>0</v>
      </c>
      <c r="BO610" s="1971"/>
      <c r="BP610" s="1971"/>
      <c r="BQ610" s="1971"/>
      <c r="BR610" s="1972"/>
      <c r="BS610" s="1976">
        <f t="shared" ref="BS610:BS634" si="5">IF(B728="1 Bedroom",G728,0)</f>
        <v>4</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0</v>
      </c>
      <c r="CT610" s="1994"/>
      <c r="CU610" s="1994"/>
      <c r="CV610" s="1994"/>
      <c r="CW610" s="1994"/>
      <c r="CX610" s="1994">
        <f t="shared" ref="CX610:CX634" si="11">IF(AND(B728="1 Bedroom",AH728&lt;=0.3),G728,0)</f>
        <v>0</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t="str">
        <f t="shared" ref="DX610:DX634" si="16">IF(BN610&gt;0,O728," ")</f>
        <v xml:space="preserve"> </v>
      </c>
      <c r="DY610" s="1996"/>
      <c r="DZ610" s="1996"/>
      <c r="EA610" s="1996"/>
      <c r="EB610" s="1997"/>
      <c r="EC610" s="1995">
        <f t="shared" ref="EC610:EC634" si="17">IF(BS610&gt;0,O728," ")</f>
        <v>1010</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3.2">
      <c r="A611" s="87" t="s">
        <v>494</v>
      </c>
      <c r="B611" s="12" t="s">
        <v>496</v>
      </c>
      <c r="C611" s="12"/>
      <c r="D611" s="12"/>
      <c r="E611" s="12"/>
      <c r="F611" s="12"/>
      <c r="G611" s="1981">
        <f>C572</f>
        <v>0</v>
      </c>
      <c r="H611" s="1981"/>
      <c r="I611" s="1981"/>
      <c r="J611" s="1981"/>
      <c r="K611" s="1981"/>
      <c r="L611" s="1981"/>
      <c r="M611" s="1981"/>
      <c r="N611" s="1981"/>
      <c r="O611" s="1981"/>
      <c r="P611" s="1981"/>
      <c r="Q611" s="1981"/>
      <c r="R611" s="1981"/>
      <c r="S611" s="12"/>
      <c r="T611" s="87" t="s">
        <v>681</v>
      </c>
      <c r="U611" s="12" t="s">
        <v>496</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1</v>
      </c>
      <c r="BF611" s="1997"/>
      <c r="BG611" s="1977">
        <f t="shared" si="1"/>
        <v>4</v>
      </c>
      <c r="BH611" s="1979"/>
      <c r="BI611" s="1995">
        <f t="shared" si="2"/>
        <v>0</v>
      </c>
      <c r="BJ611" s="1997"/>
      <c r="BK611" s="1977">
        <f t="shared" si="3"/>
        <v>0</v>
      </c>
      <c r="BL611" s="1979"/>
      <c r="BM611" s="58"/>
      <c r="BN611" s="1970">
        <f t="shared" si="4"/>
        <v>0</v>
      </c>
      <c r="BO611" s="1971"/>
      <c r="BP611" s="1971"/>
      <c r="BQ611" s="1971"/>
      <c r="BR611" s="1972"/>
      <c r="BS611" s="1976">
        <f t="shared" si="5"/>
        <v>4</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0</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t="str">
        <f t="shared" si="16"/>
        <v xml:space="preserve"> </v>
      </c>
      <c r="DY611" s="1996"/>
      <c r="DZ611" s="1996"/>
      <c r="EA611" s="1996"/>
      <c r="EB611" s="1997"/>
      <c r="EC611" s="1995">
        <f t="shared" si="17"/>
        <v>670</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3.2">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0</v>
      </c>
      <c r="BF612" s="1997"/>
      <c r="BG612" s="1977">
        <f t="shared" si="1"/>
        <v>0</v>
      </c>
      <c r="BH612" s="1979"/>
      <c r="BI612" s="1995">
        <f t="shared" si="2"/>
        <v>1</v>
      </c>
      <c r="BJ612" s="1997"/>
      <c r="BK612" s="1977">
        <f t="shared" si="3"/>
        <v>4</v>
      </c>
      <c r="BL612" s="1979"/>
      <c r="BM612" s="58"/>
      <c r="BN612" s="1970">
        <f t="shared" si="4"/>
        <v>0</v>
      </c>
      <c r="BO612" s="1971"/>
      <c r="BP612" s="1971"/>
      <c r="BQ612" s="1971"/>
      <c r="BR612" s="1972"/>
      <c r="BS612" s="1976">
        <f t="shared" si="5"/>
        <v>4</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4</v>
      </c>
      <c r="CY612" s="1994"/>
      <c r="CZ612" s="1994"/>
      <c r="DA612" s="1994"/>
      <c r="DB612" s="1994"/>
      <c r="DC612" s="1994">
        <f t="shared" si="12"/>
        <v>0</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f t="shared" si="17"/>
        <v>500</v>
      </c>
      <c r="ED612" s="1996"/>
      <c r="EE612" s="1996"/>
      <c r="EF612" s="1996"/>
      <c r="EG612" s="1997"/>
      <c r="EH612" s="1995" t="str">
        <f t="shared" si="18"/>
        <v xml:space="preserve"> </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3.2">
      <c r="A613" s="35"/>
      <c r="B613" s="12" t="s">
        <v>615</v>
      </c>
      <c r="G613" s="2013"/>
      <c r="H613" s="2013"/>
      <c r="I613" s="2013"/>
      <c r="J613" s="2013"/>
      <c r="K613" s="2013"/>
      <c r="L613" s="2013"/>
      <c r="M613" s="2013"/>
      <c r="N613" s="2013"/>
      <c r="O613" s="2013"/>
      <c r="P613" s="2013"/>
      <c r="Q613" s="2013"/>
      <c r="R613" s="2013"/>
      <c r="T613" s="35"/>
      <c r="U613" s="12" t="s">
        <v>615</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0</v>
      </c>
      <c r="BJ613" s="1997"/>
      <c r="BK613" s="1977">
        <f t="shared" si="3"/>
        <v>0</v>
      </c>
      <c r="BL613" s="1979"/>
      <c r="BM613" s="58"/>
      <c r="BN613" s="1970">
        <f t="shared" si="4"/>
        <v>0</v>
      </c>
      <c r="BO613" s="1971"/>
      <c r="BP613" s="1971"/>
      <c r="BQ613" s="1971"/>
      <c r="BR613" s="1972"/>
      <c r="BS613" s="1976">
        <f t="shared" si="5"/>
        <v>0</v>
      </c>
      <c r="BT613" s="1976"/>
      <c r="BU613" s="1976"/>
      <c r="BV613" s="1976"/>
      <c r="BW613" s="1976"/>
      <c r="BX613" s="1976">
        <f t="shared" si="6"/>
        <v>8</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t="str">
        <f t="shared" si="17"/>
        <v xml:space="preserve"> </v>
      </c>
      <c r="ED613" s="1996"/>
      <c r="EE613" s="1996"/>
      <c r="EF613" s="1996"/>
      <c r="EG613" s="1997"/>
      <c r="EH613" s="1995">
        <f t="shared" si="18"/>
        <v>1214</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3.2">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1</v>
      </c>
      <c r="BF614" s="1997"/>
      <c r="BG614" s="1977">
        <f t="shared" si="1"/>
        <v>11</v>
      </c>
      <c r="BH614" s="1979"/>
      <c r="BI614" s="1995">
        <f t="shared" si="2"/>
        <v>0</v>
      </c>
      <c r="BJ614" s="1997"/>
      <c r="BK614" s="1977">
        <f t="shared" si="3"/>
        <v>0</v>
      </c>
      <c r="BL614" s="1979"/>
      <c r="BM614" s="58"/>
      <c r="BN614" s="1970">
        <f t="shared" si="4"/>
        <v>0</v>
      </c>
      <c r="BO614" s="1971"/>
      <c r="BP614" s="1971"/>
      <c r="BQ614" s="1971"/>
      <c r="BR614" s="1972"/>
      <c r="BS614" s="1976">
        <f t="shared" si="5"/>
        <v>0</v>
      </c>
      <c r="BT614" s="1976"/>
      <c r="BU614" s="1976"/>
      <c r="BV614" s="1976"/>
      <c r="BW614" s="1976"/>
      <c r="BX614" s="1976">
        <f t="shared" si="6"/>
        <v>11</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t="str">
        <f t="shared" si="17"/>
        <v xml:space="preserve"> </v>
      </c>
      <c r="ED614" s="1996"/>
      <c r="EE614" s="1996"/>
      <c r="EF614" s="1996"/>
      <c r="EG614" s="1997"/>
      <c r="EH614" s="1995">
        <f t="shared" si="18"/>
        <v>1010</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3.2">
      <c r="A615" s="35"/>
      <c r="B615" s="12" t="s">
        <v>325</v>
      </c>
      <c r="G615" s="2035"/>
      <c r="H615" s="2035"/>
      <c r="I615" s="2035"/>
      <c r="J615" s="2035"/>
      <c r="K615" s="2035"/>
      <c r="L615" s="2035"/>
      <c r="O615" s="137" t="s">
        <v>212</v>
      </c>
      <c r="P615" s="1992"/>
      <c r="Q615" s="1992"/>
      <c r="R615" s="1992"/>
      <c r="T615" s="35"/>
      <c r="U615" s="12" t="s">
        <v>325</v>
      </c>
      <c r="Z615" s="2035"/>
      <c r="AA615" s="2035"/>
      <c r="AB615" s="2035"/>
      <c r="AC615" s="2035"/>
      <c r="AD615" s="2035"/>
      <c r="AE615" s="2035"/>
      <c r="AH615" s="137" t="s">
        <v>212</v>
      </c>
      <c r="AI615" s="1992"/>
      <c r="AJ615" s="1992"/>
      <c r="AK615" s="1992"/>
      <c r="AZ615" s="58"/>
      <c r="BA615" s="58"/>
      <c r="BB615" s="58"/>
      <c r="BC615" s="58"/>
      <c r="BD615" s="58"/>
      <c r="BE615" s="1995">
        <f t="shared" si="0"/>
        <v>1</v>
      </c>
      <c r="BF615" s="1997"/>
      <c r="BG615" s="1977">
        <f t="shared" si="1"/>
        <v>12</v>
      </c>
      <c r="BH615" s="1979"/>
      <c r="BI615" s="1995">
        <f t="shared" si="2"/>
        <v>0</v>
      </c>
      <c r="BJ615" s="1997"/>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12</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f t="shared" si="18"/>
        <v>806</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3.2">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0</v>
      </c>
      <c r="BF616" s="1997"/>
      <c r="BG616" s="1977">
        <f t="shared" si="1"/>
        <v>0</v>
      </c>
      <c r="BH616" s="1979"/>
      <c r="BI616" s="1995">
        <f t="shared" si="2"/>
        <v>1</v>
      </c>
      <c r="BJ616" s="1997"/>
      <c r="BK616" s="1977">
        <f t="shared" si="3"/>
        <v>10</v>
      </c>
      <c r="BL616" s="1979"/>
      <c r="BM616" s="58"/>
      <c r="BN616" s="1970">
        <f t="shared" si="4"/>
        <v>0</v>
      </c>
      <c r="BO616" s="1971"/>
      <c r="BP616" s="1971"/>
      <c r="BQ616" s="1971"/>
      <c r="BR616" s="1972"/>
      <c r="BS616" s="1976">
        <f t="shared" si="5"/>
        <v>0</v>
      </c>
      <c r="BT616" s="1976"/>
      <c r="BU616" s="1976"/>
      <c r="BV616" s="1976"/>
      <c r="BW616" s="1976"/>
      <c r="BX616" s="1976">
        <f t="shared" si="6"/>
        <v>10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10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f t="shared" si="18"/>
        <v>602</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3.2">
      <c r="A617" s="35"/>
      <c r="B617" s="12" t="s">
        <v>20</v>
      </c>
      <c r="N617" s="1991" t="s">
        <v>706</v>
      </c>
      <c r="O617" s="1991"/>
      <c r="T617" s="35"/>
      <c r="U617" s="12" t="s">
        <v>20</v>
      </c>
      <c r="AG617" s="1991" t="s">
        <v>706</v>
      </c>
      <c r="AH617" s="1991"/>
      <c r="AZ617" s="58"/>
      <c r="BA617" s="58"/>
      <c r="BB617" s="58"/>
      <c r="BC617" s="58"/>
      <c r="BD617" s="58"/>
      <c r="BE617" s="1995">
        <f t="shared" si="0"/>
        <v>0</v>
      </c>
      <c r="BF617" s="1997"/>
      <c r="BG617" s="1977">
        <f t="shared" si="1"/>
        <v>0</v>
      </c>
      <c r="BH617" s="1979"/>
      <c r="BI617" s="1995">
        <f t="shared" si="2"/>
        <v>0</v>
      </c>
      <c r="BJ617" s="1997"/>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0</v>
      </c>
      <c r="BY617" s="1976"/>
      <c r="BZ617" s="1976"/>
      <c r="CA617" s="1976"/>
      <c r="CB617" s="1976"/>
      <c r="CC617" s="1976">
        <f t="shared" si="7"/>
        <v>8</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t="str">
        <f t="shared" si="18"/>
        <v xml:space="preserve"> </v>
      </c>
      <c r="EI617" s="1996"/>
      <c r="EJ617" s="1996"/>
      <c r="EK617" s="1996"/>
      <c r="EL617" s="1997"/>
      <c r="EM617" s="1995">
        <f t="shared" si="19"/>
        <v>1403</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1</v>
      </c>
      <c r="BF618" s="1997"/>
      <c r="BG618" s="1977">
        <f t="shared" si="1"/>
        <v>8</v>
      </c>
      <c r="BH618" s="1979"/>
      <c r="BI618" s="1995">
        <f t="shared" si="2"/>
        <v>0</v>
      </c>
      <c r="BJ618" s="1997"/>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8</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t="str">
        <f t="shared" si="18"/>
        <v xml:space="preserve"> </v>
      </c>
      <c r="EI618" s="1996"/>
      <c r="EJ618" s="1996"/>
      <c r="EK618" s="1996"/>
      <c r="EL618" s="1997"/>
      <c r="EM618" s="1995">
        <f t="shared" si="19"/>
        <v>1168</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3.2">
      <c r="A619" s="87" t="s">
        <v>372</v>
      </c>
      <c r="B619" s="12" t="s">
        <v>496</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496</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1</v>
      </c>
      <c r="BF619" s="1997"/>
      <c r="BG619" s="1977">
        <f t="shared" si="1"/>
        <v>7</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7</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t="str">
        <f t="shared" si="18"/>
        <v xml:space="preserve"> </v>
      </c>
      <c r="EI619" s="1996"/>
      <c r="EJ619" s="1996"/>
      <c r="EK619" s="1996"/>
      <c r="EL619" s="1997"/>
      <c r="EM619" s="1995">
        <f t="shared" si="19"/>
        <v>932</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3.2">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7">
        <f t="shared" si="1"/>
        <v>0</v>
      </c>
      <c r="BH620" s="1979"/>
      <c r="BI620" s="1995">
        <f t="shared" si="2"/>
        <v>1</v>
      </c>
      <c r="BJ620" s="1997"/>
      <c r="BK620" s="1977">
        <f t="shared" si="3"/>
        <v>5</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5</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5</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f t="shared" si="19"/>
        <v>696</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3.2">
      <c r="B621" s="12" t="s">
        <v>615</v>
      </c>
      <c r="G621" s="2013"/>
      <c r="H621" s="2013"/>
      <c r="I621" s="2013"/>
      <c r="J621" s="2013"/>
      <c r="K621" s="2013"/>
      <c r="L621" s="2013"/>
      <c r="M621" s="2013"/>
      <c r="N621" s="2013"/>
      <c r="O621" s="2013"/>
      <c r="P621" s="2013"/>
      <c r="Q621" s="2013"/>
      <c r="R621" s="2013"/>
      <c r="U621" s="12" t="s">
        <v>615</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0</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t="str">
        <f t="shared" si="19"/>
        <v xml:space="preserve"> </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3.2">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3.2">
      <c r="B623" s="12" t="s">
        <v>325</v>
      </c>
      <c r="G623" s="2035"/>
      <c r="H623" s="2035"/>
      <c r="I623" s="2035"/>
      <c r="J623" s="2035"/>
      <c r="K623" s="2035"/>
      <c r="L623" s="2035"/>
      <c r="O623" s="137" t="s">
        <v>212</v>
      </c>
      <c r="P623" s="1992"/>
      <c r="Q623" s="1992"/>
      <c r="R623" s="1992"/>
      <c r="U623" s="12" t="s">
        <v>325</v>
      </c>
      <c r="Z623" s="2035"/>
      <c r="AA623" s="2035"/>
      <c r="AB623" s="2035"/>
      <c r="AC623" s="2035"/>
      <c r="AD623" s="2035"/>
      <c r="AE623" s="2035"/>
      <c r="AH623" s="137" t="s">
        <v>212</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3.2">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3.2">
      <c r="B625" s="12" t="s">
        <v>20</v>
      </c>
      <c r="N625" s="1991" t="s">
        <v>706</v>
      </c>
      <c r="O625" s="1991"/>
      <c r="U625" s="12" t="s">
        <v>20</v>
      </c>
      <c r="AG625" s="1991" t="s">
        <v>706</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3.2">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3.2">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3.2">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3.2">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3.2">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3.2">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7" customFormat="1" ht="12.75" customHeight="1">
      <c r="B634" s="2172" t="s">
        <v>484</v>
      </c>
      <c r="C634" s="2173"/>
      <c r="D634" s="2173"/>
      <c r="E634" s="2173"/>
      <c r="F634" s="2173"/>
      <c r="G634" s="2173"/>
      <c r="H634" s="2173"/>
      <c r="I634" s="2173"/>
      <c r="J634" s="2173"/>
      <c r="K634" s="2173"/>
      <c r="L634" s="2173"/>
      <c r="M634" s="2173"/>
      <c r="N634" s="2174"/>
      <c r="O634" s="2026" t="s">
        <v>2293</v>
      </c>
      <c r="P634" s="2027"/>
      <c r="Q634" s="2028"/>
      <c r="R634" s="2026" t="s">
        <v>2291</v>
      </c>
      <c r="S634" s="2027"/>
      <c r="T634" s="2028"/>
      <c r="U634" s="2018" t="s">
        <v>485</v>
      </c>
      <c r="V634" s="2018"/>
      <c r="W634" s="2019"/>
      <c r="X634" s="2026" t="s">
        <v>2090</v>
      </c>
      <c r="Y634" s="2027"/>
      <c r="Z634" s="2027"/>
      <c r="AA634" s="2027"/>
      <c r="AB634" s="2028"/>
      <c r="AC634" s="2264" t="s">
        <v>2088</v>
      </c>
      <c r="AD634" s="2265"/>
      <c r="AE634" s="2266"/>
      <c r="AF634" s="2026" t="s">
        <v>2091</v>
      </c>
      <c r="AG634" s="2027"/>
      <c r="AH634" s="2027"/>
      <c r="AI634" s="2027"/>
      <c r="AJ634" s="2028"/>
      <c r="AK634" s="2253" t="s">
        <v>2092</v>
      </c>
      <c r="AL634" s="2254"/>
      <c r="AM634" s="2254"/>
      <c r="AN634" s="2255"/>
      <c r="AO634" s="2312" t="s">
        <v>486</v>
      </c>
      <c r="AP634" s="2312"/>
      <c r="AQ634" s="2312"/>
      <c r="AR634" s="2312"/>
      <c r="AS634" s="2312"/>
      <c r="AT634" s="1718"/>
      <c r="AU634" s="1718"/>
      <c r="AV634" s="1718"/>
      <c r="AW634" s="1718"/>
      <c r="AX634" s="1718"/>
      <c r="AY634" s="1718"/>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7" customFormat="1" ht="13.2">
      <c r="B635" s="2308"/>
      <c r="C635" s="2309"/>
      <c r="D635" s="2309"/>
      <c r="E635" s="2309"/>
      <c r="F635" s="2309"/>
      <c r="G635" s="2309"/>
      <c r="H635" s="2309"/>
      <c r="I635" s="2309"/>
      <c r="J635" s="2309"/>
      <c r="K635" s="2309"/>
      <c r="L635" s="2309"/>
      <c r="M635" s="2309"/>
      <c r="N635" s="2310"/>
      <c r="O635" s="2029"/>
      <c r="P635" s="2030"/>
      <c r="Q635" s="2031"/>
      <c r="R635" s="2029"/>
      <c r="S635" s="2030"/>
      <c r="T635" s="2031"/>
      <c r="U635" s="2020"/>
      <c r="V635" s="2020"/>
      <c r="W635" s="2021"/>
      <c r="X635" s="2029"/>
      <c r="Y635" s="2030"/>
      <c r="Z635" s="2030"/>
      <c r="AA635" s="2030"/>
      <c r="AB635" s="2031"/>
      <c r="AC635" s="2267"/>
      <c r="AD635" s="2268"/>
      <c r="AE635" s="2269"/>
      <c r="AF635" s="2029"/>
      <c r="AG635" s="2030"/>
      <c r="AH635" s="2030"/>
      <c r="AI635" s="2030"/>
      <c r="AJ635" s="2031"/>
      <c r="AK635" s="2256"/>
      <c r="AL635" s="2257"/>
      <c r="AM635" s="2257"/>
      <c r="AN635" s="2258"/>
      <c r="AO635" s="2312"/>
      <c r="AP635" s="2312"/>
      <c r="AQ635" s="2312"/>
      <c r="AR635" s="2312"/>
      <c r="AS635" s="2312"/>
      <c r="AT635" s="1718"/>
      <c r="AU635" s="1718"/>
      <c r="AV635" s="1718"/>
      <c r="AW635" s="1718"/>
      <c r="AX635" s="1718"/>
      <c r="AY635" s="1718"/>
      <c r="AZ635" s="181"/>
      <c r="BA635" s="181"/>
      <c r="BB635" s="181"/>
      <c r="BC635" s="181"/>
      <c r="BD635" s="181"/>
      <c r="BE635" s="181"/>
      <c r="BF635" s="181"/>
      <c r="BG635" s="1995">
        <f>SUM(BG610:BH634)</f>
        <v>42</v>
      </c>
      <c r="BH635" s="1997"/>
      <c r="BI635" s="181"/>
      <c r="BJ635" s="181"/>
      <c r="BK635" s="1995">
        <f>SUM(BK610:BL634)</f>
        <v>19</v>
      </c>
      <c r="BL635" s="1997"/>
      <c r="BM635" s="181"/>
      <c r="BN635" s="1995">
        <f>SUM(BN610:BR634)</f>
        <v>0</v>
      </c>
      <c r="BO635" s="1996"/>
      <c r="BP635" s="1996"/>
      <c r="BQ635" s="1996"/>
      <c r="BR635" s="1997"/>
      <c r="BS635" s="2003">
        <f>SUM(BS610:BW634)</f>
        <v>12</v>
      </c>
      <c r="BT635" s="2003"/>
      <c r="BU635" s="2003"/>
      <c r="BV635" s="2003"/>
      <c r="BW635" s="2003"/>
      <c r="BX635" s="2003">
        <f>SUM(BX610:CB634)</f>
        <v>41</v>
      </c>
      <c r="BY635" s="2003"/>
      <c r="BZ635" s="2003"/>
      <c r="CA635" s="2003"/>
      <c r="CB635" s="2003"/>
      <c r="CC635" s="2003">
        <f>SUM(CC610:CG634)</f>
        <v>28</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0</v>
      </c>
      <c r="CT635" s="2003"/>
      <c r="CU635" s="2003"/>
      <c r="CV635" s="2003"/>
      <c r="CW635" s="2003"/>
      <c r="CX635" s="2003">
        <f>SUM(CX610:DB634)</f>
        <v>4</v>
      </c>
      <c r="CY635" s="2003"/>
      <c r="CZ635" s="2003"/>
      <c r="DA635" s="2003"/>
      <c r="DB635" s="2003"/>
      <c r="DC635" s="2003">
        <f>SUM(DC610:DG634)</f>
        <v>10</v>
      </c>
      <c r="DD635" s="2003"/>
      <c r="DE635" s="2003"/>
      <c r="DF635" s="2003"/>
      <c r="DG635" s="2003"/>
      <c r="DH635" s="2003">
        <f>SUM(DH610:DL634)</f>
        <v>5</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0</v>
      </c>
      <c r="DY635" s="2003"/>
      <c r="DZ635" s="2003"/>
      <c r="EA635" s="2003"/>
      <c r="EB635" s="2003"/>
      <c r="EC635" s="2003">
        <f>SUM(EC610:EG634)</f>
        <v>2180</v>
      </c>
      <c r="ED635" s="2003"/>
      <c r="EE635" s="2003"/>
      <c r="EF635" s="2003"/>
      <c r="EG635" s="2003"/>
      <c r="EH635" s="2003">
        <f>SUM(EH610:EL634)</f>
        <v>3632</v>
      </c>
      <c r="EI635" s="2003"/>
      <c r="EJ635" s="2003"/>
      <c r="EK635" s="2003"/>
      <c r="EL635" s="2003"/>
      <c r="EM635" s="2003">
        <f>SUM(EM610:EQ634)</f>
        <v>4199</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3.2">
      <c r="B636" s="2311"/>
      <c r="C636" s="2309"/>
      <c r="D636" s="2309"/>
      <c r="E636" s="2309"/>
      <c r="F636" s="2309"/>
      <c r="G636" s="2309"/>
      <c r="H636" s="2309"/>
      <c r="I636" s="2309"/>
      <c r="J636" s="2309"/>
      <c r="K636" s="2309"/>
      <c r="L636" s="2309"/>
      <c r="M636" s="2309"/>
      <c r="N636" s="2310"/>
      <c r="O636" s="2032"/>
      <c r="P636" s="2033"/>
      <c r="Q636" s="2034"/>
      <c r="R636" s="2032"/>
      <c r="S636" s="2033"/>
      <c r="T636" s="2034"/>
      <c r="U636" s="2022"/>
      <c r="V636" s="2022"/>
      <c r="W636" s="2023"/>
      <c r="X636" s="2032"/>
      <c r="Y636" s="2033"/>
      <c r="Z636" s="2033"/>
      <c r="AA636" s="2033"/>
      <c r="AB636" s="2034"/>
      <c r="AC636" s="2270"/>
      <c r="AD636" s="2271"/>
      <c r="AE636" s="2272"/>
      <c r="AF636" s="2032"/>
      <c r="AG636" s="2033"/>
      <c r="AH636" s="2033"/>
      <c r="AI636" s="2033"/>
      <c r="AJ636" s="2034"/>
      <c r="AK636" s="2259"/>
      <c r="AL636" s="2260"/>
      <c r="AM636" s="2260"/>
      <c r="AN636" s="2261"/>
      <c r="AO636" s="2312"/>
      <c r="AP636" s="2312"/>
      <c r="AQ636" s="2312"/>
      <c r="AR636" s="2312"/>
      <c r="AS636" s="2312"/>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5">
        <f>BN635+BS635+BX635+CC635+CH635+CM635</f>
        <v>81</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3.2">
      <c r="B637" s="83" t="s">
        <v>117</v>
      </c>
      <c r="C637" s="2048" t="s">
        <v>2556</v>
      </c>
      <c r="D637" s="1992"/>
      <c r="E637" s="1992"/>
      <c r="F637" s="1992"/>
      <c r="G637" s="1992"/>
      <c r="H637" s="1992"/>
      <c r="I637" s="1992"/>
      <c r="J637" s="1992"/>
      <c r="K637" s="1992"/>
      <c r="L637" s="1992"/>
      <c r="M637" s="1992"/>
      <c r="N637" s="2025"/>
      <c r="O637" s="2036">
        <v>420</v>
      </c>
      <c r="P637" s="2037"/>
      <c r="Q637" s="2038"/>
      <c r="R637" s="2004">
        <v>420</v>
      </c>
      <c r="S637" s="2005"/>
      <c r="T637" s="2006"/>
      <c r="U637" s="2010">
        <v>4.7500000000000001E-2</v>
      </c>
      <c r="V637" s="2011"/>
      <c r="W637" s="2012"/>
      <c r="X637" s="2007" t="s">
        <v>2089</v>
      </c>
      <c r="Y637" s="2008"/>
      <c r="Z637" s="2008"/>
      <c r="AA637" s="2008"/>
      <c r="AB637" s="2009"/>
      <c r="AC637" s="1999">
        <v>1</v>
      </c>
      <c r="AD637" s="2000"/>
      <c r="AE637" s="2001"/>
      <c r="AF637" s="2014">
        <v>263983</v>
      </c>
      <c r="AG637" s="2015"/>
      <c r="AH637" s="2015"/>
      <c r="AI637" s="2015"/>
      <c r="AJ637" s="2016"/>
      <c r="AK637" s="2039"/>
      <c r="AL637" s="2040"/>
      <c r="AM637" s="2040"/>
      <c r="AN637" s="2041"/>
      <c r="AO637" s="2002">
        <v>4500000</v>
      </c>
      <c r="AP637" s="2002"/>
      <c r="AQ637" s="2002"/>
      <c r="AR637" s="2002"/>
      <c r="AS637" s="200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12</v>
      </c>
      <c r="BX637" s="58"/>
      <c r="BY637" s="58"/>
      <c r="BZ637" s="58"/>
      <c r="CA637" s="58"/>
      <c r="CB637" s="1419">
        <f>BX635*2</f>
        <v>82</v>
      </c>
      <c r="CC637" s="58"/>
      <c r="CD637" s="58"/>
      <c r="CE637" s="58"/>
      <c r="CF637" s="58"/>
      <c r="CG637" s="1419">
        <f>CC635*3</f>
        <v>84</v>
      </c>
      <c r="CH637" s="58"/>
      <c r="CI637" s="58"/>
      <c r="CJ637" s="58"/>
      <c r="CK637" s="58"/>
      <c r="CL637" s="1419">
        <f>CH635*4</f>
        <v>0</v>
      </c>
      <c r="CM637" s="58"/>
      <c r="CN637" s="58"/>
      <c r="CO637" s="58"/>
      <c r="CP637" s="58"/>
      <c r="CQ637" s="1419">
        <f>CM635*5</f>
        <v>0</v>
      </c>
      <c r="CS637" s="1419">
        <f>BR637+BW637+CB637+CG637+CL637+CQ637</f>
        <v>178</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8" t="s">
        <v>2557</v>
      </c>
      <c r="D638" s="1992"/>
      <c r="E638" s="1992"/>
      <c r="F638" s="1992"/>
      <c r="G638" s="1992"/>
      <c r="H638" s="1992"/>
      <c r="I638" s="1992"/>
      <c r="J638" s="1992"/>
      <c r="K638" s="1992"/>
      <c r="L638" s="1992"/>
      <c r="M638" s="1992"/>
      <c r="N638" s="2025"/>
      <c r="O638" s="2036">
        <v>660</v>
      </c>
      <c r="P638" s="2037"/>
      <c r="Q638" s="2038"/>
      <c r="R638" s="2004">
        <v>660</v>
      </c>
      <c r="S638" s="2005"/>
      <c r="T638" s="2006"/>
      <c r="U638" s="2010">
        <v>0.03</v>
      </c>
      <c r="V638" s="2011"/>
      <c r="W638" s="2012"/>
      <c r="X638" s="2007" t="s">
        <v>490</v>
      </c>
      <c r="Y638" s="2008"/>
      <c r="Z638" s="2008"/>
      <c r="AA638" s="2008"/>
      <c r="AB638" s="2009"/>
      <c r="AC638" s="1999">
        <v>2</v>
      </c>
      <c r="AD638" s="2000"/>
      <c r="AE638" s="2001"/>
      <c r="AF638" s="2014">
        <v>46200</v>
      </c>
      <c r="AG638" s="2015"/>
      <c r="AH638" s="2015"/>
      <c r="AI638" s="2015"/>
      <c r="AJ638" s="2016"/>
      <c r="AK638" s="2039"/>
      <c r="AL638" s="2040"/>
      <c r="AM638" s="2040"/>
      <c r="AN638" s="2041"/>
      <c r="AO638" s="2002">
        <v>13000000</v>
      </c>
      <c r="AP638" s="2002"/>
      <c r="AQ638" s="2002"/>
      <c r="AR638" s="2002"/>
      <c r="AS638" s="200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t="e">
        <f t="shared" ref="DX638:DX662" si="22">DX610*(BN610/$BN$635)</f>
        <v>#VALUE!</v>
      </c>
      <c r="DY638" s="1980"/>
      <c r="DZ638" s="1980"/>
      <c r="EA638" s="1980"/>
      <c r="EB638" s="1980"/>
      <c r="EC638" s="1980">
        <f t="shared" ref="EC638:EC662" si="23">EC610*(BS610/$BS$635)</f>
        <v>336.66666666666663</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48" t="s">
        <v>2558</v>
      </c>
      <c r="D639" s="1992"/>
      <c r="E639" s="1992"/>
      <c r="F639" s="1992"/>
      <c r="G639" s="1992"/>
      <c r="H639" s="1992"/>
      <c r="I639" s="1992"/>
      <c r="J639" s="1992"/>
      <c r="K639" s="1992"/>
      <c r="L639" s="1992"/>
      <c r="M639" s="1992"/>
      <c r="N639" s="2025"/>
      <c r="O639" s="2036">
        <v>660</v>
      </c>
      <c r="P639" s="2037"/>
      <c r="Q639" s="2038"/>
      <c r="R639" s="2004">
        <v>660</v>
      </c>
      <c r="S639" s="2005"/>
      <c r="T639" s="2006"/>
      <c r="U639" s="2010">
        <v>0.03</v>
      </c>
      <c r="V639" s="2011"/>
      <c r="W639" s="2012"/>
      <c r="X639" s="2007" t="s">
        <v>490</v>
      </c>
      <c r="Y639" s="2008"/>
      <c r="Z639" s="2008"/>
      <c r="AA639" s="2008"/>
      <c r="AB639" s="2009"/>
      <c r="AC639" s="1999">
        <v>3</v>
      </c>
      <c r="AD639" s="2000"/>
      <c r="AE639" s="2001"/>
      <c r="AF639" s="2014"/>
      <c r="AG639" s="2015"/>
      <c r="AH639" s="2015"/>
      <c r="AI639" s="2015"/>
      <c r="AJ639" s="2016"/>
      <c r="AK639" s="2039"/>
      <c r="AL639" s="2040"/>
      <c r="AM639" s="2040"/>
      <c r="AN639" s="2041"/>
      <c r="AO639" s="2002">
        <v>820000</v>
      </c>
      <c r="AP639" s="2002"/>
      <c r="AQ639" s="2002"/>
      <c r="AR639" s="2002"/>
      <c r="AS639" s="200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f t="shared" si="23"/>
        <v>223.33333333333331</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3.2">
      <c r="B640" s="84" t="s">
        <v>616</v>
      </c>
      <c r="C640" s="2048" t="s">
        <v>2554</v>
      </c>
      <c r="D640" s="1992"/>
      <c r="E640" s="1992"/>
      <c r="F640" s="1992"/>
      <c r="G640" s="1992"/>
      <c r="H640" s="1992"/>
      <c r="I640" s="1992"/>
      <c r="J640" s="1992"/>
      <c r="K640" s="1992"/>
      <c r="L640" s="1992"/>
      <c r="M640" s="1992"/>
      <c r="N640" s="2025"/>
      <c r="O640" s="2036">
        <v>660</v>
      </c>
      <c r="P640" s="2037"/>
      <c r="Q640" s="2038"/>
      <c r="R640" s="2004">
        <v>660</v>
      </c>
      <c r="S640" s="2005"/>
      <c r="T640" s="2006"/>
      <c r="U640" s="2010">
        <v>0.03</v>
      </c>
      <c r="V640" s="2011"/>
      <c r="W640" s="2012"/>
      <c r="X640" s="2007" t="s">
        <v>490</v>
      </c>
      <c r="Y640" s="2008"/>
      <c r="Z640" s="2008"/>
      <c r="AA640" s="2008"/>
      <c r="AB640" s="2009"/>
      <c r="AC640" s="1999">
        <v>4</v>
      </c>
      <c r="AD640" s="2000"/>
      <c r="AE640" s="2001"/>
      <c r="AF640" s="2014"/>
      <c r="AG640" s="2015"/>
      <c r="AH640" s="2015"/>
      <c r="AI640" s="2015"/>
      <c r="AJ640" s="2016"/>
      <c r="AK640" s="2039"/>
      <c r="AL640" s="2040"/>
      <c r="AM640" s="2040"/>
      <c r="AN640" s="2041"/>
      <c r="AO640" s="2002">
        <v>820000</v>
      </c>
      <c r="AP640" s="2002"/>
      <c r="AQ640" s="2002"/>
      <c r="AR640" s="2002"/>
      <c r="AS640" s="200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1</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f t="shared" si="23"/>
        <v>166.66666666666666</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3.2">
      <c r="B641" s="84" t="s">
        <v>821</v>
      </c>
      <c r="C641" s="2048" t="s">
        <v>2553</v>
      </c>
      <c r="D641" s="1992"/>
      <c r="E641" s="1992"/>
      <c r="F641" s="1992"/>
      <c r="G641" s="1992"/>
      <c r="H641" s="1992"/>
      <c r="I641" s="1992"/>
      <c r="J641" s="1992"/>
      <c r="K641" s="1992"/>
      <c r="L641" s="1992"/>
      <c r="M641" s="1992"/>
      <c r="N641" s="2025"/>
      <c r="O641" s="2036"/>
      <c r="P641" s="2037"/>
      <c r="Q641" s="2038"/>
      <c r="R641" s="2004"/>
      <c r="S641" s="2005"/>
      <c r="T641" s="2006"/>
      <c r="U641" s="2010"/>
      <c r="V641" s="2011"/>
      <c r="W641" s="2012"/>
      <c r="X641" s="2007" t="s">
        <v>1381</v>
      </c>
      <c r="Y641" s="2008"/>
      <c r="Z641" s="2008"/>
      <c r="AA641" s="2008"/>
      <c r="AB641" s="2009"/>
      <c r="AC641" s="1999"/>
      <c r="AD641" s="2000"/>
      <c r="AE641" s="2001"/>
      <c r="AF641" s="2014"/>
      <c r="AG641" s="2015"/>
      <c r="AH641" s="2015"/>
      <c r="AI641" s="2015"/>
      <c r="AJ641" s="2016"/>
      <c r="AK641" s="2039"/>
      <c r="AL641" s="2040"/>
      <c r="AM641" s="2040"/>
      <c r="AN641" s="2041"/>
      <c r="AO641" s="2002">
        <v>2157893</v>
      </c>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t="e">
        <f t="shared" si="23"/>
        <v>#VALUE!</v>
      </c>
      <c r="ED641" s="1980"/>
      <c r="EE641" s="1980"/>
      <c r="EF641" s="1980"/>
      <c r="EG641" s="1980"/>
      <c r="EH641" s="1980">
        <f t="shared" si="24"/>
        <v>236.8780487804878</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3.2">
      <c r="B642" s="84" t="s">
        <v>619</v>
      </c>
      <c r="C642" s="2048" t="s">
        <v>2065</v>
      </c>
      <c r="D642" s="1992"/>
      <c r="E642" s="1992"/>
      <c r="F642" s="1992"/>
      <c r="G642" s="1992"/>
      <c r="H642" s="1992"/>
      <c r="I642" s="1992"/>
      <c r="J642" s="1992"/>
      <c r="K642" s="1992"/>
      <c r="L642" s="1992"/>
      <c r="M642" s="1992"/>
      <c r="N642" s="2025"/>
      <c r="O642" s="2036"/>
      <c r="P642" s="2037"/>
      <c r="Q642" s="2038"/>
      <c r="R642" s="2004"/>
      <c r="S642" s="2005"/>
      <c r="T642" s="2006"/>
      <c r="U642" s="2010"/>
      <c r="V642" s="2011"/>
      <c r="W642" s="2012"/>
      <c r="X642" s="2007" t="s">
        <v>1381</v>
      </c>
      <c r="Y642" s="2008"/>
      <c r="Z642" s="2008"/>
      <c r="AA642" s="2008"/>
      <c r="AB642" s="2009"/>
      <c r="AC642" s="1999"/>
      <c r="AD642" s="2000"/>
      <c r="AE642" s="2001"/>
      <c r="AF642" s="2014"/>
      <c r="AG642" s="2015"/>
      <c r="AH642" s="2015"/>
      <c r="AI642" s="2015"/>
      <c r="AJ642" s="2016"/>
      <c r="AK642" s="2039"/>
      <c r="AL642" s="2040"/>
      <c r="AM642" s="2040"/>
      <c r="AN642" s="2041"/>
      <c r="AO642" s="2002">
        <v>25489</v>
      </c>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f t="shared" si="24"/>
        <v>270.97560975609758</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3.2">
      <c r="B643" s="84" t="s">
        <v>487</v>
      </c>
      <c r="C643" s="1992"/>
      <c r="D643" s="1992"/>
      <c r="E643" s="1992"/>
      <c r="F643" s="1992"/>
      <c r="G643" s="1992"/>
      <c r="H643" s="1992"/>
      <c r="I643" s="1992"/>
      <c r="J643" s="1992"/>
      <c r="K643" s="1992"/>
      <c r="L643" s="1992"/>
      <c r="M643" s="1992"/>
      <c r="N643" s="2025"/>
      <c r="O643" s="2036"/>
      <c r="P643" s="2037"/>
      <c r="Q643" s="2038"/>
      <c r="R643" s="2004"/>
      <c r="S643" s="2005"/>
      <c r="T643" s="2006"/>
      <c r="U643" s="2010"/>
      <c r="V643" s="2011"/>
      <c r="W643" s="2012"/>
      <c r="X643" s="2007" t="s">
        <v>1381</v>
      </c>
      <c r="Y643" s="2008"/>
      <c r="Z643" s="2008"/>
      <c r="AA643" s="2008"/>
      <c r="AB643" s="2009"/>
      <c r="AC643" s="1999"/>
      <c r="AD643" s="2000"/>
      <c r="AE643" s="2001"/>
      <c r="AF643" s="2014"/>
      <c r="AG643" s="2015"/>
      <c r="AH643" s="2015"/>
      <c r="AI643" s="2015"/>
      <c r="AJ643" s="2016"/>
      <c r="AK643" s="2039"/>
      <c r="AL643" s="2040"/>
      <c r="AM643" s="2040"/>
      <c r="AN643" s="2041"/>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f t="shared" si="24"/>
        <v>235.90243902439022</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3.2">
      <c r="B644" s="84" t="s">
        <v>488</v>
      </c>
      <c r="C644" s="1992"/>
      <c r="D644" s="1992"/>
      <c r="E644" s="1992"/>
      <c r="F644" s="1992"/>
      <c r="G644" s="1992"/>
      <c r="H644" s="1992"/>
      <c r="I644" s="1992"/>
      <c r="J644" s="1992"/>
      <c r="K644" s="1992"/>
      <c r="L644" s="1992"/>
      <c r="M644" s="1992"/>
      <c r="N644" s="2025"/>
      <c r="O644" s="2036"/>
      <c r="P644" s="2037"/>
      <c r="Q644" s="2038"/>
      <c r="R644" s="2004"/>
      <c r="S644" s="2005"/>
      <c r="T644" s="2006"/>
      <c r="U644" s="2010"/>
      <c r="V644" s="2011"/>
      <c r="W644" s="2012"/>
      <c r="X644" s="2007" t="s">
        <v>1381</v>
      </c>
      <c r="Y644" s="2008"/>
      <c r="Z644" s="2008"/>
      <c r="AA644" s="2008"/>
      <c r="AB644" s="2009"/>
      <c r="AC644" s="1999"/>
      <c r="AD644" s="2000"/>
      <c r="AE644" s="2001"/>
      <c r="AF644" s="2014"/>
      <c r="AG644" s="2015"/>
      <c r="AH644" s="2015"/>
      <c r="AI644" s="2015"/>
      <c r="AJ644" s="2016"/>
      <c r="AK644" s="2039"/>
      <c r="AL644" s="2040"/>
      <c r="AM644" s="2040"/>
      <c r="AN644" s="2041"/>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1</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2302</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f t="shared" si="24"/>
        <v>146.82926829268291</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3.2">
      <c r="B645" s="84" t="s">
        <v>494</v>
      </c>
      <c r="C645" s="1992"/>
      <c r="D645" s="1992"/>
      <c r="E645" s="1992"/>
      <c r="F645" s="1992"/>
      <c r="G645" s="1992"/>
      <c r="H645" s="1992"/>
      <c r="I645" s="1992"/>
      <c r="J645" s="1992"/>
      <c r="K645" s="1992"/>
      <c r="L645" s="1992"/>
      <c r="M645" s="1992"/>
      <c r="N645" s="2025"/>
      <c r="O645" s="2036"/>
      <c r="P645" s="2037"/>
      <c r="Q645" s="2038"/>
      <c r="R645" s="2004"/>
      <c r="S645" s="2005"/>
      <c r="T645" s="2006"/>
      <c r="U645" s="2010"/>
      <c r="V645" s="2011"/>
      <c r="W645" s="2012"/>
      <c r="X645" s="2007" t="s">
        <v>1381</v>
      </c>
      <c r="Y645" s="2008"/>
      <c r="Z645" s="2008"/>
      <c r="AA645" s="2008"/>
      <c r="AB645" s="2009"/>
      <c r="AC645" s="1999"/>
      <c r="AD645" s="2000"/>
      <c r="AE645" s="2001"/>
      <c r="AF645" s="2014"/>
      <c r="AG645" s="2015"/>
      <c r="AH645" s="2015"/>
      <c r="AI645" s="2015"/>
      <c r="AJ645" s="2016"/>
      <c r="AK645" s="2039"/>
      <c r="AL645" s="2040"/>
      <c r="AM645" s="2040"/>
      <c r="AN645" s="2041"/>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t="e">
        <f t="shared" si="24"/>
        <v>#VALUE!</v>
      </c>
      <c r="EI645" s="1980"/>
      <c r="EJ645" s="1980"/>
      <c r="EK645" s="1980"/>
      <c r="EL645" s="1980"/>
      <c r="EM645" s="1980">
        <f t="shared" si="25"/>
        <v>400.85714285714283</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3.2">
      <c r="B646" s="84" t="s">
        <v>681</v>
      </c>
      <c r="C646" s="1992"/>
      <c r="D646" s="1992"/>
      <c r="E646" s="1992"/>
      <c r="F646" s="1992"/>
      <c r="G646" s="1992"/>
      <c r="H646" s="1992"/>
      <c r="I646" s="1992"/>
      <c r="J646" s="1992"/>
      <c r="K646" s="1992"/>
      <c r="L646" s="1992"/>
      <c r="M646" s="1992"/>
      <c r="N646" s="2025"/>
      <c r="O646" s="2036"/>
      <c r="P646" s="2037"/>
      <c r="Q646" s="2038"/>
      <c r="R646" s="2004"/>
      <c r="S646" s="2005"/>
      <c r="T646" s="2006"/>
      <c r="U646" s="2010"/>
      <c r="V646" s="2011"/>
      <c r="W646" s="2012"/>
      <c r="X646" s="2007" t="s">
        <v>1381</v>
      </c>
      <c r="Y646" s="2008"/>
      <c r="Z646" s="2008"/>
      <c r="AA646" s="2008"/>
      <c r="AB646" s="2009"/>
      <c r="AC646" s="1999"/>
      <c r="AD646" s="2000"/>
      <c r="AE646" s="2001"/>
      <c r="AF646" s="2014"/>
      <c r="AG646" s="2015"/>
      <c r="AH646" s="2015"/>
      <c r="AI646" s="2015"/>
      <c r="AJ646" s="2016"/>
      <c r="AK646" s="2039"/>
      <c r="AL646" s="2040"/>
      <c r="AM646" s="2040"/>
      <c r="AN646" s="2041"/>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f t="shared" si="25"/>
        <v>333.71428571428572</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3.2">
      <c r="B647" s="84" t="s">
        <v>372</v>
      </c>
      <c r="C647" s="1992"/>
      <c r="D647" s="1992"/>
      <c r="E647" s="1992"/>
      <c r="F647" s="1992"/>
      <c r="G647" s="1992"/>
      <c r="H647" s="1992"/>
      <c r="I647" s="1992"/>
      <c r="J647" s="1992"/>
      <c r="K647" s="1992"/>
      <c r="L647" s="1992"/>
      <c r="M647" s="1992"/>
      <c r="N647" s="2025"/>
      <c r="O647" s="2036"/>
      <c r="P647" s="2037"/>
      <c r="Q647" s="2038"/>
      <c r="R647" s="2004"/>
      <c r="S647" s="2005"/>
      <c r="T647" s="2006"/>
      <c r="U647" s="2010"/>
      <c r="V647" s="2011"/>
      <c r="W647" s="2012"/>
      <c r="X647" s="2007" t="s">
        <v>1381</v>
      </c>
      <c r="Y647" s="2008"/>
      <c r="Z647" s="2008"/>
      <c r="AA647" s="2008"/>
      <c r="AB647" s="2009"/>
      <c r="AC647" s="1999"/>
      <c r="AD647" s="2000"/>
      <c r="AE647" s="2001"/>
      <c r="AF647" s="2014"/>
      <c r="AG647" s="2015"/>
      <c r="AH647" s="2015"/>
      <c r="AI647" s="2015"/>
      <c r="AJ647" s="2016"/>
      <c r="AK647" s="2039"/>
      <c r="AL647" s="2040"/>
      <c r="AM647" s="2040"/>
      <c r="AN647" s="2041"/>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f t="shared" si="25"/>
        <v>233</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3.2">
      <c r="B648" s="84" t="s">
        <v>373</v>
      </c>
      <c r="C648" s="1992"/>
      <c r="D648" s="1992"/>
      <c r="E648" s="1992"/>
      <c r="F648" s="1992"/>
      <c r="G648" s="1992"/>
      <c r="H648" s="1992"/>
      <c r="I648" s="1992"/>
      <c r="J648" s="1992"/>
      <c r="K648" s="1992"/>
      <c r="L648" s="1992"/>
      <c r="M648" s="1992"/>
      <c r="N648" s="2025"/>
      <c r="O648" s="2036"/>
      <c r="P648" s="2037"/>
      <c r="Q648" s="2038"/>
      <c r="R648" s="2004"/>
      <c r="S648" s="2005"/>
      <c r="T648" s="2006"/>
      <c r="U648" s="2010"/>
      <c r="V648" s="2011"/>
      <c r="W648" s="2012"/>
      <c r="X648" s="2007" t="s">
        <v>1381</v>
      </c>
      <c r="Y648" s="2008"/>
      <c r="Z648" s="2008"/>
      <c r="AA648" s="2008"/>
      <c r="AB648" s="2009"/>
      <c r="AC648" s="1999"/>
      <c r="AD648" s="2000"/>
      <c r="AE648" s="2001"/>
      <c r="AF648" s="2014"/>
      <c r="AG648" s="2015"/>
      <c r="AH648" s="2015"/>
      <c r="AI648" s="2015"/>
      <c r="AJ648" s="2016"/>
      <c r="AK648" s="2039"/>
      <c r="AL648" s="2040"/>
      <c r="AM648" s="2040"/>
      <c r="AN648" s="2041"/>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f t="shared" si="25"/>
        <v>124.28571428571429</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3.2">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292">
        <f>SUM(AO637:AR648)</f>
        <v>21323382</v>
      </c>
      <c r="AP649" s="2293"/>
      <c r="AQ649" s="2293"/>
      <c r="AR649" s="2293"/>
      <c r="AS649" s="2294"/>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t="e">
        <f t="shared" si="25"/>
        <v>#VALUE!</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1982">
        <v>15308185</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8" t="s">
        <v>274</v>
      </c>
      <c r="C651" s="2379"/>
      <c r="D651" s="2379"/>
      <c r="E651" s="2379"/>
      <c r="F651" s="2379"/>
      <c r="G651" s="2379"/>
      <c r="H651" s="2379"/>
      <c r="I651" s="2379"/>
      <c r="J651" s="2379"/>
      <c r="K651" s="2379"/>
      <c r="L651" s="2379"/>
      <c r="M651" s="2379"/>
      <c r="N651" s="2379"/>
      <c r="O651" s="2379"/>
      <c r="P651" s="2379"/>
      <c r="Q651" s="2379"/>
      <c r="R651" s="2379"/>
      <c r="S651" s="2379"/>
      <c r="T651" s="2379"/>
      <c r="U651" s="2379"/>
      <c r="V651" s="2379"/>
      <c r="W651" s="2379"/>
      <c r="X651" s="2379"/>
      <c r="Y651" s="2379"/>
      <c r="Z651" s="2379"/>
      <c r="AA651" s="2379"/>
      <c r="AB651" s="2379"/>
      <c r="AC651" s="2379"/>
      <c r="AD651" s="2379"/>
      <c r="AE651" s="2379"/>
      <c r="AF651" s="2379"/>
      <c r="AG651" s="2379"/>
      <c r="AH651" s="2379"/>
      <c r="AI651" s="2379"/>
      <c r="AJ651" s="2379"/>
      <c r="AK651" s="2379"/>
      <c r="AL651" s="2379"/>
      <c r="AM651" s="2379"/>
      <c r="AN651" s="2380"/>
      <c r="AO651" s="2292">
        <f>AO649+AO650</f>
        <v>36631567</v>
      </c>
      <c r="AP651" s="2293"/>
      <c r="AQ651" s="2293"/>
      <c r="AR651" s="2293"/>
      <c r="AS651" s="2294"/>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3.2">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3.2">
      <c r="A653" s="87" t="s">
        <v>117</v>
      </c>
      <c r="B653" s="12" t="s">
        <v>496</v>
      </c>
      <c r="G653" s="1981" t="str">
        <f>C637</f>
        <v>Citi Capital</v>
      </c>
      <c r="H653" s="1981"/>
      <c r="I653" s="1981"/>
      <c r="J653" s="1981"/>
      <c r="K653" s="1981"/>
      <c r="L653" s="1981"/>
      <c r="M653" s="1981"/>
      <c r="N653" s="1981"/>
      <c r="O653" s="1981"/>
      <c r="P653" s="1981"/>
      <c r="Q653" s="1981"/>
      <c r="R653" s="1981"/>
      <c r="S653" s="14"/>
      <c r="T653" s="87" t="s">
        <v>118</v>
      </c>
      <c r="U653" s="12" t="s">
        <v>496</v>
      </c>
      <c r="Z653" s="1981" t="str">
        <f>C638</f>
        <v>HCD-MHP</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3.2">
      <c r="A654" s="35"/>
      <c r="B654" s="12" t="s">
        <v>90</v>
      </c>
      <c r="G654" s="2013" t="s">
        <v>2634</v>
      </c>
      <c r="H654" s="2013"/>
      <c r="I654" s="2013"/>
      <c r="J654" s="2013"/>
      <c r="K654" s="2013"/>
      <c r="L654" s="2013"/>
      <c r="M654" s="2013"/>
      <c r="N654" s="2013"/>
      <c r="O654" s="2013"/>
      <c r="P654" s="2013"/>
      <c r="Q654" s="2013"/>
      <c r="R654" s="2013"/>
      <c r="S654" s="14"/>
      <c r="T654" s="35"/>
      <c r="U654" s="12" t="s">
        <v>90</v>
      </c>
      <c r="Z654" s="2013" t="s">
        <v>2641</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3.2">
      <c r="A655" s="35"/>
      <c r="B655" s="12" t="s">
        <v>615</v>
      </c>
      <c r="G655" s="2013" t="s">
        <v>2635</v>
      </c>
      <c r="H655" s="2013"/>
      <c r="I655" s="2013"/>
      <c r="J655" s="2013"/>
      <c r="K655" s="2013"/>
      <c r="L655" s="2013"/>
      <c r="M655" s="2013"/>
      <c r="N655" s="2013"/>
      <c r="O655" s="2013"/>
      <c r="P655" s="2013"/>
      <c r="Q655" s="2013"/>
      <c r="R655" s="2013"/>
      <c r="S655" s="88"/>
      <c r="T655" s="35"/>
      <c r="U655" s="12" t="s">
        <v>615</v>
      </c>
      <c r="Z655" s="1993" t="s">
        <v>2642</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3.2">
      <c r="A656" s="35"/>
      <c r="B656" s="12" t="s">
        <v>17</v>
      </c>
      <c r="G656" s="2013" t="s">
        <v>2636</v>
      </c>
      <c r="H656" s="2013"/>
      <c r="I656" s="2013"/>
      <c r="J656" s="2013"/>
      <c r="K656" s="2013"/>
      <c r="L656" s="2013"/>
      <c r="M656" s="2013"/>
      <c r="N656" s="2013"/>
      <c r="O656" s="2013"/>
      <c r="P656" s="2013"/>
      <c r="Q656" s="2013"/>
      <c r="R656" s="2013"/>
      <c r="S656" s="14"/>
      <c r="T656" s="35"/>
      <c r="U656" s="12" t="s">
        <v>17</v>
      </c>
      <c r="Z656" s="1993"/>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3.2">
      <c r="A657" s="35"/>
      <c r="B657" s="12" t="s">
        <v>325</v>
      </c>
      <c r="G657" s="2263" t="s">
        <v>2637</v>
      </c>
      <c r="H657" s="2035"/>
      <c r="I657" s="2035"/>
      <c r="J657" s="2035"/>
      <c r="K657" s="2035"/>
      <c r="L657" s="2035"/>
      <c r="O657" s="137" t="s">
        <v>212</v>
      </c>
      <c r="P657" s="1992"/>
      <c r="Q657" s="1992"/>
      <c r="R657" s="1992"/>
      <c r="S657" s="16"/>
      <c r="T657" s="35"/>
      <c r="U657" s="12" t="s">
        <v>325</v>
      </c>
      <c r="Z657" s="2035"/>
      <c r="AA657" s="2035"/>
      <c r="AB657" s="2035"/>
      <c r="AC657" s="2035"/>
      <c r="AD657" s="2035"/>
      <c r="AE657" s="2035"/>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3.2">
      <c r="A658" s="35"/>
      <c r="B658" s="12" t="s">
        <v>18</v>
      </c>
      <c r="H658" s="2013" t="s">
        <v>2644</v>
      </c>
      <c r="I658" s="2013"/>
      <c r="J658" s="2013"/>
      <c r="K658" s="2013"/>
      <c r="L658" s="2013"/>
      <c r="M658" s="2013"/>
      <c r="N658" s="2013"/>
      <c r="O658" s="2013"/>
      <c r="P658" s="2013"/>
      <c r="Q658" s="2013"/>
      <c r="R658" s="2013"/>
      <c r="S658" s="14"/>
      <c r="T658" s="35"/>
      <c r="U658" s="12" t="s">
        <v>18</v>
      </c>
      <c r="AA658" s="2013" t="s">
        <v>2644</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3.2">
      <c r="A659" s="35"/>
      <c r="B659" s="12" t="s">
        <v>20</v>
      </c>
      <c r="N659" s="1991" t="s">
        <v>578</v>
      </c>
      <c r="O659" s="1991"/>
      <c r="T659" s="35"/>
      <c r="U659" s="12" t="s">
        <v>20</v>
      </c>
      <c r="AG659" s="1991" t="s">
        <v>578</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3.2">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3.2">
      <c r="A661" s="87" t="s">
        <v>124</v>
      </c>
      <c r="B661" s="12" t="s">
        <v>496</v>
      </c>
      <c r="G661" s="1981" t="str">
        <f>C639</f>
        <v>HCD-CPHLA</v>
      </c>
      <c r="H661" s="1981"/>
      <c r="I661" s="1981"/>
      <c r="J661" s="1981"/>
      <c r="K661" s="1981"/>
      <c r="L661" s="1981"/>
      <c r="M661" s="1981"/>
      <c r="N661" s="1981"/>
      <c r="O661" s="1981"/>
      <c r="P661" s="1981"/>
      <c r="Q661" s="1981"/>
      <c r="R661" s="1981"/>
      <c r="T661" s="87" t="s">
        <v>616</v>
      </c>
      <c r="U661" s="12" t="s">
        <v>496</v>
      </c>
      <c r="Z661" s="1981" t="str">
        <f>C640</f>
        <v>HCD-CDBG</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3.2">
      <c r="A662" s="35"/>
      <c r="B662" s="12" t="s">
        <v>90</v>
      </c>
      <c r="G662" s="2013" t="s">
        <v>2641</v>
      </c>
      <c r="H662" s="2013"/>
      <c r="I662" s="2013"/>
      <c r="J662" s="2013"/>
      <c r="K662" s="2013"/>
      <c r="L662" s="2013"/>
      <c r="M662" s="2013"/>
      <c r="N662" s="2013"/>
      <c r="O662" s="2013"/>
      <c r="P662" s="2013"/>
      <c r="Q662" s="2013"/>
      <c r="R662" s="2013"/>
      <c r="T662" s="35"/>
      <c r="U662" s="12" t="s">
        <v>90</v>
      </c>
      <c r="Z662" s="2013" t="s">
        <v>2641</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3.2">
      <c r="A663" s="35"/>
      <c r="B663" s="12" t="s">
        <v>615</v>
      </c>
      <c r="G663" s="1993" t="s">
        <v>2642</v>
      </c>
      <c r="H663" s="1993"/>
      <c r="I663" s="1993"/>
      <c r="J663" s="1993"/>
      <c r="K663" s="1993"/>
      <c r="L663" s="1993"/>
      <c r="M663" s="1993"/>
      <c r="N663" s="1993"/>
      <c r="O663" s="1993"/>
      <c r="P663" s="1993"/>
      <c r="Q663" s="1993"/>
      <c r="R663" s="1993"/>
      <c r="T663" s="35"/>
      <c r="U663" s="12" t="s">
        <v>615</v>
      </c>
      <c r="Z663" s="1993" t="s">
        <v>2642</v>
      </c>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0</v>
      </c>
      <c r="BO663" s="1974"/>
      <c r="BP663" s="1974"/>
      <c r="BQ663" s="1974"/>
      <c r="BR663" s="1975"/>
      <c r="BS663" s="1973">
        <f>BS635+BS644+BS658</f>
        <v>12</v>
      </c>
      <c r="BT663" s="1974"/>
      <c r="BU663" s="1974"/>
      <c r="BV663" s="1974"/>
      <c r="BW663" s="1975"/>
      <c r="BX663" s="1973">
        <f>BX635+BX644+BX658</f>
        <v>42</v>
      </c>
      <c r="BY663" s="1974"/>
      <c r="BZ663" s="1974"/>
      <c r="CA663" s="1974"/>
      <c r="CB663" s="1975"/>
      <c r="CC663" s="1973">
        <f>CC635+CC644+CC658</f>
        <v>28</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9">
        <f>CS637+CS661</f>
        <v>178</v>
      </c>
      <c r="CT663" s="134" t="s">
        <v>2306</v>
      </c>
      <c r="CU663" s="58"/>
      <c r="CV663" s="58"/>
      <c r="CW663" s="58"/>
      <c r="CX663" s="58"/>
      <c r="CY663" s="58"/>
      <c r="CZ663" s="58"/>
      <c r="DA663" s="58"/>
      <c r="DB663" s="58"/>
      <c r="DC663" s="58"/>
      <c r="DD663" s="58"/>
      <c r="DE663" s="58"/>
      <c r="DF663" s="58"/>
      <c r="DX663" s="1980">
        <f>SUMIF(DX638:EB662,"&gt;0")</f>
        <v>0</v>
      </c>
      <c r="DY663" s="1980"/>
      <c r="DZ663" s="1980"/>
      <c r="EA663" s="1980"/>
      <c r="EB663" s="1980"/>
      <c r="EC663" s="1980">
        <f>SUMIF(EC638:EG662,"&gt;0")</f>
        <v>726.66666666666663</v>
      </c>
      <c r="ED663" s="1980"/>
      <c r="EE663" s="1980"/>
      <c r="EF663" s="1980"/>
      <c r="EG663" s="1980"/>
      <c r="EH663" s="1980">
        <f>SUMIF(EH638:EL662,"&gt;0")</f>
        <v>890.58536585365846</v>
      </c>
      <c r="EI663" s="1980"/>
      <c r="EJ663" s="1980"/>
      <c r="EK663" s="1980"/>
      <c r="EL663" s="1980"/>
      <c r="EM663" s="1980">
        <f>SUMIF(EM638:EQ662,"&gt;0")</f>
        <v>1091.8571428571429</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3.2">
      <c r="A664" s="35"/>
      <c r="B664" s="12" t="s">
        <v>17</v>
      </c>
      <c r="G664" s="1993"/>
      <c r="H664" s="1993"/>
      <c r="I664" s="1993"/>
      <c r="J664" s="1993"/>
      <c r="K664" s="1993"/>
      <c r="L664" s="1993"/>
      <c r="M664" s="1993"/>
      <c r="N664" s="1993"/>
      <c r="O664" s="1993"/>
      <c r="P664" s="1993"/>
      <c r="Q664" s="1993"/>
      <c r="R664" s="1993"/>
      <c r="T664" s="35"/>
      <c r="U664" s="12" t="s">
        <v>17</v>
      </c>
      <c r="Z664" s="1993"/>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35"/>
      <c r="H665" s="2035"/>
      <c r="I665" s="2035"/>
      <c r="J665" s="2035"/>
      <c r="K665" s="2035"/>
      <c r="L665" s="2035"/>
      <c r="O665" s="137" t="s">
        <v>212</v>
      </c>
      <c r="P665" s="1992"/>
      <c r="Q665" s="1992"/>
      <c r="R665" s="1992"/>
      <c r="T665" s="35"/>
      <c r="U665" s="12" t="s">
        <v>325</v>
      </c>
      <c r="Z665" s="2035"/>
      <c r="AA665" s="2035"/>
      <c r="AB665" s="2035"/>
      <c r="AC665" s="2035"/>
      <c r="AD665" s="2035"/>
      <c r="AE665" s="2035"/>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3" t="s">
        <v>2645</v>
      </c>
      <c r="I666" s="2013"/>
      <c r="J666" s="2013"/>
      <c r="K666" s="2013"/>
      <c r="L666" s="2013"/>
      <c r="M666" s="2013"/>
      <c r="N666" s="2013"/>
      <c r="O666" s="2013"/>
      <c r="P666" s="2013"/>
      <c r="Q666" s="2013"/>
      <c r="R666" s="2013"/>
      <c r="T666" s="35"/>
      <c r="U666" s="12" t="s">
        <v>18</v>
      </c>
      <c r="AA666" s="2013" t="s">
        <v>2645</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1991" t="s">
        <v>578</v>
      </c>
      <c r="O667" s="1991"/>
      <c r="T667" s="35"/>
      <c r="U667" s="12" t="s">
        <v>20</v>
      </c>
      <c r="AG667" s="1991" t="s">
        <v>578</v>
      </c>
      <c r="AH667" s="199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1981" t="str">
        <f>C641</f>
        <v>HCD-IIG</v>
      </c>
      <c r="H669" s="1981"/>
      <c r="I669" s="1981"/>
      <c r="J669" s="1981"/>
      <c r="K669" s="1981"/>
      <c r="L669" s="1981"/>
      <c r="M669" s="1981"/>
      <c r="N669" s="1981"/>
      <c r="O669" s="1981"/>
      <c r="P669" s="1981"/>
      <c r="Q669" s="1981"/>
      <c r="R669" s="1981"/>
      <c r="T669" s="87" t="s">
        <v>619</v>
      </c>
      <c r="U669" s="12" t="s">
        <v>496</v>
      </c>
      <c r="Z669" s="1981" t="str">
        <f>C642</f>
        <v>Deferred Developer Fee</v>
      </c>
      <c r="AA669" s="1981"/>
      <c r="AB669" s="1981"/>
      <c r="AC669" s="1981"/>
      <c r="AD669" s="1981"/>
      <c r="AE669" s="1981"/>
      <c r="AF669" s="1981"/>
      <c r="AG669" s="1981"/>
      <c r="AH669" s="1981"/>
      <c r="AI669" s="1981"/>
      <c r="AJ669" s="1981"/>
      <c r="AK669" s="198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3" t="s">
        <v>2641</v>
      </c>
      <c r="H670" s="2013"/>
      <c r="I670" s="2013"/>
      <c r="J670" s="2013"/>
      <c r="K670" s="2013"/>
      <c r="L670" s="2013"/>
      <c r="M670" s="2013"/>
      <c r="N670" s="2013"/>
      <c r="O670" s="2013"/>
      <c r="P670" s="2013"/>
      <c r="Q670" s="2013"/>
      <c r="R670" s="2013"/>
      <c r="T670" s="35"/>
      <c r="U670" s="12" t="s">
        <v>90</v>
      </c>
      <c r="Z670" s="2013" t="s">
        <v>2601</v>
      </c>
      <c r="AA670" s="2013"/>
      <c r="AB670" s="2013"/>
      <c r="AC670" s="2013"/>
      <c r="AD670" s="2013"/>
      <c r="AE670" s="2013"/>
      <c r="AF670" s="2013"/>
      <c r="AG670" s="2013"/>
      <c r="AH670" s="2013"/>
      <c r="AI670" s="2013"/>
      <c r="AJ670" s="2013"/>
      <c r="AK670" s="2013"/>
      <c r="AZ670" s="58"/>
      <c r="BA670" s="446">
        <f t="shared" ref="BA670:BA694" si="40">IF($G728=0,"N/A",VLOOKUP($T$189,TC_Rent,(MATCH($B728,bedrooms,FALSE))))</f>
        <v>1700</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1993" t="s">
        <v>2642</v>
      </c>
      <c r="H671" s="1993"/>
      <c r="I671" s="1993"/>
      <c r="J671" s="1993"/>
      <c r="K671" s="1993"/>
      <c r="L671" s="1993"/>
      <c r="M671" s="1993"/>
      <c r="N671" s="1993"/>
      <c r="O671" s="1993"/>
      <c r="P671" s="1993"/>
      <c r="Q671" s="1993"/>
      <c r="R671" s="1993"/>
      <c r="T671" s="35"/>
      <c r="U671" s="12" t="s">
        <v>615</v>
      </c>
      <c r="Z671" s="1993" t="s">
        <v>770</v>
      </c>
      <c r="AA671" s="1993"/>
      <c r="AB671" s="1993"/>
      <c r="AC671" s="1993"/>
      <c r="AD671" s="1993"/>
      <c r="AE671" s="1993"/>
      <c r="AF671" s="1993"/>
      <c r="AG671" s="1993"/>
      <c r="AH671" s="1993"/>
      <c r="AI671" s="1993"/>
      <c r="AJ671" s="1993"/>
      <c r="AK671" s="1993"/>
      <c r="AZ671" s="58"/>
      <c r="BA671" s="446">
        <f t="shared" si="40"/>
        <v>1700</v>
      </c>
      <c r="BB671" s="58"/>
      <c r="BC671" s="58"/>
      <c r="BD671" s="58"/>
      <c r="BE671" s="58"/>
      <c r="BF671" s="382"/>
      <c r="BG671" s="456">
        <f t="shared" ref="BG671:BG695" si="41">G728</f>
        <v>4</v>
      </c>
      <c r="BH671" s="460">
        <f>BG671/$BG$696</f>
        <v>4.9382716049382713E-2</v>
      </c>
      <c r="BI671" s="461">
        <f t="shared" ref="BI671:BI695" si="42">IF(BH671=0," ",BH671*AH728)</f>
        <v>2.9629629629629627E-2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13"/>
      <c r="H672" s="2013"/>
      <c r="I672" s="2013"/>
      <c r="J672" s="2013"/>
      <c r="K672" s="2013"/>
      <c r="L672" s="2013"/>
      <c r="M672" s="2013"/>
      <c r="N672" s="2013"/>
      <c r="O672" s="2013"/>
      <c r="P672" s="2013"/>
      <c r="Q672" s="2013"/>
      <c r="R672" s="2013"/>
      <c r="T672" s="35"/>
      <c r="U672" s="12" t="s">
        <v>17</v>
      </c>
      <c r="Z672" s="1993" t="s">
        <v>2602</v>
      </c>
      <c r="AA672" s="1993"/>
      <c r="AB672" s="1993"/>
      <c r="AC672" s="1993"/>
      <c r="AD672" s="1993"/>
      <c r="AE672" s="1993"/>
      <c r="AF672" s="1993"/>
      <c r="AG672" s="1993"/>
      <c r="AH672" s="1993"/>
      <c r="AI672" s="1993"/>
      <c r="AJ672" s="1993"/>
      <c r="AK672" s="1993"/>
      <c r="AZ672" s="58"/>
      <c r="BA672" s="446">
        <f t="shared" si="40"/>
        <v>1700</v>
      </c>
      <c r="BB672" s="58"/>
      <c r="BC672" s="58"/>
      <c r="BD672" s="58"/>
      <c r="BE672" s="58"/>
      <c r="BF672" s="382"/>
      <c r="BG672" s="457">
        <f t="shared" si="41"/>
        <v>4</v>
      </c>
      <c r="BH672" s="460">
        <f t="shared" ref="BH672:BH695" si="43">BG672/$BG$696</f>
        <v>4.9382716049382713E-2</v>
      </c>
      <c r="BI672" s="461">
        <f t="shared" si="42"/>
        <v>1.9753086419753086E-2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35"/>
      <c r="H673" s="2035"/>
      <c r="I673" s="2035"/>
      <c r="J673" s="2035"/>
      <c r="K673" s="2035"/>
      <c r="L673" s="2035"/>
      <c r="O673" s="137" t="s">
        <v>212</v>
      </c>
      <c r="P673" s="1992"/>
      <c r="Q673" s="1992"/>
      <c r="R673" s="1992"/>
      <c r="T673" s="35"/>
      <c r="U673" s="12" t="s">
        <v>325</v>
      </c>
      <c r="Z673" s="2035"/>
      <c r="AA673" s="2035"/>
      <c r="AB673" s="2035"/>
      <c r="AC673" s="2035"/>
      <c r="AD673" s="2035"/>
      <c r="AE673" s="2035"/>
      <c r="AH673" s="137" t="s">
        <v>212</v>
      </c>
      <c r="AI673" s="1992"/>
      <c r="AJ673" s="1992"/>
      <c r="AK673" s="1992"/>
      <c r="AZ673" s="58"/>
      <c r="BA673" s="446">
        <f t="shared" si="40"/>
        <v>2040</v>
      </c>
      <c r="BB673" s="58"/>
      <c r="BC673" s="58"/>
      <c r="BD673" s="58"/>
      <c r="BE673" s="58"/>
      <c r="BF673" s="382"/>
      <c r="BG673" s="457">
        <f t="shared" si="41"/>
        <v>4</v>
      </c>
      <c r="BH673" s="460">
        <f t="shared" si="43"/>
        <v>4.9382716049382713E-2</v>
      </c>
      <c r="BI673" s="461">
        <f t="shared" si="42"/>
        <v>1.4814814814814814E-2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3" t="s">
        <v>2643</v>
      </c>
      <c r="I674" s="2013"/>
      <c r="J674" s="2013"/>
      <c r="K674" s="2013"/>
      <c r="L674" s="2013"/>
      <c r="M674" s="2013"/>
      <c r="N674" s="2013"/>
      <c r="O674" s="2013"/>
      <c r="P674" s="2013"/>
      <c r="Q674" s="2013"/>
      <c r="R674" s="2013"/>
      <c r="T674" s="35"/>
      <c r="U674" s="12" t="s">
        <v>18</v>
      </c>
      <c r="AA674" s="2013" t="s">
        <v>2065</v>
      </c>
      <c r="AB674" s="2013"/>
      <c r="AC674" s="2013"/>
      <c r="AD674" s="2013"/>
      <c r="AE674" s="2013"/>
      <c r="AF674" s="2013"/>
      <c r="AG674" s="2013"/>
      <c r="AH674" s="2013"/>
      <c r="AI674" s="2013"/>
      <c r="AJ674" s="2013"/>
      <c r="AK674" s="2013"/>
      <c r="AZ674" s="58"/>
      <c r="BA674" s="446">
        <f t="shared" si="40"/>
        <v>2040</v>
      </c>
      <c r="BB674" s="58"/>
      <c r="BC674" s="58"/>
      <c r="BD674" s="58"/>
      <c r="BE674" s="58"/>
      <c r="BF674" s="382"/>
      <c r="BG674" s="457">
        <f t="shared" si="41"/>
        <v>8</v>
      </c>
      <c r="BH674" s="460">
        <f t="shared" si="43"/>
        <v>9.8765432098765427E-2</v>
      </c>
      <c r="BI674" s="461">
        <f t="shared" si="42"/>
        <v>5.9259259259259255E-2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91" t="s">
        <v>578</v>
      </c>
      <c r="O675" s="1991"/>
      <c r="T675" s="35"/>
      <c r="U675" s="12" t="s">
        <v>20</v>
      </c>
      <c r="AG675" s="1991" t="s">
        <v>578</v>
      </c>
      <c r="AH675" s="1991"/>
      <c r="AZ675" s="58"/>
      <c r="BA675" s="446">
        <f t="shared" si="40"/>
        <v>2040</v>
      </c>
      <c r="BB675" s="58"/>
      <c r="BC675" s="58"/>
      <c r="BD675" s="58"/>
      <c r="BE675" s="58"/>
      <c r="BF675" s="382"/>
      <c r="BG675" s="457">
        <f t="shared" si="41"/>
        <v>11</v>
      </c>
      <c r="BH675" s="460">
        <f t="shared" si="43"/>
        <v>0.13580246913580246</v>
      </c>
      <c r="BI675" s="461">
        <f t="shared" si="42"/>
        <v>6.7901234567901231E-2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2040</v>
      </c>
      <c r="BB676" s="58"/>
      <c r="BC676" s="58"/>
      <c r="BD676" s="58"/>
      <c r="BE676" s="58"/>
      <c r="BF676" s="382"/>
      <c r="BG676" s="457">
        <f t="shared" si="41"/>
        <v>12</v>
      </c>
      <c r="BH676" s="460">
        <f t="shared" si="43"/>
        <v>0.14814814814814814</v>
      </c>
      <c r="BI676" s="461">
        <f t="shared" si="42"/>
        <v>5.9259259259259262E-2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1981">
        <f>C643</f>
        <v>0</v>
      </c>
      <c r="H677" s="1981"/>
      <c r="I677" s="1981"/>
      <c r="J677" s="1981"/>
      <c r="K677" s="1981"/>
      <c r="L677" s="1981"/>
      <c r="M677" s="1981"/>
      <c r="N677" s="1981"/>
      <c r="O677" s="1981"/>
      <c r="P677" s="1981"/>
      <c r="Q677" s="1981"/>
      <c r="R677" s="1981"/>
      <c r="T677" s="87" t="s">
        <v>488</v>
      </c>
      <c r="U677" s="12" t="s">
        <v>496</v>
      </c>
      <c r="Z677" s="1981">
        <f>C644</f>
        <v>0</v>
      </c>
      <c r="AA677" s="1981"/>
      <c r="AB677" s="1981"/>
      <c r="AC677" s="1981"/>
      <c r="AD677" s="1981"/>
      <c r="AE677" s="1981"/>
      <c r="AF677" s="1981"/>
      <c r="AG677" s="1981"/>
      <c r="AH677" s="1981"/>
      <c r="AI677" s="1981"/>
      <c r="AJ677" s="1981"/>
      <c r="AK677" s="1981"/>
      <c r="AZ677" s="58"/>
      <c r="BA677" s="446">
        <f t="shared" si="40"/>
        <v>2356</v>
      </c>
      <c r="BB677" s="58"/>
      <c r="BC677" s="58"/>
      <c r="BD677" s="58"/>
      <c r="BE677" s="58"/>
      <c r="BF677" s="382"/>
      <c r="BG677" s="457">
        <f t="shared" si="41"/>
        <v>10</v>
      </c>
      <c r="BH677" s="460">
        <f t="shared" si="43"/>
        <v>0.12345679012345678</v>
      </c>
      <c r="BI677" s="461">
        <f t="shared" si="42"/>
        <v>3.7037037037037035E-2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f t="shared" si="40"/>
        <v>2356</v>
      </c>
      <c r="BB678" s="58"/>
      <c r="BC678" s="58"/>
      <c r="BD678" s="58"/>
      <c r="BE678" s="58"/>
      <c r="BF678" s="382"/>
      <c r="BG678" s="457">
        <f t="shared" si="41"/>
        <v>8</v>
      </c>
      <c r="BH678" s="460">
        <f t="shared" si="43"/>
        <v>9.8765432098765427E-2</v>
      </c>
      <c r="BI678" s="461">
        <f t="shared" si="42"/>
        <v>5.9259259259259255E-2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13"/>
      <c r="H679" s="2013"/>
      <c r="I679" s="2013"/>
      <c r="J679" s="2013"/>
      <c r="K679" s="2013"/>
      <c r="L679" s="2013"/>
      <c r="M679" s="2013"/>
      <c r="N679" s="2013"/>
      <c r="O679" s="2013"/>
      <c r="P679" s="2013"/>
      <c r="Q679" s="2013"/>
      <c r="R679" s="2013"/>
      <c r="T679" s="35"/>
      <c r="U679" s="12" t="s">
        <v>615</v>
      </c>
      <c r="Z679" s="1993"/>
      <c r="AA679" s="1993"/>
      <c r="AB679" s="1993"/>
      <c r="AC679" s="1993"/>
      <c r="AD679" s="1993"/>
      <c r="AE679" s="1993"/>
      <c r="AF679" s="1993"/>
      <c r="AG679" s="1993"/>
      <c r="AH679" s="1993"/>
      <c r="AI679" s="1993"/>
      <c r="AJ679" s="1993"/>
      <c r="AK679" s="1993"/>
      <c r="AZ679" s="58"/>
      <c r="BA679" s="446">
        <f t="shared" si="40"/>
        <v>2356</v>
      </c>
      <c r="BB679" s="58"/>
      <c r="BC679" s="58"/>
      <c r="BD679" s="58"/>
      <c r="BE679" s="58"/>
      <c r="BF679" s="382"/>
      <c r="BG679" s="457">
        <f t="shared" si="41"/>
        <v>8</v>
      </c>
      <c r="BH679" s="460">
        <f t="shared" si="43"/>
        <v>9.8765432098765427E-2</v>
      </c>
      <c r="BI679" s="461">
        <f t="shared" si="42"/>
        <v>4.9382716049382713E-2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6">
        <f t="shared" si="40"/>
        <v>2356</v>
      </c>
      <c r="BB680" s="58"/>
      <c r="BC680" s="58"/>
      <c r="BD680" s="58"/>
      <c r="BE680" s="58"/>
      <c r="BF680" s="382"/>
      <c r="BG680" s="457">
        <f t="shared" si="41"/>
        <v>7</v>
      </c>
      <c r="BH680" s="460">
        <f t="shared" si="43"/>
        <v>8.6419753086419748E-2</v>
      </c>
      <c r="BI680" s="461">
        <f t="shared" si="42"/>
        <v>3.4567901234567898E-2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35"/>
      <c r="H681" s="2035"/>
      <c r="I681" s="2035"/>
      <c r="J681" s="2035"/>
      <c r="K681" s="2035"/>
      <c r="L681" s="2035"/>
      <c r="O681" s="137" t="s">
        <v>212</v>
      </c>
      <c r="P681" s="1992"/>
      <c r="Q681" s="1992"/>
      <c r="R681" s="1992"/>
      <c r="T681" s="35"/>
      <c r="U681" s="12" t="s">
        <v>325</v>
      </c>
      <c r="Z681" s="2035"/>
      <c r="AA681" s="2035"/>
      <c r="AB681" s="2035"/>
      <c r="AC681" s="2035"/>
      <c r="AD681" s="2035"/>
      <c r="AE681" s="2035"/>
      <c r="AH681" s="137" t="s">
        <v>212</v>
      </c>
      <c r="AI681" s="1992"/>
      <c r="AJ681" s="1992"/>
      <c r="AK681" s="1992"/>
      <c r="AZ681" s="58"/>
      <c r="BA681" s="446" t="str">
        <f t="shared" si="40"/>
        <v>N/A</v>
      </c>
      <c r="BB681" s="58"/>
      <c r="BC681" s="58"/>
      <c r="BD681" s="58"/>
      <c r="BE681" s="58"/>
      <c r="BF681" s="382"/>
      <c r="BG681" s="457">
        <f t="shared" si="41"/>
        <v>5</v>
      </c>
      <c r="BH681" s="460">
        <f t="shared" si="43"/>
        <v>6.1728395061728392E-2</v>
      </c>
      <c r="BI681" s="461">
        <f t="shared" si="42"/>
        <v>1.8518518518518517E-2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91" t="s">
        <v>706</v>
      </c>
      <c r="O683" s="1991"/>
      <c r="T683" s="35"/>
      <c r="U683" s="12" t="s">
        <v>20</v>
      </c>
      <c r="AG683" s="1991" t="s">
        <v>706</v>
      </c>
      <c r="AH683" s="199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1981">
        <f>C645</f>
        <v>0</v>
      </c>
      <c r="H685" s="1981"/>
      <c r="I685" s="1981"/>
      <c r="J685" s="1981"/>
      <c r="K685" s="1981"/>
      <c r="L685" s="1981"/>
      <c r="M685" s="1981"/>
      <c r="N685" s="1981"/>
      <c r="O685" s="1981"/>
      <c r="P685" s="1981"/>
      <c r="Q685" s="1981"/>
      <c r="R685" s="1981"/>
      <c r="T685" s="87" t="s">
        <v>681</v>
      </c>
      <c r="U685" s="12" t="s">
        <v>496</v>
      </c>
      <c r="Z685" s="1981">
        <f>C646</f>
        <v>0</v>
      </c>
      <c r="AA685" s="1981"/>
      <c r="AB685" s="1981"/>
      <c r="AC685" s="1981"/>
      <c r="AD685" s="1981"/>
      <c r="AE685" s="1981"/>
      <c r="AF685" s="1981"/>
      <c r="AG685" s="1981"/>
      <c r="AH685" s="1981"/>
      <c r="AI685" s="1981"/>
      <c r="AJ685" s="1981"/>
      <c r="AK685" s="198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13"/>
      <c r="H687" s="2013"/>
      <c r="I687" s="2013"/>
      <c r="J687" s="2013"/>
      <c r="K687" s="2013"/>
      <c r="L687" s="2013"/>
      <c r="M687" s="2013"/>
      <c r="N687" s="2013"/>
      <c r="O687" s="2013"/>
      <c r="P687" s="2013"/>
      <c r="Q687" s="2013"/>
      <c r="R687" s="2013"/>
      <c r="T687" s="35"/>
      <c r="U687" s="12" t="s">
        <v>615</v>
      </c>
      <c r="Z687" s="1993"/>
      <c r="AA687" s="1993"/>
      <c r="AB687" s="1993"/>
      <c r="AC687" s="1993"/>
      <c r="AD687" s="1993"/>
      <c r="AE687" s="1993"/>
      <c r="AF687" s="1993"/>
      <c r="AG687" s="1993"/>
      <c r="AH687" s="1993"/>
      <c r="AI687" s="1993"/>
      <c r="AJ687" s="1993"/>
      <c r="AK687" s="199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35"/>
      <c r="H689" s="2035"/>
      <c r="I689" s="2035"/>
      <c r="J689" s="2035"/>
      <c r="K689" s="2035"/>
      <c r="L689" s="2035"/>
      <c r="O689" s="137" t="s">
        <v>212</v>
      </c>
      <c r="P689" s="1992"/>
      <c r="Q689" s="1992"/>
      <c r="R689" s="1992"/>
      <c r="T689" s="35"/>
      <c r="U689" s="12" t="s">
        <v>325</v>
      </c>
      <c r="Z689" s="2035"/>
      <c r="AA689" s="2035"/>
      <c r="AB689" s="2035"/>
      <c r="AC689" s="2035"/>
      <c r="AD689" s="2035"/>
      <c r="AE689" s="2035"/>
      <c r="AH689" s="137" t="s">
        <v>212</v>
      </c>
      <c r="AI689" s="1992"/>
      <c r="AJ689" s="1992"/>
      <c r="AK689" s="19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91" t="s">
        <v>706</v>
      </c>
      <c r="O691" s="1991"/>
      <c r="T691" s="35"/>
      <c r="U691" s="12" t="s">
        <v>20</v>
      </c>
      <c r="AG691" s="1991" t="s">
        <v>706</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1981">
        <f>C647</f>
        <v>0</v>
      </c>
      <c r="H693" s="1981"/>
      <c r="I693" s="1981"/>
      <c r="J693" s="1981"/>
      <c r="K693" s="1981"/>
      <c r="L693" s="1981"/>
      <c r="M693" s="1981"/>
      <c r="N693" s="1981"/>
      <c r="O693" s="1981"/>
      <c r="P693" s="1981"/>
      <c r="Q693" s="1981"/>
      <c r="R693" s="1981"/>
      <c r="T693" s="87" t="s">
        <v>373</v>
      </c>
      <c r="U693" s="12" t="s">
        <v>496</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13"/>
      <c r="H695" s="2013"/>
      <c r="I695" s="2013"/>
      <c r="J695" s="2013"/>
      <c r="K695" s="2013"/>
      <c r="L695" s="2013"/>
      <c r="M695" s="2013"/>
      <c r="N695" s="2013"/>
      <c r="O695" s="2013"/>
      <c r="P695" s="2013"/>
      <c r="Q695" s="2013"/>
      <c r="R695" s="2013"/>
      <c r="U695" s="12" t="s">
        <v>615</v>
      </c>
      <c r="Z695" s="1993"/>
      <c r="AA695" s="1993"/>
      <c r="AB695" s="1993"/>
      <c r="AC695" s="1993"/>
      <c r="AD695" s="1993"/>
      <c r="AE695" s="1993"/>
      <c r="AF695" s="1993"/>
      <c r="AG695" s="1993"/>
      <c r="AH695" s="1993"/>
      <c r="AI695" s="1993"/>
      <c r="AJ695" s="1993"/>
      <c r="AK695" s="199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968</v>
      </c>
      <c r="BG696" s="462">
        <f>SUM(BG671:BG695)</f>
        <v>81</v>
      </c>
      <c r="BH696" s="463">
        <f>SUM(BH671:BH695)</f>
        <v>1</v>
      </c>
      <c r="BI696" s="463">
        <f>SUM(BI671:BI695)</f>
        <v>0.44938271604938262</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35"/>
      <c r="H697" s="2035"/>
      <c r="I697" s="2035"/>
      <c r="J697" s="2035"/>
      <c r="K697" s="2035"/>
      <c r="L697" s="2035"/>
      <c r="O697" s="137" t="s">
        <v>212</v>
      </c>
      <c r="P697" s="1992"/>
      <c r="Q697" s="1992"/>
      <c r="R697" s="1992"/>
      <c r="U697" s="12" t="s">
        <v>325</v>
      </c>
      <c r="Z697" s="2035"/>
      <c r="AA697" s="2035"/>
      <c r="AB697" s="2035"/>
      <c r="AC697" s="2035"/>
      <c r="AD697" s="2035"/>
      <c r="AE697" s="2035"/>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91" t="s">
        <v>706</v>
      </c>
      <c r="O699" s="1991"/>
      <c r="U699" s="12" t="s">
        <v>20</v>
      </c>
      <c r="AG699" s="1991" t="s">
        <v>706</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578</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4</v>
      </c>
      <c r="BH703" s="460">
        <f>BG703/$BG$728</f>
        <v>4.9382716049382713E-2</v>
      </c>
      <c r="BI703" s="461">
        <f t="shared" ref="BI703:BI727" si="45">IF(BH703=0," ",BH703*AM728)</f>
        <v>2.9629629629629627E-2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706</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4.9382716049382713E-2</v>
      </c>
      <c r="BI704" s="461">
        <f t="shared" si="45"/>
        <v>1.9753086419753086E-2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6">
        <v>44636</v>
      </c>
      <c r="AF705" s="2276"/>
      <c r="AG705" s="2276"/>
      <c r="AH705" s="2276"/>
      <c r="AI705" s="22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4.9382716049382713E-2</v>
      </c>
      <c r="BI705" s="461">
        <f t="shared" si="45"/>
        <v>1.4814814814814814E-2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9">
        <v>44682</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9.8765432098765427E-2</v>
      </c>
      <c r="BI706" s="461">
        <f t="shared" si="45"/>
        <v>5.9259259259259255E-2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11</v>
      </c>
      <c r="BH707" s="460">
        <f t="shared" si="46"/>
        <v>0.13580246913580246</v>
      </c>
      <c r="BI707" s="461">
        <f t="shared" si="45"/>
        <v>6.7901234567901231E-2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6">
        <v>44896</v>
      </c>
      <c r="AF708" s="2276"/>
      <c r="AG708" s="2276"/>
      <c r="AH708" s="2276"/>
      <c r="AI708" s="22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12</v>
      </c>
      <c r="BH708" s="460">
        <f t="shared" si="46"/>
        <v>0.14814814814814814</v>
      </c>
      <c r="BI708" s="461">
        <f t="shared" si="45"/>
        <v>5.9259259259259262E-2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v>0.51</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0.12345679012345678</v>
      </c>
      <c r="BI709" s="461">
        <f t="shared" si="45"/>
        <v>3.7037037037037035E-2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1" t="str">
        <f>H334</f>
        <v>California Municipal Finance Authority</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8</v>
      </c>
      <c r="BH710" s="460">
        <f t="shared" si="46"/>
        <v>9.8765432098765427E-2</v>
      </c>
      <c r="BI710" s="461">
        <f t="shared" si="45"/>
        <v>5.9234106772307109E-2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9.8765432098765427E-2</v>
      </c>
      <c r="BI711" s="461">
        <f t="shared" si="45"/>
        <v>4.9382716049382713E-2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706</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8.6419753086419748E-2</v>
      </c>
      <c r="BI712" s="461">
        <f t="shared" si="45"/>
        <v>3.455322895051248E-2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6.1728395061728392E-2</v>
      </c>
      <c r="BI713" s="461">
        <f t="shared" si="45"/>
        <v>1.8497558112725063E-2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5"/>
      <c r="K715" s="2035"/>
      <c r="L715" s="2035"/>
      <c r="M715" s="2035"/>
      <c r="N715" s="2035"/>
      <c r="O715" s="2035"/>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5" t="s">
        <v>407</v>
      </c>
      <c r="C724" s="2226"/>
      <c r="D724" s="2226"/>
      <c r="E724" s="2226"/>
      <c r="F724" s="2227"/>
      <c r="G724" s="2225" t="s">
        <v>291</v>
      </c>
      <c r="H724" s="2226"/>
      <c r="I724" s="2226"/>
      <c r="J724" s="2227"/>
      <c r="K724" s="2234" t="s">
        <v>2094</v>
      </c>
      <c r="L724" s="2235"/>
      <c r="M724" s="2235"/>
      <c r="N724" s="2236"/>
      <c r="O724" s="2225" t="s">
        <v>478</v>
      </c>
      <c r="P724" s="2226"/>
      <c r="Q724" s="2226"/>
      <c r="R724" s="2226"/>
      <c r="S724" s="2227"/>
      <c r="T724" s="2225" t="s">
        <v>292</v>
      </c>
      <c r="U724" s="2226"/>
      <c r="V724" s="2226"/>
      <c r="W724" s="2226"/>
      <c r="X724" s="2227"/>
      <c r="Y724" s="2225" t="s">
        <v>293</v>
      </c>
      <c r="Z724" s="2226"/>
      <c r="AA724" s="2226"/>
      <c r="AB724" s="2227"/>
      <c r="AC724" s="2225" t="s">
        <v>294</v>
      </c>
      <c r="AD724" s="2226"/>
      <c r="AE724" s="2226"/>
      <c r="AF724" s="2226"/>
      <c r="AG724" s="2227"/>
      <c r="AH724" s="2225" t="s">
        <v>408</v>
      </c>
      <c r="AI724" s="2226"/>
      <c r="AJ724" s="2226"/>
      <c r="AK724" s="2226"/>
      <c r="AL724" s="2227"/>
      <c r="AM724" s="2225" t="s">
        <v>682</v>
      </c>
      <c r="AN724" s="2226"/>
      <c r="AO724" s="2227"/>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28"/>
      <c r="C725" s="2229"/>
      <c r="D725" s="2229"/>
      <c r="E725" s="2229"/>
      <c r="F725" s="2230"/>
      <c r="G725" s="2228"/>
      <c r="H725" s="2229"/>
      <c r="I725" s="2229"/>
      <c r="J725" s="2230"/>
      <c r="K725" s="2237"/>
      <c r="L725" s="2238"/>
      <c r="M725" s="2238"/>
      <c r="N725" s="2239"/>
      <c r="O725" s="2228"/>
      <c r="P725" s="2229"/>
      <c r="Q725" s="2229"/>
      <c r="R725" s="2229"/>
      <c r="S725" s="2230"/>
      <c r="T725" s="2228"/>
      <c r="U725" s="2229"/>
      <c r="V725" s="2229"/>
      <c r="W725" s="2229"/>
      <c r="X725" s="2230"/>
      <c r="Y725" s="2228"/>
      <c r="Z725" s="2229"/>
      <c r="AA725" s="2229"/>
      <c r="AB725" s="2230"/>
      <c r="AC725" s="2228"/>
      <c r="AD725" s="2229"/>
      <c r="AE725" s="2229"/>
      <c r="AF725" s="2229"/>
      <c r="AG725" s="2230"/>
      <c r="AH725" s="2228"/>
      <c r="AI725" s="2229"/>
      <c r="AJ725" s="2229"/>
      <c r="AK725" s="2229"/>
      <c r="AL725" s="2230"/>
      <c r="AM725" s="2228"/>
      <c r="AN725" s="2229"/>
      <c r="AO725" s="2230"/>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28"/>
      <c r="C726" s="2229"/>
      <c r="D726" s="2229"/>
      <c r="E726" s="2229"/>
      <c r="F726" s="2230"/>
      <c r="G726" s="2228"/>
      <c r="H726" s="2229"/>
      <c r="I726" s="2229"/>
      <c r="J726" s="2230"/>
      <c r="K726" s="2237"/>
      <c r="L726" s="2238"/>
      <c r="M726" s="2238"/>
      <c r="N726" s="2239"/>
      <c r="O726" s="2228"/>
      <c r="P726" s="2229"/>
      <c r="Q726" s="2229"/>
      <c r="R726" s="2229"/>
      <c r="S726" s="2230"/>
      <c r="T726" s="2228"/>
      <c r="U726" s="2229"/>
      <c r="V726" s="2229"/>
      <c r="W726" s="2229"/>
      <c r="X726" s="2230"/>
      <c r="Y726" s="2228"/>
      <c r="Z726" s="2229"/>
      <c r="AA726" s="2229"/>
      <c r="AB726" s="2230"/>
      <c r="AC726" s="2228"/>
      <c r="AD726" s="2229"/>
      <c r="AE726" s="2229"/>
      <c r="AF726" s="2229"/>
      <c r="AG726" s="2230"/>
      <c r="AH726" s="2228"/>
      <c r="AI726" s="2229"/>
      <c r="AJ726" s="2229"/>
      <c r="AK726" s="2229"/>
      <c r="AL726" s="2230"/>
      <c r="AM726" s="2228"/>
      <c r="AN726" s="2229"/>
      <c r="AO726" s="2230"/>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31"/>
      <c r="C727" s="2232"/>
      <c r="D727" s="2232"/>
      <c r="E727" s="2232"/>
      <c r="F727" s="2233"/>
      <c r="G727" s="2231"/>
      <c r="H727" s="2232"/>
      <c r="I727" s="2232"/>
      <c r="J727" s="2233"/>
      <c r="K727" s="2237"/>
      <c r="L727" s="2238"/>
      <c r="M727" s="2238"/>
      <c r="N727" s="2239"/>
      <c r="O727" s="2231"/>
      <c r="P727" s="2232"/>
      <c r="Q727" s="2232"/>
      <c r="R727" s="2232"/>
      <c r="S727" s="2233"/>
      <c r="T727" s="2231"/>
      <c r="U727" s="2232"/>
      <c r="V727" s="2232"/>
      <c r="W727" s="2232"/>
      <c r="X727" s="2233"/>
      <c r="Y727" s="2231"/>
      <c r="Z727" s="2232"/>
      <c r="AA727" s="2232"/>
      <c r="AB727" s="2233"/>
      <c r="AC727" s="2231"/>
      <c r="AD727" s="2232"/>
      <c r="AE727" s="2232"/>
      <c r="AF727" s="2232"/>
      <c r="AG727" s="2233"/>
      <c r="AH727" s="2231"/>
      <c r="AI727" s="2232"/>
      <c r="AJ727" s="2232"/>
      <c r="AK727" s="2232"/>
      <c r="AL727" s="2233"/>
      <c r="AM727" s="2231"/>
      <c r="AN727" s="2232"/>
      <c r="AO727" s="2233"/>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43" t="s">
        <v>334</v>
      </c>
      <c r="C728" s="2144"/>
      <c r="D728" s="2144"/>
      <c r="E728" s="2144"/>
      <c r="F728" s="2145"/>
      <c r="G728" s="2273">
        <v>4</v>
      </c>
      <c r="H728" s="2274"/>
      <c r="I728" s="2274"/>
      <c r="J728" s="2275"/>
      <c r="K728" s="2208">
        <v>600</v>
      </c>
      <c r="L728" s="2209"/>
      <c r="M728" s="2209"/>
      <c r="N728" s="2210"/>
      <c r="O728" s="2182">
        <v>1010</v>
      </c>
      <c r="P728" s="2183"/>
      <c r="Q728" s="2183"/>
      <c r="R728" s="2183"/>
      <c r="S728" s="2184"/>
      <c r="T728" s="1985">
        <f t="shared" ref="T728:T752" si="47">G728*O728</f>
        <v>4040</v>
      </c>
      <c r="U728" s="1986"/>
      <c r="V728" s="1986"/>
      <c r="W728" s="1986"/>
      <c r="X728" s="1987"/>
      <c r="Y728" s="2182">
        <v>10</v>
      </c>
      <c r="Z728" s="2183"/>
      <c r="AA728" s="2183"/>
      <c r="AB728" s="2184"/>
      <c r="AC728" s="1985">
        <f t="shared" ref="AC728:AC752" si="48">O728+Y728</f>
        <v>1020</v>
      </c>
      <c r="AD728" s="1986"/>
      <c r="AE728" s="1986"/>
      <c r="AF728" s="1986"/>
      <c r="AG728" s="1987"/>
      <c r="AH728" s="1988">
        <v>0.6</v>
      </c>
      <c r="AI728" s="1989"/>
      <c r="AJ728" s="1989"/>
      <c r="AK728" s="1989"/>
      <c r="AL728" s="1990"/>
      <c r="AM728" s="1967">
        <f t="shared" ref="AM728:AM752" si="49">IF($AH728&gt;0,($AC728/$BA670), " ")</f>
        <v>0.6</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81</v>
      </c>
      <c r="BH728" s="463">
        <f>SUM(BH703:BH727)</f>
        <v>1</v>
      </c>
      <c r="BI728" s="463">
        <f>SUM(BI703:BI727)</f>
        <v>0.44932193087258171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43" t="s">
        <v>334</v>
      </c>
      <c r="C729" s="2144"/>
      <c r="D729" s="2144"/>
      <c r="E729" s="2144"/>
      <c r="F729" s="2145"/>
      <c r="G729" s="2273">
        <v>4</v>
      </c>
      <c r="H729" s="2274"/>
      <c r="I729" s="2274"/>
      <c r="J729" s="2275"/>
      <c r="K729" s="2208">
        <v>600</v>
      </c>
      <c r="L729" s="2209"/>
      <c r="M729" s="2209"/>
      <c r="N729" s="2210"/>
      <c r="O729" s="2182">
        <v>670</v>
      </c>
      <c r="P729" s="2183"/>
      <c r="Q729" s="2183"/>
      <c r="R729" s="2183"/>
      <c r="S729" s="2184"/>
      <c r="T729" s="1985">
        <f t="shared" si="47"/>
        <v>2680</v>
      </c>
      <c r="U729" s="1986"/>
      <c r="V729" s="1986"/>
      <c r="W729" s="1986"/>
      <c r="X729" s="1987"/>
      <c r="Y729" s="2182">
        <v>10</v>
      </c>
      <c r="Z729" s="2183"/>
      <c r="AA729" s="2183"/>
      <c r="AB729" s="2184"/>
      <c r="AC729" s="1985">
        <f t="shared" si="48"/>
        <v>680</v>
      </c>
      <c r="AD729" s="1986"/>
      <c r="AE729" s="1986"/>
      <c r="AF729" s="1986"/>
      <c r="AG729" s="1987"/>
      <c r="AH729" s="1988">
        <v>0.4</v>
      </c>
      <c r="AI729" s="1989"/>
      <c r="AJ729" s="1989"/>
      <c r="AK729" s="1989"/>
      <c r="AL729" s="1990"/>
      <c r="AM729" s="1967">
        <f t="shared" si="49"/>
        <v>0.4</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43" t="s">
        <v>334</v>
      </c>
      <c r="C730" s="2144"/>
      <c r="D730" s="2144"/>
      <c r="E730" s="2144"/>
      <c r="F730" s="2145"/>
      <c r="G730" s="2273">
        <v>4</v>
      </c>
      <c r="H730" s="2274"/>
      <c r="I730" s="2274"/>
      <c r="J730" s="2275"/>
      <c r="K730" s="2208">
        <v>600</v>
      </c>
      <c r="L730" s="2209"/>
      <c r="M730" s="2209"/>
      <c r="N730" s="2210"/>
      <c r="O730" s="2182">
        <v>500</v>
      </c>
      <c r="P730" s="2183"/>
      <c r="Q730" s="2183"/>
      <c r="R730" s="2183"/>
      <c r="S730" s="2184"/>
      <c r="T730" s="1985">
        <f t="shared" si="47"/>
        <v>2000</v>
      </c>
      <c r="U730" s="1986"/>
      <c r="V730" s="1986"/>
      <c r="W730" s="1986"/>
      <c r="X730" s="1987"/>
      <c r="Y730" s="2182">
        <v>10</v>
      </c>
      <c r="Z730" s="2183"/>
      <c r="AA730" s="2183"/>
      <c r="AB730" s="2184"/>
      <c r="AC730" s="1985">
        <f t="shared" si="48"/>
        <v>510</v>
      </c>
      <c r="AD730" s="1986"/>
      <c r="AE730" s="1986"/>
      <c r="AF730" s="1986"/>
      <c r="AG730" s="1987"/>
      <c r="AH730" s="1988">
        <v>0.3</v>
      </c>
      <c r="AI730" s="1989"/>
      <c r="AJ730" s="1989"/>
      <c r="AK730" s="1989"/>
      <c r="AL730" s="1990"/>
      <c r="AM730" s="1967">
        <f t="shared" si="49"/>
        <v>0.3</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43" t="s">
        <v>168</v>
      </c>
      <c r="C731" s="2144"/>
      <c r="D731" s="2144"/>
      <c r="E731" s="2144"/>
      <c r="F731" s="2145"/>
      <c r="G731" s="2273">
        <v>8</v>
      </c>
      <c r="H731" s="2274"/>
      <c r="I731" s="2274"/>
      <c r="J731" s="2275"/>
      <c r="K731" s="2208">
        <v>806</v>
      </c>
      <c r="L731" s="2209"/>
      <c r="M731" s="2209"/>
      <c r="N731" s="2210"/>
      <c r="O731" s="2182">
        <v>1214</v>
      </c>
      <c r="P731" s="2183"/>
      <c r="Q731" s="2183"/>
      <c r="R731" s="2183"/>
      <c r="S731" s="2184"/>
      <c r="T731" s="1985">
        <f t="shared" si="47"/>
        <v>9712</v>
      </c>
      <c r="U731" s="1986"/>
      <c r="V731" s="1986"/>
      <c r="W731" s="1986"/>
      <c r="X731" s="1987"/>
      <c r="Y731" s="2182">
        <v>10</v>
      </c>
      <c r="Z731" s="2183"/>
      <c r="AA731" s="2183"/>
      <c r="AB731" s="2184"/>
      <c r="AC731" s="1985">
        <f t="shared" si="48"/>
        <v>1224</v>
      </c>
      <c r="AD731" s="1986"/>
      <c r="AE731" s="1986"/>
      <c r="AF731" s="1986"/>
      <c r="AG731" s="1987"/>
      <c r="AH731" s="1988">
        <v>0.6</v>
      </c>
      <c r="AI731" s="1989"/>
      <c r="AJ731" s="1989"/>
      <c r="AK731" s="1989"/>
      <c r="AL731" s="1990"/>
      <c r="AM731" s="1967">
        <f t="shared" si="49"/>
        <v>0.6</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43" t="s">
        <v>168</v>
      </c>
      <c r="C732" s="2144"/>
      <c r="D732" s="2144"/>
      <c r="E732" s="2144"/>
      <c r="F732" s="2145"/>
      <c r="G732" s="2273">
        <v>11</v>
      </c>
      <c r="H732" s="2274"/>
      <c r="I732" s="2274"/>
      <c r="J732" s="2275"/>
      <c r="K732" s="2208">
        <v>806</v>
      </c>
      <c r="L732" s="2209"/>
      <c r="M732" s="2209"/>
      <c r="N732" s="2210"/>
      <c r="O732" s="2182">
        <v>1010</v>
      </c>
      <c r="P732" s="2183"/>
      <c r="Q732" s="2183"/>
      <c r="R732" s="2183"/>
      <c r="S732" s="2184"/>
      <c r="T732" s="1985">
        <f t="shared" si="47"/>
        <v>11110</v>
      </c>
      <c r="U732" s="1986"/>
      <c r="V732" s="1986"/>
      <c r="W732" s="1986"/>
      <c r="X732" s="1987"/>
      <c r="Y732" s="2182">
        <v>10</v>
      </c>
      <c r="Z732" s="2183"/>
      <c r="AA732" s="2183"/>
      <c r="AB732" s="2184"/>
      <c r="AC732" s="1985">
        <f t="shared" si="48"/>
        <v>1020</v>
      </c>
      <c r="AD732" s="1986"/>
      <c r="AE732" s="1986"/>
      <c r="AF732" s="1986"/>
      <c r="AG732" s="1987"/>
      <c r="AH732" s="1988">
        <v>0.5</v>
      </c>
      <c r="AI732" s="1989"/>
      <c r="AJ732" s="1989"/>
      <c r="AK732" s="1989"/>
      <c r="AL732" s="1990"/>
      <c r="AM732" s="1967">
        <f t="shared" si="49"/>
        <v>0.5</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43" t="s">
        <v>168</v>
      </c>
      <c r="C733" s="2144"/>
      <c r="D733" s="2144"/>
      <c r="E733" s="2144"/>
      <c r="F733" s="2145"/>
      <c r="G733" s="2273">
        <v>12</v>
      </c>
      <c r="H733" s="2274"/>
      <c r="I733" s="2274"/>
      <c r="J733" s="2275"/>
      <c r="K733" s="2208">
        <v>806</v>
      </c>
      <c r="L733" s="2209"/>
      <c r="M733" s="2209"/>
      <c r="N733" s="2210"/>
      <c r="O733" s="2182">
        <v>806</v>
      </c>
      <c r="P733" s="2183"/>
      <c r="Q733" s="2183"/>
      <c r="R733" s="2183"/>
      <c r="S733" s="2184"/>
      <c r="T733" s="1985">
        <f t="shared" si="47"/>
        <v>9672</v>
      </c>
      <c r="U733" s="1986"/>
      <c r="V733" s="1986"/>
      <c r="W733" s="1986"/>
      <c r="X733" s="1987"/>
      <c r="Y733" s="2182">
        <v>10</v>
      </c>
      <c r="Z733" s="2183"/>
      <c r="AA733" s="2183"/>
      <c r="AB733" s="2184"/>
      <c r="AC733" s="1985">
        <f t="shared" si="48"/>
        <v>816</v>
      </c>
      <c r="AD733" s="1986"/>
      <c r="AE733" s="1986"/>
      <c r="AF733" s="1986"/>
      <c r="AG733" s="1987"/>
      <c r="AH733" s="1988">
        <v>0.4</v>
      </c>
      <c r="AI733" s="1989"/>
      <c r="AJ733" s="1989"/>
      <c r="AK733" s="1989"/>
      <c r="AL733" s="1990"/>
      <c r="AM733" s="1967">
        <f t="shared" si="49"/>
        <v>0.4</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43" t="s">
        <v>168</v>
      </c>
      <c r="C734" s="2144"/>
      <c r="D734" s="2144"/>
      <c r="E734" s="2144"/>
      <c r="F734" s="2145"/>
      <c r="G734" s="2273">
        <v>10</v>
      </c>
      <c r="H734" s="2274"/>
      <c r="I734" s="2274"/>
      <c r="J734" s="2275"/>
      <c r="K734" s="2208">
        <v>806</v>
      </c>
      <c r="L734" s="2209"/>
      <c r="M734" s="2209"/>
      <c r="N734" s="2210"/>
      <c r="O734" s="2182">
        <v>602</v>
      </c>
      <c r="P734" s="2183"/>
      <c r="Q734" s="2183"/>
      <c r="R734" s="2183"/>
      <c r="S734" s="2184"/>
      <c r="T734" s="1985">
        <f t="shared" si="47"/>
        <v>6020</v>
      </c>
      <c r="U734" s="1986"/>
      <c r="V734" s="1986"/>
      <c r="W734" s="1986"/>
      <c r="X734" s="1987"/>
      <c r="Y734" s="2182">
        <v>10</v>
      </c>
      <c r="Z734" s="2183"/>
      <c r="AA734" s="2183"/>
      <c r="AB734" s="2184"/>
      <c r="AC734" s="1985">
        <f t="shared" si="48"/>
        <v>612</v>
      </c>
      <c r="AD734" s="1986"/>
      <c r="AE734" s="1986"/>
      <c r="AF734" s="1986"/>
      <c r="AG734" s="1987"/>
      <c r="AH734" s="1988">
        <v>0.3</v>
      </c>
      <c r="AI734" s="1989"/>
      <c r="AJ734" s="1989"/>
      <c r="AK734" s="1989"/>
      <c r="AL734" s="1990"/>
      <c r="AM734" s="1967">
        <f t="shared" si="49"/>
        <v>0.3</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43" t="s">
        <v>169</v>
      </c>
      <c r="C735" s="2144"/>
      <c r="D735" s="2144"/>
      <c r="E735" s="2144"/>
      <c r="F735" s="2145"/>
      <c r="G735" s="2273">
        <v>8</v>
      </c>
      <c r="H735" s="2274"/>
      <c r="I735" s="2274"/>
      <c r="J735" s="2275"/>
      <c r="K735" s="2208">
        <v>1033</v>
      </c>
      <c r="L735" s="2209"/>
      <c r="M735" s="2209"/>
      <c r="N735" s="2210"/>
      <c r="O735" s="2182">
        <v>1403</v>
      </c>
      <c r="P735" s="2183"/>
      <c r="Q735" s="2183"/>
      <c r="R735" s="2183"/>
      <c r="S735" s="2184"/>
      <c r="T735" s="1985">
        <f t="shared" si="47"/>
        <v>11224</v>
      </c>
      <c r="U735" s="1986"/>
      <c r="V735" s="1986"/>
      <c r="W735" s="1986"/>
      <c r="X735" s="1987"/>
      <c r="Y735" s="2182">
        <v>10</v>
      </c>
      <c r="Z735" s="2183"/>
      <c r="AA735" s="2183"/>
      <c r="AB735" s="2184"/>
      <c r="AC735" s="1985">
        <f t="shared" si="48"/>
        <v>1413</v>
      </c>
      <c r="AD735" s="1986"/>
      <c r="AE735" s="1986"/>
      <c r="AF735" s="1986"/>
      <c r="AG735" s="1987"/>
      <c r="AH735" s="1988">
        <v>0.6</v>
      </c>
      <c r="AI735" s="1989"/>
      <c r="AJ735" s="1989"/>
      <c r="AK735" s="1989"/>
      <c r="AL735" s="1990"/>
      <c r="AM735" s="1967">
        <f t="shared" si="49"/>
        <v>0.59974533106960948</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43" t="s">
        <v>169</v>
      </c>
      <c r="C736" s="2144"/>
      <c r="D736" s="2144"/>
      <c r="E736" s="2144"/>
      <c r="F736" s="2145"/>
      <c r="G736" s="2273">
        <v>8</v>
      </c>
      <c r="H736" s="2274"/>
      <c r="I736" s="2274"/>
      <c r="J736" s="2275"/>
      <c r="K736" s="2208">
        <v>1033</v>
      </c>
      <c r="L736" s="2209"/>
      <c r="M736" s="2209"/>
      <c r="N736" s="2210"/>
      <c r="O736" s="2182">
        <v>1168</v>
      </c>
      <c r="P736" s="2183"/>
      <c r="Q736" s="2183"/>
      <c r="R736" s="2183"/>
      <c r="S736" s="2184"/>
      <c r="T736" s="1985">
        <f t="shared" si="47"/>
        <v>9344</v>
      </c>
      <c r="U736" s="1986"/>
      <c r="V736" s="1986"/>
      <c r="W736" s="1986"/>
      <c r="X736" s="1987"/>
      <c r="Y736" s="2182">
        <v>10</v>
      </c>
      <c r="Z736" s="2183"/>
      <c r="AA736" s="2183"/>
      <c r="AB736" s="2184"/>
      <c r="AC736" s="1985">
        <f t="shared" si="48"/>
        <v>1178</v>
      </c>
      <c r="AD736" s="1986"/>
      <c r="AE736" s="1986"/>
      <c r="AF736" s="1986"/>
      <c r="AG736" s="1987"/>
      <c r="AH736" s="1988">
        <v>0.5</v>
      </c>
      <c r="AI736" s="1989"/>
      <c r="AJ736" s="1989"/>
      <c r="AK736" s="1989"/>
      <c r="AL736" s="1990"/>
      <c r="AM736" s="1967">
        <f t="shared" si="49"/>
        <v>0.5</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43" t="s">
        <v>169</v>
      </c>
      <c r="C737" s="2144"/>
      <c r="D737" s="2144"/>
      <c r="E737" s="2144"/>
      <c r="F737" s="2145"/>
      <c r="G737" s="2273">
        <v>7</v>
      </c>
      <c r="H737" s="2274"/>
      <c r="I737" s="2274"/>
      <c r="J737" s="2275"/>
      <c r="K737" s="2208">
        <v>1033</v>
      </c>
      <c r="L737" s="2209"/>
      <c r="M737" s="2209"/>
      <c r="N737" s="2210"/>
      <c r="O737" s="2182">
        <v>932</v>
      </c>
      <c r="P737" s="2183"/>
      <c r="Q737" s="2183"/>
      <c r="R737" s="2183"/>
      <c r="S737" s="2184"/>
      <c r="T737" s="1985">
        <f t="shared" si="47"/>
        <v>6524</v>
      </c>
      <c r="U737" s="1986"/>
      <c r="V737" s="1986"/>
      <c r="W737" s="1986"/>
      <c r="X737" s="1987"/>
      <c r="Y737" s="2182">
        <v>10</v>
      </c>
      <c r="Z737" s="2183"/>
      <c r="AA737" s="2183"/>
      <c r="AB737" s="2184"/>
      <c r="AC737" s="1985">
        <f t="shared" si="48"/>
        <v>942</v>
      </c>
      <c r="AD737" s="1986"/>
      <c r="AE737" s="1986"/>
      <c r="AF737" s="1986"/>
      <c r="AG737" s="1987"/>
      <c r="AH737" s="1988">
        <v>0.4</v>
      </c>
      <c r="AI737" s="1989"/>
      <c r="AJ737" s="1989"/>
      <c r="AK737" s="1989"/>
      <c r="AL737" s="1990"/>
      <c r="AM737" s="1967">
        <f t="shared" si="49"/>
        <v>0.399830220713073</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43" t="s">
        <v>169</v>
      </c>
      <c r="C738" s="2144"/>
      <c r="D738" s="2144"/>
      <c r="E738" s="2144"/>
      <c r="F738" s="2145"/>
      <c r="G738" s="2273">
        <v>5</v>
      </c>
      <c r="H738" s="2274"/>
      <c r="I738" s="2274"/>
      <c r="J738" s="2275"/>
      <c r="K738" s="2208">
        <v>1033</v>
      </c>
      <c r="L738" s="2209"/>
      <c r="M738" s="2209"/>
      <c r="N738" s="2210"/>
      <c r="O738" s="2182">
        <v>696</v>
      </c>
      <c r="P738" s="2183"/>
      <c r="Q738" s="2183"/>
      <c r="R738" s="2183"/>
      <c r="S738" s="2184"/>
      <c r="T738" s="1985">
        <f t="shared" si="47"/>
        <v>3480</v>
      </c>
      <c r="U738" s="1986"/>
      <c r="V738" s="1986"/>
      <c r="W738" s="1986"/>
      <c r="X738" s="1987"/>
      <c r="Y738" s="2182">
        <v>10</v>
      </c>
      <c r="Z738" s="2183"/>
      <c r="AA738" s="2183"/>
      <c r="AB738" s="2184"/>
      <c r="AC738" s="1985">
        <f t="shared" si="48"/>
        <v>706</v>
      </c>
      <c r="AD738" s="1986"/>
      <c r="AE738" s="1986"/>
      <c r="AF738" s="1986"/>
      <c r="AG738" s="1987"/>
      <c r="AH738" s="1988">
        <v>0.3</v>
      </c>
      <c r="AI738" s="1989"/>
      <c r="AJ738" s="1989"/>
      <c r="AK738" s="1989"/>
      <c r="AL738" s="1990"/>
      <c r="AM738" s="1967">
        <f t="shared" si="49"/>
        <v>0.29966044142614601</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43"/>
      <c r="C739" s="2144"/>
      <c r="D739" s="2144"/>
      <c r="E739" s="2144"/>
      <c r="F739" s="2145"/>
      <c r="G739" s="2273"/>
      <c r="H739" s="2274"/>
      <c r="I739" s="2274"/>
      <c r="J739" s="2275"/>
      <c r="K739" s="2208"/>
      <c r="L739" s="2209"/>
      <c r="M739" s="2209"/>
      <c r="N739" s="2210"/>
      <c r="O739" s="2182"/>
      <c r="P739" s="2183"/>
      <c r="Q739" s="2183"/>
      <c r="R739" s="2183"/>
      <c r="S739" s="2184"/>
      <c r="T739" s="1985">
        <f t="shared" si="47"/>
        <v>0</v>
      </c>
      <c r="U739" s="1986"/>
      <c r="V739" s="1986"/>
      <c r="W739" s="1986"/>
      <c r="X739" s="1987"/>
      <c r="Y739" s="2182"/>
      <c r="Z739" s="2183"/>
      <c r="AA739" s="2183"/>
      <c r="AB739" s="2184"/>
      <c r="AC739" s="1985">
        <f t="shared" si="48"/>
        <v>0</v>
      </c>
      <c r="AD739" s="1986"/>
      <c r="AE739" s="1986"/>
      <c r="AF739" s="1986"/>
      <c r="AG739" s="1987"/>
      <c r="AH739" s="1988">
        <v>0</v>
      </c>
      <c r="AI739" s="1989"/>
      <c r="AJ739" s="1989"/>
      <c r="AK739" s="1989"/>
      <c r="AL739" s="1990"/>
      <c r="AM739" s="1967" t="str">
        <f t="shared" si="49"/>
        <v xml:space="preserve"> </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43"/>
      <c r="C740" s="2144"/>
      <c r="D740" s="2144"/>
      <c r="E740" s="2144"/>
      <c r="F740" s="2145"/>
      <c r="G740" s="2273"/>
      <c r="H740" s="2274"/>
      <c r="I740" s="2274"/>
      <c r="J740" s="2275"/>
      <c r="K740" s="2208"/>
      <c r="L740" s="2209"/>
      <c r="M740" s="2209"/>
      <c r="N740" s="2210"/>
      <c r="O740" s="2182"/>
      <c r="P740" s="2183"/>
      <c r="Q740" s="2183"/>
      <c r="R740" s="2183"/>
      <c r="S740" s="2184"/>
      <c r="T740" s="1985">
        <f t="shared" si="47"/>
        <v>0</v>
      </c>
      <c r="U740" s="1986"/>
      <c r="V740" s="1986"/>
      <c r="W740" s="1986"/>
      <c r="X740" s="1987"/>
      <c r="Y740" s="2182"/>
      <c r="Z740" s="2183"/>
      <c r="AA740" s="2183"/>
      <c r="AB740" s="2184"/>
      <c r="AC740" s="1985">
        <f t="shared" si="48"/>
        <v>0</v>
      </c>
      <c r="AD740" s="1986"/>
      <c r="AE740" s="1986"/>
      <c r="AF740" s="1986"/>
      <c r="AG740" s="1987"/>
      <c r="AH740" s="1988">
        <v>0</v>
      </c>
      <c r="AI740" s="1989"/>
      <c r="AJ740" s="1989"/>
      <c r="AK740" s="1989"/>
      <c r="AL740" s="1990"/>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43"/>
      <c r="C741" s="2144"/>
      <c r="D741" s="2144"/>
      <c r="E741" s="2144"/>
      <c r="F741" s="2145"/>
      <c r="G741" s="2273"/>
      <c r="H741" s="2274"/>
      <c r="I741" s="2274"/>
      <c r="J741" s="2275"/>
      <c r="K741" s="2208"/>
      <c r="L741" s="2209"/>
      <c r="M741" s="2209"/>
      <c r="N741" s="2210"/>
      <c r="O741" s="2182"/>
      <c r="P741" s="2183"/>
      <c r="Q741" s="2183"/>
      <c r="R741" s="2183"/>
      <c r="S741" s="2184"/>
      <c r="T741" s="1985">
        <f t="shared" si="47"/>
        <v>0</v>
      </c>
      <c r="U741" s="1986"/>
      <c r="V741" s="1986"/>
      <c r="W741" s="1986"/>
      <c r="X741" s="1987"/>
      <c r="Y741" s="2182"/>
      <c r="Z741" s="2183"/>
      <c r="AA741" s="2183"/>
      <c r="AB741" s="2184"/>
      <c r="AC741" s="1985">
        <f t="shared" si="48"/>
        <v>0</v>
      </c>
      <c r="AD741" s="1986"/>
      <c r="AE741" s="1986"/>
      <c r="AF741" s="1986"/>
      <c r="AG741" s="1987"/>
      <c r="AH741" s="1988">
        <v>0</v>
      </c>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43"/>
      <c r="C742" s="2144"/>
      <c r="D742" s="2144"/>
      <c r="E742" s="2144"/>
      <c r="F742" s="2145"/>
      <c r="G742" s="2273"/>
      <c r="H742" s="2274"/>
      <c r="I742" s="2274"/>
      <c r="J742" s="2275"/>
      <c r="K742" s="2208"/>
      <c r="L742" s="2209"/>
      <c r="M742" s="2209"/>
      <c r="N742" s="2210"/>
      <c r="O742" s="2182"/>
      <c r="P742" s="2183"/>
      <c r="Q742" s="2183"/>
      <c r="R742" s="2183"/>
      <c r="S742" s="2184"/>
      <c r="T742" s="1985">
        <f t="shared" si="47"/>
        <v>0</v>
      </c>
      <c r="U742" s="1986"/>
      <c r="V742" s="1986"/>
      <c r="W742" s="1986"/>
      <c r="X742" s="1987"/>
      <c r="Y742" s="2182"/>
      <c r="Z742" s="2183"/>
      <c r="AA742" s="2183"/>
      <c r="AB742" s="2184"/>
      <c r="AC742" s="1985">
        <f t="shared" si="48"/>
        <v>0</v>
      </c>
      <c r="AD742" s="1986"/>
      <c r="AE742" s="1986"/>
      <c r="AF742" s="1986"/>
      <c r="AG742" s="1987"/>
      <c r="AH742" s="1988">
        <v>0</v>
      </c>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43"/>
      <c r="C743" s="2144"/>
      <c r="D743" s="2144"/>
      <c r="E743" s="2144"/>
      <c r="F743" s="2145"/>
      <c r="G743" s="2273"/>
      <c r="H743" s="2274"/>
      <c r="I743" s="2274"/>
      <c r="J743" s="2275"/>
      <c r="K743" s="2208"/>
      <c r="L743" s="2209"/>
      <c r="M743" s="2209"/>
      <c r="N743" s="2210"/>
      <c r="O743" s="2182"/>
      <c r="P743" s="2183"/>
      <c r="Q743" s="2183"/>
      <c r="R743" s="2183"/>
      <c r="S743" s="2184"/>
      <c r="T743" s="1985">
        <f t="shared" si="47"/>
        <v>0</v>
      </c>
      <c r="U743" s="1986"/>
      <c r="V743" s="1986"/>
      <c r="W743" s="1986"/>
      <c r="X743" s="1987"/>
      <c r="Y743" s="2182"/>
      <c r="Z743" s="2183"/>
      <c r="AA743" s="2183"/>
      <c r="AB743" s="2184"/>
      <c r="AC743" s="1985">
        <f t="shared" si="48"/>
        <v>0</v>
      </c>
      <c r="AD743" s="1986"/>
      <c r="AE743" s="1986"/>
      <c r="AF743" s="1986"/>
      <c r="AG743" s="1987"/>
      <c r="AH743" s="1988">
        <v>0</v>
      </c>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43"/>
      <c r="C744" s="2144"/>
      <c r="D744" s="2144"/>
      <c r="E744" s="2144"/>
      <c r="F744" s="2145"/>
      <c r="G744" s="2273"/>
      <c r="H744" s="2274"/>
      <c r="I744" s="2274"/>
      <c r="J744" s="2275"/>
      <c r="K744" s="2208"/>
      <c r="L744" s="2209"/>
      <c r="M744" s="2209"/>
      <c r="N744" s="2210"/>
      <c r="O744" s="2182"/>
      <c r="P744" s="2183"/>
      <c r="Q744" s="2183"/>
      <c r="R744" s="2183"/>
      <c r="S744" s="2184"/>
      <c r="T744" s="1985">
        <f t="shared" si="47"/>
        <v>0</v>
      </c>
      <c r="U744" s="1986"/>
      <c r="V744" s="1986"/>
      <c r="W744" s="1986"/>
      <c r="X744" s="1987"/>
      <c r="Y744" s="2182"/>
      <c r="Z744" s="2183"/>
      <c r="AA744" s="2183"/>
      <c r="AB744" s="2184"/>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43"/>
      <c r="C745" s="2144"/>
      <c r="D745" s="2144"/>
      <c r="E745" s="2144"/>
      <c r="F745" s="2145"/>
      <c r="G745" s="2273"/>
      <c r="H745" s="2274"/>
      <c r="I745" s="2274"/>
      <c r="J745" s="2275"/>
      <c r="K745" s="2208"/>
      <c r="L745" s="2209"/>
      <c r="M745" s="2209"/>
      <c r="N745" s="2210"/>
      <c r="O745" s="2182"/>
      <c r="P745" s="2183"/>
      <c r="Q745" s="2183"/>
      <c r="R745" s="2183"/>
      <c r="S745" s="2184"/>
      <c r="T745" s="1985">
        <f t="shared" si="47"/>
        <v>0</v>
      </c>
      <c r="U745" s="1986"/>
      <c r="V745" s="1986"/>
      <c r="W745" s="1986"/>
      <c r="X745" s="1987"/>
      <c r="Y745" s="2182"/>
      <c r="Z745" s="2183"/>
      <c r="AA745" s="2183"/>
      <c r="AB745" s="2184"/>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43"/>
      <c r="C746" s="2144"/>
      <c r="D746" s="2144"/>
      <c r="E746" s="2144"/>
      <c r="F746" s="2145"/>
      <c r="G746" s="2273"/>
      <c r="H746" s="2274"/>
      <c r="I746" s="2274"/>
      <c r="J746" s="2275"/>
      <c r="K746" s="2208"/>
      <c r="L746" s="2209"/>
      <c r="M746" s="2209"/>
      <c r="N746" s="2210"/>
      <c r="O746" s="2182"/>
      <c r="P746" s="2183"/>
      <c r="Q746" s="2183"/>
      <c r="R746" s="2183"/>
      <c r="S746" s="2184"/>
      <c r="T746" s="1985">
        <f t="shared" si="47"/>
        <v>0</v>
      </c>
      <c r="U746" s="1986"/>
      <c r="V746" s="1986"/>
      <c r="W746" s="1986"/>
      <c r="X746" s="1987"/>
      <c r="Y746" s="2182"/>
      <c r="Z746" s="2183"/>
      <c r="AA746" s="2183"/>
      <c r="AB746" s="2184"/>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43"/>
      <c r="C747" s="2144"/>
      <c r="D747" s="2144"/>
      <c r="E747" s="2144"/>
      <c r="F747" s="2145"/>
      <c r="G747" s="2273"/>
      <c r="H747" s="2274"/>
      <c r="I747" s="2274"/>
      <c r="J747" s="2275"/>
      <c r="K747" s="2208"/>
      <c r="L747" s="2209"/>
      <c r="M747" s="2209"/>
      <c r="N747" s="2210"/>
      <c r="O747" s="2182"/>
      <c r="P747" s="2183"/>
      <c r="Q747" s="2183"/>
      <c r="R747" s="2183"/>
      <c r="S747" s="2184"/>
      <c r="T747" s="1985">
        <f t="shared" si="47"/>
        <v>0</v>
      </c>
      <c r="U747" s="1986"/>
      <c r="V747" s="1986"/>
      <c r="W747" s="1986"/>
      <c r="X747" s="1987"/>
      <c r="Y747" s="2182"/>
      <c r="Z747" s="2183"/>
      <c r="AA747" s="2183"/>
      <c r="AB747" s="2184"/>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43"/>
      <c r="C748" s="2144"/>
      <c r="D748" s="2144"/>
      <c r="E748" s="2144"/>
      <c r="F748" s="2145"/>
      <c r="G748" s="2273"/>
      <c r="H748" s="2274"/>
      <c r="I748" s="2274"/>
      <c r="J748" s="2275"/>
      <c r="K748" s="2208"/>
      <c r="L748" s="2209"/>
      <c r="M748" s="2209"/>
      <c r="N748" s="2210"/>
      <c r="O748" s="2182"/>
      <c r="P748" s="2183"/>
      <c r="Q748" s="2183"/>
      <c r="R748" s="2183"/>
      <c r="S748" s="2184"/>
      <c r="T748" s="1985">
        <f t="shared" si="47"/>
        <v>0</v>
      </c>
      <c r="U748" s="1986"/>
      <c r="V748" s="1986"/>
      <c r="W748" s="1986"/>
      <c r="X748" s="1987"/>
      <c r="Y748" s="2182"/>
      <c r="Z748" s="2183"/>
      <c r="AA748" s="2183"/>
      <c r="AB748" s="2184"/>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43"/>
      <c r="C749" s="2144"/>
      <c r="D749" s="2144"/>
      <c r="E749" s="2144"/>
      <c r="F749" s="2145"/>
      <c r="G749" s="2273"/>
      <c r="H749" s="2274"/>
      <c r="I749" s="2274"/>
      <c r="J749" s="2275"/>
      <c r="K749" s="2208"/>
      <c r="L749" s="2209"/>
      <c r="M749" s="2209"/>
      <c r="N749" s="2210"/>
      <c r="O749" s="2182"/>
      <c r="P749" s="2183"/>
      <c r="Q749" s="2183"/>
      <c r="R749" s="2183"/>
      <c r="S749" s="2184"/>
      <c r="T749" s="1985">
        <f t="shared" si="47"/>
        <v>0</v>
      </c>
      <c r="U749" s="1986"/>
      <c r="V749" s="1986"/>
      <c r="W749" s="1986"/>
      <c r="X749" s="1987"/>
      <c r="Y749" s="2182"/>
      <c r="Z749" s="2183"/>
      <c r="AA749" s="2183"/>
      <c r="AB749" s="2184"/>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3"/>
      <c r="C750" s="2144"/>
      <c r="D750" s="2144"/>
      <c r="E750" s="2144"/>
      <c r="F750" s="2145"/>
      <c r="G750" s="2273"/>
      <c r="H750" s="2274"/>
      <c r="I750" s="2274"/>
      <c r="J750" s="2275"/>
      <c r="K750" s="2208"/>
      <c r="L750" s="2209"/>
      <c r="M750" s="2209"/>
      <c r="N750" s="2210"/>
      <c r="O750" s="2182"/>
      <c r="P750" s="2183"/>
      <c r="Q750" s="2183"/>
      <c r="R750" s="2183"/>
      <c r="S750" s="2184"/>
      <c r="T750" s="1985">
        <f t="shared" si="47"/>
        <v>0</v>
      </c>
      <c r="U750" s="1986"/>
      <c r="V750" s="1986"/>
      <c r="W750" s="1986"/>
      <c r="X750" s="1987"/>
      <c r="Y750" s="2182"/>
      <c r="Z750" s="2183"/>
      <c r="AA750" s="2183"/>
      <c r="AB750" s="2184"/>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43"/>
      <c r="C751" s="2144"/>
      <c r="D751" s="2144"/>
      <c r="E751" s="2144"/>
      <c r="F751" s="2145"/>
      <c r="G751" s="2273"/>
      <c r="H751" s="2274"/>
      <c r="I751" s="2274"/>
      <c r="J751" s="2275"/>
      <c r="K751" s="2208"/>
      <c r="L751" s="2209"/>
      <c r="M751" s="2209"/>
      <c r="N751" s="2210"/>
      <c r="O751" s="2182"/>
      <c r="P751" s="2183"/>
      <c r="Q751" s="2183"/>
      <c r="R751" s="2183"/>
      <c r="S751" s="2184"/>
      <c r="T751" s="1985">
        <f t="shared" si="47"/>
        <v>0</v>
      </c>
      <c r="U751" s="1986"/>
      <c r="V751" s="1986"/>
      <c r="W751" s="1986"/>
      <c r="X751" s="1987"/>
      <c r="Y751" s="2182"/>
      <c r="Z751" s="2183"/>
      <c r="AA751" s="2183"/>
      <c r="AB751" s="2184"/>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43"/>
      <c r="C752" s="2144"/>
      <c r="D752" s="2144"/>
      <c r="E752" s="2144"/>
      <c r="F752" s="2145"/>
      <c r="G752" s="2273"/>
      <c r="H752" s="2274"/>
      <c r="I752" s="2274"/>
      <c r="J752" s="2275"/>
      <c r="K752" s="2208"/>
      <c r="L752" s="2209"/>
      <c r="M752" s="2209"/>
      <c r="N752" s="2210"/>
      <c r="O752" s="2182"/>
      <c r="P752" s="2183"/>
      <c r="Q752" s="2183"/>
      <c r="R752" s="2183"/>
      <c r="S752" s="2184"/>
      <c r="T752" s="1985">
        <f t="shared" si="47"/>
        <v>0</v>
      </c>
      <c r="U752" s="1986"/>
      <c r="V752" s="1986"/>
      <c r="W752" s="1986"/>
      <c r="X752" s="1987"/>
      <c r="Y752" s="2182"/>
      <c r="Z752" s="2183"/>
      <c r="AA752" s="2183"/>
      <c r="AB752" s="2184"/>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85" t="s">
        <v>130</v>
      </c>
      <c r="C753" s="2286"/>
      <c r="D753" s="2286"/>
      <c r="E753" s="2286"/>
      <c r="F753" s="2287"/>
      <c r="G753" s="2375">
        <f>SUM(G728:J752)</f>
        <v>81</v>
      </c>
      <c r="H753" s="2376"/>
      <c r="I753" s="2376"/>
      <c r="J753" s="2377"/>
      <c r="O753" s="1489" t="s">
        <v>129</v>
      </c>
      <c r="P753" s="1490"/>
      <c r="Q753" s="1490"/>
      <c r="R753" s="1490"/>
      <c r="S753" s="1491"/>
      <c r="T753" s="1985">
        <f>SUM(T728:X752)</f>
        <v>75806</v>
      </c>
      <c r="U753" s="1986"/>
      <c r="V753" s="1986"/>
      <c r="W753" s="1986"/>
      <c r="X753" s="1987"/>
      <c r="AC753" s="1493" t="s">
        <v>969</v>
      </c>
      <c r="AD753" s="1492"/>
      <c r="AE753" s="1492"/>
      <c r="AF753" s="1492"/>
      <c r="AG753" s="1494"/>
      <c r="AH753" s="2151">
        <f>BI696</f>
        <v>0.44938271604938262</v>
      </c>
      <c r="AI753" s="2152"/>
      <c r="AJ753" s="2152"/>
      <c r="AK753" s="2152"/>
      <c r="AL753" s="2153"/>
      <c r="AM753" s="2151">
        <f>BI728</f>
        <v>0.44932193087258171</v>
      </c>
      <c r="AN753" s="2152"/>
      <c r="AO753" s="2153"/>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74" t="s">
        <v>2451</v>
      </c>
      <c r="C754" s="2374"/>
      <c r="D754" s="2374"/>
      <c r="E754" s="2374"/>
      <c r="F754" s="2374"/>
      <c r="G754" s="2374"/>
      <c r="H754" s="2374"/>
      <c r="I754" s="2374"/>
      <c r="J754" s="2374"/>
      <c r="K754" s="2374"/>
      <c r="L754" s="2374"/>
      <c r="M754" s="2374"/>
      <c r="N754" s="2374"/>
      <c r="O754" s="2374"/>
      <c r="P754" s="2374"/>
      <c r="Q754" s="2374"/>
      <c r="R754" s="2374"/>
      <c r="S754" s="2374"/>
      <c r="T754" s="2374"/>
      <c r="U754" s="2374"/>
      <c r="V754" s="2374"/>
      <c r="W754" s="2374"/>
      <c r="X754" s="2374"/>
      <c r="Y754" s="2374"/>
      <c r="Z754" s="2374"/>
      <c r="AA754" s="2374"/>
      <c r="AB754" s="2374"/>
      <c r="AC754" s="2374"/>
      <c r="AD754" s="2374"/>
      <c r="AE754" s="2374"/>
      <c r="AF754" s="2374"/>
      <c r="AG754" s="2374"/>
      <c r="AH754" s="237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74"/>
      <c r="C755" s="2374"/>
      <c r="D755" s="2374"/>
      <c r="E755" s="2374"/>
      <c r="F755" s="2374"/>
      <c r="G755" s="2374"/>
      <c r="H755" s="2374"/>
      <c r="I755" s="2374"/>
      <c r="J755" s="2374"/>
      <c r="K755" s="2374"/>
      <c r="L755" s="2374"/>
      <c r="M755" s="2374"/>
      <c r="N755" s="2374"/>
      <c r="O755" s="2374"/>
      <c r="P755" s="2374"/>
      <c r="Q755" s="2374"/>
      <c r="R755" s="2374"/>
      <c r="S755" s="2374"/>
      <c r="T755" s="2374"/>
      <c r="U755" s="2374"/>
      <c r="V755" s="2374"/>
      <c r="W755" s="2374"/>
      <c r="X755" s="2374"/>
      <c r="Y755" s="2374"/>
      <c r="Z755" s="2374"/>
      <c r="AA755" s="2374"/>
      <c r="AB755" s="2374"/>
      <c r="AC755" s="2374"/>
      <c r="AD755" s="2374"/>
      <c r="AE755" s="2374"/>
      <c r="AF755" s="2374"/>
      <c r="AG755" s="2374"/>
      <c r="AH755" s="237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2449</v>
      </c>
      <c r="D756" s="1754"/>
      <c r="E756" s="1754"/>
      <c r="F756" s="1754"/>
      <c r="G756" s="1755"/>
      <c r="H756" s="1755"/>
      <c r="I756" s="1755"/>
      <c r="J756" s="1755"/>
      <c r="K756" s="1754"/>
      <c r="L756" s="1754"/>
      <c r="M756" s="1754"/>
      <c r="N756" s="1754"/>
      <c r="O756" s="2003">
        <f>CS637</f>
        <v>178</v>
      </c>
      <c r="P756" s="2003"/>
      <c r="Q756" s="2003"/>
      <c r="R756" s="2003"/>
      <c r="S756" s="1756"/>
      <c r="T756" s="1756"/>
      <c r="U756" s="179" t="s">
        <v>2450</v>
      </c>
      <c r="V756" s="1754"/>
      <c r="W756" s="1754"/>
      <c r="X756" s="1754"/>
      <c r="Y756" s="1755"/>
      <c r="Z756" s="1755"/>
      <c r="AA756" s="1755"/>
      <c r="AB756" s="1755"/>
      <c r="AC756" s="1754"/>
      <c r="AD756" s="1754"/>
      <c r="AE756" s="1754"/>
      <c r="AF756" s="1754"/>
      <c r="AG756" s="2366"/>
      <c r="AH756" s="2366"/>
      <c r="AI756" s="2366"/>
      <c r="AJ756" s="236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5" t="s">
        <v>626</v>
      </c>
      <c r="AE758" s="2215"/>
      <c r="AF758" s="2215"/>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57"/>
      <c r="C762" s="2373" t="s">
        <v>2452</v>
      </c>
      <c r="D762" s="2373"/>
      <c r="E762" s="2373"/>
      <c r="F762" s="2373"/>
      <c r="G762" s="2373"/>
      <c r="H762" s="2373"/>
      <c r="I762" s="2373"/>
      <c r="J762" s="2373"/>
      <c r="K762" s="2373"/>
      <c r="L762" s="2373"/>
      <c r="M762" s="2373"/>
      <c r="N762" s="2373"/>
      <c r="O762" s="2373"/>
      <c r="P762" s="2373"/>
      <c r="Q762" s="2373"/>
      <c r="R762" s="2373"/>
      <c r="S762" s="2373"/>
      <c r="T762" s="2373"/>
      <c r="U762" s="2373"/>
      <c r="V762" s="2373"/>
      <c r="W762" s="2373"/>
      <c r="X762" s="2373"/>
      <c r="Y762" s="2373"/>
      <c r="Z762" s="2373"/>
      <c r="AA762" s="2373"/>
      <c r="AB762" s="2373"/>
      <c r="AC762" s="2373"/>
      <c r="AD762" s="2373"/>
      <c r="AE762" s="2373"/>
      <c r="AF762" s="2373"/>
      <c r="AG762" s="2373"/>
      <c r="AH762" s="2373"/>
      <c r="AI762" s="2373"/>
      <c r="AJ762" s="2373"/>
      <c r="AK762" s="2373"/>
      <c r="AL762" s="2373"/>
      <c r="AM762" s="2373"/>
      <c r="AN762" s="2373"/>
      <c r="AO762" s="2373"/>
      <c r="AP762" s="2373"/>
      <c r="AQ762" s="2373"/>
      <c r="AR762" s="2373"/>
      <c r="AS762" s="239"/>
      <c r="AT762" s="239"/>
      <c r="AU762" s="239"/>
      <c r="AV762" s="239"/>
      <c r="AW762" s="239"/>
      <c r="AX762" s="239"/>
      <c r="AY762" s="239"/>
      <c r="CR762" s="177"/>
    </row>
    <row r="763" spans="1:16383" s="58" customFormat="1" ht="12.75" customHeight="1">
      <c r="A763" s="239"/>
      <c r="B763" s="1757"/>
      <c r="C763" s="2373"/>
      <c r="D763" s="2373"/>
      <c r="E763" s="2373"/>
      <c r="F763" s="2373"/>
      <c r="G763" s="2373"/>
      <c r="H763" s="2373"/>
      <c r="I763" s="2373"/>
      <c r="J763" s="2373"/>
      <c r="K763" s="2373"/>
      <c r="L763" s="2373"/>
      <c r="M763" s="2373"/>
      <c r="N763" s="2373"/>
      <c r="O763" s="2373"/>
      <c r="P763" s="2373"/>
      <c r="Q763" s="2373"/>
      <c r="R763" s="2373"/>
      <c r="S763" s="2373"/>
      <c r="T763" s="2373"/>
      <c r="U763" s="2373"/>
      <c r="V763" s="2373"/>
      <c r="W763" s="2373"/>
      <c r="X763" s="2373"/>
      <c r="Y763" s="2373"/>
      <c r="Z763" s="2373"/>
      <c r="AA763" s="2373"/>
      <c r="AB763" s="2373"/>
      <c r="AC763" s="2373"/>
      <c r="AD763" s="2373"/>
      <c r="AE763" s="2373"/>
      <c r="AF763" s="2373"/>
      <c r="AG763" s="2373"/>
      <c r="AH763" s="2373"/>
      <c r="AI763" s="2373"/>
      <c r="AJ763" s="2373"/>
      <c r="AK763" s="2373"/>
      <c r="AL763" s="2373"/>
      <c r="AM763" s="2373"/>
      <c r="AN763" s="2373"/>
      <c r="AO763" s="2373"/>
      <c r="AP763" s="2373"/>
      <c r="AQ763" s="2373"/>
      <c r="AR763" s="2373"/>
      <c r="AS763" s="239"/>
      <c r="AT763" s="239"/>
      <c r="AU763" s="239"/>
      <c r="AV763" s="239"/>
      <c r="AW763" s="239"/>
      <c r="AX763" s="239"/>
      <c r="AY763" s="239"/>
      <c r="CR763" s="177"/>
    </row>
    <row r="764" spans="1:16383" s="58" customFormat="1" ht="12.75" customHeight="1">
      <c r="B764" s="1757"/>
      <c r="C764" s="2373"/>
      <c r="D764" s="2373"/>
      <c r="E764" s="2373"/>
      <c r="F764" s="2373"/>
      <c r="G764" s="2373"/>
      <c r="H764" s="2373"/>
      <c r="I764" s="2373"/>
      <c r="J764" s="2373"/>
      <c r="K764" s="2373"/>
      <c r="L764" s="2373"/>
      <c r="M764" s="2373"/>
      <c r="N764" s="2373"/>
      <c r="O764" s="2373"/>
      <c r="P764" s="2373"/>
      <c r="Q764" s="2373"/>
      <c r="R764" s="2373"/>
      <c r="S764" s="2373"/>
      <c r="T764" s="2373"/>
      <c r="U764" s="2373"/>
      <c r="V764" s="2373"/>
      <c r="W764" s="2373"/>
      <c r="X764" s="2373"/>
      <c r="Y764" s="2373"/>
      <c r="Z764" s="2373"/>
      <c r="AA764" s="2373"/>
      <c r="AB764" s="2373"/>
      <c r="AC764" s="2373"/>
      <c r="AD764" s="2373"/>
      <c r="AE764" s="2373"/>
      <c r="AF764" s="2373"/>
      <c r="AG764" s="2373"/>
      <c r="AH764" s="2373"/>
      <c r="AI764" s="2373"/>
      <c r="AJ764" s="2373"/>
      <c r="AK764" s="2373"/>
      <c r="AL764" s="2373"/>
      <c r="AM764" s="2373"/>
      <c r="AN764" s="2373"/>
      <c r="AO764" s="2373"/>
      <c r="AP764" s="2373"/>
      <c r="AQ764" s="2373"/>
      <c r="AR764" s="2373"/>
      <c r="AS764" s="239"/>
      <c r="AT764" s="239"/>
      <c r="AU764" s="239"/>
      <c r="AV764" s="239"/>
      <c r="AW764" s="239"/>
      <c r="AX764" s="239"/>
      <c r="AY764" s="239"/>
      <c r="CR764" s="177"/>
    </row>
    <row r="765" spans="1:16383" s="58" customFormat="1" ht="12.75" customHeight="1">
      <c r="B765" s="1757"/>
      <c r="C765" s="2373" t="s">
        <v>2453</v>
      </c>
      <c r="D765" s="2373"/>
      <c r="E765" s="2373"/>
      <c r="F765" s="2373"/>
      <c r="G765" s="2373"/>
      <c r="H765" s="2373"/>
      <c r="I765" s="2373"/>
      <c r="J765" s="2373"/>
      <c r="K765" s="2373"/>
      <c r="L765" s="2373"/>
      <c r="M765" s="2373"/>
      <c r="N765" s="2373"/>
      <c r="O765" s="2373"/>
      <c r="P765" s="2373"/>
      <c r="Q765" s="2373"/>
      <c r="R765" s="2373"/>
      <c r="S765" s="2373"/>
      <c r="T765" s="2373"/>
      <c r="U765" s="2373"/>
      <c r="V765" s="2373"/>
      <c r="W765" s="2373"/>
      <c r="X765" s="2373"/>
      <c r="Y765" s="2373"/>
      <c r="Z765" s="2373"/>
      <c r="AA765" s="2373"/>
      <c r="AB765" s="2373"/>
      <c r="AC765" s="2373"/>
      <c r="AD765" s="2373"/>
      <c r="AE765" s="2373"/>
      <c r="AF765" s="2373"/>
      <c r="AG765" s="2373"/>
      <c r="AH765" s="2373"/>
      <c r="AI765" s="2373"/>
      <c r="AJ765" s="2373"/>
      <c r="AK765" s="2373"/>
      <c r="AL765" s="2373"/>
      <c r="AM765" s="2373"/>
      <c r="AN765" s="2373"/>
      <c r="AO765" s="2373"/>
      <c r="AP765" s="2373"/>
      <c r="AQ765" s="2373"/>
      <c r="AR765" s="2373"/>
      <c r="AS765" s="239"/>
      <c r="AT765" s="239"/>
      <c r="AU765" s="239"/>
      <c r="AV765" s="239"/>
      <c r="AW765" s="239"/>
      <c r="AX765" s="239"/>
      <c r="AY765" s="239"/>
      <c r="CR765" s="177"/>
    </row>
    <row r="766" spans="1:16383" s="58" customFormat="1" ht="12.75" customHeight="1">
      <c r="B766" s="1757"/>
      <c r="C766" s="2373"/>
      <c r="D766" s="2373"/>
      <c r="E766" s="2373"/>
      <c r="F766" s="2373"/>
      <c r="G766" s="2373"/>
      <c r="H766" s="2373"/>
      <c r="I766" s="2373"/>
      <c r="J766" s="2373"/>
      <c r="K766" s="2373"/>
      <c r="L766" s="2373"/>
      <c r="M766" s="2373"/>
      <c r="N766" s="2373"/>
      <c r="O766" s="2373"/>
      <c r="P766" s="2373"/>
      <c r="Q766" s="2373"/>
      <c r="R766" s="2373"/>
      <c r="S766" s="2373"/>
      <c r="T766" s="2373"/>
      <c r="U766" s="2373"/>
      <c r="V766" s="2373"/>
      <c r="W766" s="2373"/>
      <c r="X766" s="2373"/>
      <c r="Y766" s="2373"/>
      <c r="Z766" s="2373"/>
      <c r="AA766" s="2373"/>
      <c r="AB766" s="2373"/>
      <c r="AC766" s="2373"/>
      <c r="AD766" s="2373"/>
      <c r="AE766" s="2373"/>
      <c r="AF766" s="2373"/>
      <c r="AG766" s="2373"/>
      <c r="AH766" s="2373"/>
      <c r="AI766" s="2373"/>
      <c r="AJ766" s="2373"/>
      <c r="AK766" s="2373"/>
      <c r="AL766" s="2373"/>
      <c r="AM766" s="2373"/>
      <c r="AN766" s="2373"/>
      <c r="AO766" s="2373"/>
      <c r="AP766" s="2373"/>
      <c r="AQ766" s="2373"/>
      <c r="AR766" s="2373"/>
      <c r="AS766" s="239"/>
      <c r="AT766" s="239"/>
      <c r="AU766" s="239"/>
      <c r="AV766" s="239"/>
      <c r="AW766" s="239"/>
      <c r="AX766" s="239"/>
      <c r="AY766" s="239"/>
      <c r="CR766" s="177"/>
    </row>
    <row r="767" spans="1:16383" s="58" customFormat="1" ht="12.75" customHeight="1">
      <c r="B767" s="1757"/>
      <c r="C767" s="2373"/>
      <c r="D767" s="2373"/>
      <c r="E767" s="2373"/>
      <c r="F767" s="2373"/>
      <c r="G767" s="2373"/>
      <c r="H767" s="2373"/>
      <c r="I767" s="2373"/>
      <c r="J767" s="2373"/>
      <c r="K767" s="2373"/>
      <c r="L767" s="2373"/>
      <c r="M767" s="2373"/>
      <c r="N767" s="2373"/>
      <c r="O767" s="2373"/>
      <c r="P767" s="2373"/>
      <c r="Q767" s="2373"/>
      <c r="R767" s="2373"/>
      <c r="S767" s="2373"/>
      <c r="T767" s="2373"/>
      <c r="U767" s="2373"/>
      <c r="V767" s="2373"/>
      <c r="W767" s="2373"/>
      <c r="X767" s="2373"/>
      <c r="Y767" s="2373"/>
      <c r="Z767" s="2373"/>
      <c r="AA767" s="2373"/>
      <c r="AB767" s="2373"/>
      <c r="AC767" s="2373"/>
      <c r="AD767" s="2373"/>
      <c r="AE767" s="2373"/>
      <c r="AF767" s="2373"/>
      <c r="AG767" s="2373"/>
      <c r="AH767" s="2373"/>
      <c r="AI767" s="2373"/>
      <c r="AJ767" s="2373"/>
      <c r="AK767" s="2373"/>
      <c r="AL767" s="2373"/>
      <c r="AM767" s="2373"/>
      <c r="AN767" s="2373"/>
      <c r="AO767" s="2373"/>
      <c r="AP767" s="2373"/>
      <c r="AQ767" s="2373"/>
      <c r="AR767" s="2373"/>
      <c r="AS767" s="239"/>
      <c r="AT767" s="239"/>
      <c r="AU767" s="239"/>
      <c r="AV767" s="239"/>
      <c r="AW767" s="239"/>
      <c r="AX767" s="239"/>
      <c r="AY767" s="239"/>
      <c r="CR767" s="177"/>
    </row>
    <row r="768" spans="1:16383" ht="12.75" customHeight="1">
      <c r="J768" s="2225" t="s">
        <v>407</v>
      </c>
      <c r="K768" s="2226"/>
      <c r="L768" s="2226"/>
      <c r="M768" s="2226"/>
      <c r="N768" s="2227"/>
      <c r="O768" s="2318" t="s">
        <v>291</v>
      </c>
      <c r="P768" s="2318"/>
      <c r="Q768" s="2318"/>
      <c r="R768" s="2318"/>
      <c r="S768" s="2318"/>
      <c r="T768" s="2234" t="s">
        <v>2094</v>
      </c>
      <c r="U768" s="2235"/>
      <c r="V768" s="2235"/>
      <c r="W768" s="2236"/>
      <c r="X768" s="2225" t="s">
        <v>478</v>
      </c>
      <c r="Y768" s="2226"/>
      <c r="Z768" s="2226"/>
      <c r="AA768" s="2226"/>
      <c r="AB768" s="2227"/>
      <c r="AC768" s="2225" t="s">
        <v>292</v>
      </c>
      <c r="AD768" s="2226"/>
      <c r="AE768" s="2226"/>
      <c r="AF768" s="2226"/>
      <c r="AG768" s="2227"/>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8"/>
      <c r="K769" s="2229"/>
      <c r="L769" s="2229"/>
      <c r="M769" s="2229"/>
      <c r="N769" s="2230"/>
      <c r="O769" s="2318"/>
      <c r="P769" s="2318"/>
      <c r="Q769" s="2318"/>
      <c r="R769" s="2318"/>
      <c r="S769" s="2318"/>
      <c r="T769" s="2237"/>
      <c r="U769" s="2238"/>
      <c r="V769" s="2238"/>
      <c r="W769" s="2239"/>
      <c r="X769" s="2228"/>
      <c r="Y769" s="2229"/>
      <c r="Z769" s="2229"/>
      <c r="AA769" s="2229"/>
      <c r="AB769" s="2230"/>
      <c r="AC769" s="2228"/>
      <c r="AD769" s="2229"/>
      <c r="AE769" s="2229"/>
      <c r="AF769" s="2229"/>
      <c r="AG769" s="2230"/>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8"/>
      <c r="K770" s="2229"/>
      <c r="L770" s="2229"/>
      <c r="M770" s="2229"/>
      <c r="N770" s="2230"/>
      <c r="O770" s="2318"/>
      <c r="P770" s="2318"/>
      <c r="Q770" s="2318"/>
      <c r="R770" s="2318"/>
      <c r="S770" s="2318"/>
      <c r="T770" s="2237"/>
      <c r="U770" s="2238"/>
      <c r="V770" s="2238"/>
      <c r="W770" s="2239"/>
      <c r="X770" s="2228"/>
      <c r="Y770" s="2229"/>
      <c r="Z770" s="2229"/>
      <c r="AA770" s="2229"/>
      <c r="AB770" s="2230"/>
      <c r="AC770" s="2228"/>
      <c r="AD770" s="2229"/>
      <c r="AE770" s="2229"/>
      <c r="AF770" s="2229"/>
      <c r="AG770" s="2230"/>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1"/>
      <c r="K771" s="2232"/>
      <c r="L771" s="2232"/>
      <c r="M771" s="2232"/>
      <c r="N771" s="2233"/>
      <c r="O771" s="2318"/>
      <c r="P771" s="2318"/>
      <c r="Q771" s="2318"/>
      <c r="R771" s="2318"/>
      <c r="S771" s="2318"/>
      <c r="T771" s="2240"/>
      <c r="U771" s="2241"/>
      <c r="V771" s="2241"/>
      <c r="W771" s="2242"/>
      <c r="X771" s="2231"/>
      <c r="Y771" s="2232"/>
      <c r="Z771" s="2232"/>
      <c r="AA771" s="2232"/>
      <c r="AB771" s="2233"/>
      <c r="AC771" s="2231"/>
      <c r="AD771" s="2232"/>
      <c r="AE771" s="2232"/>
      <c r="AF771" s="2232"/>
      <c r="AG771" s="2233"/>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3" t="s">
        <v>168</v>
      </c>
      <c r="K772" s="2144"/>
      <c r="L772" s="2144"/>
      <c r="M772" s="2144"/>
      <c r="N772" s="2145"/>
      <c r="O772" s="2243">
        <v>1</v>
      </c>
      <c r="P772" s="2243"/>
      <c r="Q772" s="2243"/>
      <c r="R772" s="2243"/>
      <c r="S772" s="2243"/>
      <c r="T772" s="2208">
        <v>806</v>
      </c>
      <c r="U772" s="2209"/>
      <c r="V772" s="2209"/>
      <c r="W772" s="2210"/>
      <c r="X772" s="2182"/>
      <c r="Y772" s="2183"/>
      <c r="Z772" s="2183"/>
      <c r="AA772" s="2183"/>
      <c r="AB772" s="2184"/>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3"/>
      <c r="K773" s="2144"/>
      <c r="L773" s="2144"/>
      <c r="M773" s="2144"/>
      <c r="N773" s="2145"/>
      <c r="O773" s="2243"/>
      <c r="P773" s="2243"/>
      <c r="Q773" s="2243"/>
      <c r="R773" s="2243"/>
      <c r="S773" s="2243"/>
      <c r="T773" s="2208"/>
      <c r="U773" s="2209"/>
      <c r="V773" s="2209"/>
      <c r="W773" s="2210"/>
      <c r="X773" s="2182"/>
      <c r="Y773" s="2183"/>
      <c r="Z773" s="2183"/>
      <c r="AA773" s="2183"/>
      <c r="AB773" s="2184"/>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3"/>
      <c r="K774" s="2144"/>
      <c r="L774" s="2144"/>
      <c r="M774" s="2144"/>
      <c r="N774" s="2145"/>
      <c r="O774" s="2243"/>
      <c r="P774" s="2243"/>
      <c r="Q774" s="2243"/>
      <c r="R774" s="2243"/>
      <c r="S774" s="2243"/>
      <c r="T774" s="2208"/>
      <c r="U774" s="2209"/>
      <c r="V774" s="2209"/>
      <c r="W774" s="2210"/>
      <c r="X774" s="2182"/>
      <c r="Y774" s="2183"/>
      <c r="Z774" s="2183"/>
      <c r="AA774" s="2183"/>
      <c r="AB774" s="2184"/>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3"/>
      <c r="K775" s="2144"/>
      <c r="L775" s="2144"/>
      <c r="M775" s="2144"/>
      <c r="N775" s="2145"/>
      <c r="O775" s="2243"/>
      <c r="P775" s="2243"/>
      <c r="Q775" s="2243"/>
      <c r="R775" s="2243"/>
      <c r="S775" s="2243"/>
      <c r="T775" s="2208"/>
      <c r="U775" s="2209"/>
      <c r="V775" s="2209"/>
      <c r="W775" s="2210"/>
      <c r="X775" s="2182"/>
      <c r="Y775" s="2183"/>
      <c r="Z775" s="2183"/>
      <c r="AA775" s="2183"/>
      <c r="AB775" s="2184"/>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282">
        <f>SUM(O772:S775)</f>
        <v>1</v>
      </c>
      <c r="P776" s="2283"/>
      <c r="Q776" s="2283"/>
      <c r="R776" s="2283"/>
      <c r="S776" s="2284"/>
      <c r="X776" s="2222" t="s">
        <v>129</v>
      </c>
      <c r="Y776" s="2223"/>
      <c r="Z776" s="2223"/>
      <c r="AA776" s="2223"/>
      <c r="AB776" s="2224"/>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706</v>
      </c>
      <c r="K778" s="230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5" t="s">
        <v>407</v>
      </c>
      <c r="K782" s="2226"/>
      <c r="L782" s="2226"/>
      <c r="M782" s="2226"/>
      <c r="N782" s="2227"/>
      <c r="O782" s="2318" t="s">
        <v>291</v>
      </c>
      <c r="P782" s="2318"/>
      <c r="Q782" s="2318"/>
      <c r="R782" s="2318"/>
      <c r="S782" s="2318"/>
      <c r="T782" s="2234" t="s">
        <v>2094</v>
      </c>
      <c r="U782" s="2235"/>
      <c r="V782" s="2235"/>
      <c r="W782" s="2236"/>
      <c r="X782" s="2225" t="s">
        <v>478</v>
      </c>
      <c r="Y782" s="2226"/>
      <c r="Z782" s="2226"/>
      <c r="AA782" s="2226"/>
      <c r="AB782" s="2227"/>
      <c r="AC782" s="2225" t="s">
        <v>292</v>
      </c>
      <c r="AD782" s="2226"/>
      <c r="AE782" s="2226"/>
      <c r="AF782" s="2226"/>
      <c r="AG782" s="2227"/>
      <c r="AH782" s="2365" t="s">
        <v>2311</v>
      </c>
      <c r="AI782" s="2226"/>
      <c r="AJ782" s="2226"/>
      <c r="AK782" s="2226"/>
      <c r="AL782" s="222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8"/>
      <c r="K783" s="2229"/>
      <c r="L783" s="2229"/>
      <c r="M783" s="2229"/>
      <c r="N783" s="2230"/>
      <c r="O783" s="2318"/>
      <c r="P783" s="2318"/>
      <c r="Q783" s="2318"/>
      <c r="R783" s="2318"/>
      <c r="S783" s="2318"/>
      <c r="T783" s="2237"/>
      <c r="U783" s="2238"/>
      <c r="V783" s="2238"/>
      <c r="W783" s="2239"/>
      <c r="X783" s="2228"/>
      <c r="Y783" s="2229"/>
      <c r="Z783" s="2229"/>
      <c r="AA783" s="2229"/>
      <c r="AB783" s="2230"/>
      <c r="AC783" s="2228"/>
      <c r="AD783" s="2229"/>
      <c r="AE783" s="2229"/>
      <c r="AF783" s="2229"/>
      <c r="AG783" s="2230"/>
      <c r="AH783" s="2228"/>
      <c r="AI783" s="2229"/>
      <c r="AJ783" s="2229"/>
      <c r="AK783" s="2229"/>
      <c r="AL783" s="223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8"/>
      <c r="K784" s="2229"/>
      <c r="L784" s="2229"/>
      <c r="M784" s="2229"/>
      <c r="N784" s="2230"/>
      <c r="O784" s="2318"/>
      <c r="P784" s="2318"/>
      <c r="Q784" s="2318"/>
      <c r="R784" s="2318"/>
      <c r="S784" s="2318"/>
      <c r="T784" s="2237"/>
      <c r="U784" s="2238"/>
      <c r="V784" s="2238"/>
      <c r="W784" s="2239"/>
      <c r="X784" s="2228"/>
      <c r="Y784" s="2229"/>
      <c r="Z784" s="2229"/>
      <c r="AA784" s="2229"/>
      <c r="AB784" s="2230"/>
      <c r="AC784" s="2228"/>
      <c r="AD784" s="2229"/>
      <c r="AE784" s="2229"/>
      <c r="AF784" s="2229"/>
      <c r="AG784" s="2230"/>
      <c r="AH784" s="2228"/>
      <c r="AI784" s="2229"/>
      <c r="AJ784" s="2229"/>
      <c r="AK784" s="2229"/>
      <c r="AL784" s="223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1"/>
      <c r="K785" s="2232"/>
      <c r="L785" s="2232"/>
      <c r="M785" s="2232"/>
      <c r="N785" s="2233"/>
      <c r="O785" s="2318"/>
      <c r="P785" s="2318"/>
      <c r="Q785" s="2318"/>
      <c r="R785" s="2318"/>
      <c r="S785" s="2318"/>
      <c r="T785" s="2240"/>
      <c r="U785" s="2241"/>
      <c r="V785" s="2241"/>
      <c r="W785" s="2242"/>
      <c r="X785" s="2231"/>
      <c r="Y785" s="2232"/>
      <c r="Z785" s="2232"/>
      <c r="AA785" s="2232"/>
      <c r="AB785" s="2233"/>
      <c r="AC785" s="2231"/>
      <c r="AD785" s="2232"/>
      <c r="AE785" s="2232"/>
      <c r="AF785" s="2232"/>
      <c r="AG785" s="2233"/>
      <c r="AH785" s="2231"/>
      <c r="AI785" s="2232"/>
      <c r="AJ785" s="2232"/>
      <c r="AK785" s="2232"/>
      <c r="AL785" s="223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3"/>
      <c r="K786" s="2144"/>
      <c r="L786" s="2144"/>
      <c r="M786" s="2144"/>
      <c r="N786" s="2145"/>
      <c r="O786" s="2243"/>
      <c r="P786" s="2243"/>
      <c r="Q786" s="2243"/>
      <c r="R786" s="2243"/>
      <c r="S786" s="2243"/>
      <c r="T786" s="2208"/>
      <c r="U786" s="2209"/>
      <c r="V786" s="2209"/>
      <c r="W786" s="2210"/>
      <c r="X786" s="2182"/>
      <c r="Y786" s="2183"/>
      <c r="Z786" s="2183"/>
      <c r="AA786" s="2183"/>
      <c r="AB786" s="2184"/>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3"/>
      <c r="K787" s="2144"/>
      <c r="L787" s="2144"/>
      <c r="M787" s="2144"/>
      <c r="N787" s="2145"/>
      <c r="O787" s="2243"/>
      <c r="P787" s="2243"/>
      <c r="Q787" s="2243"/>
      <c r="R787" s="2243"/>
      <c r="S787" s="2243"/>
      <c r="T787" s="2208"/>
      <c r="U787" s="2209"/>
      <c r="V787" s="2209"/>
      <c r="W787" s="2210"/>
      <c r="X787" s="2182"/>
      <c r="Y787" s="2183"/>
      <c r="Z787" s="2183"/>
      <c r="AA787" s="2183"/>
      <c r="AB787" s="2184"/>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3"/>
      <c r="K788" s="2144"/>
      <c r="L788" s="2144"/>
      <c r="M788" s="2144"/>
      <c r="N788" s="2145"/>
      <c r="O788" s="2243"/>
      <c r="P788" s="2243"/>
      <c r="Q788" s="2243"/>
      <c r="R788" s="2243"/>
      <c r="S788" s="2243"/>
      <c r="T788" s="2208"/>
      <c r="U788" s="2209"/>
      <c r="V788" s="2209"/>
      <c r="W788" s="2210"/>
      <c r="X788" s="2182"/>
      <c r="Y788" s="2183"/>
      <c r="Z788" s="2183"/>
      <c r="AA788" s="2183"/>
      <c r="AB788" s="2184"/>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3"/>
      <c r="K789" s="2144"/>
      <c r="L789" s="2144"/>
      <c r="M789" s="2144"/>
      <c r="N789" s="2145"/>
      <c r="O789" s="2243"/>
      <c r="P789" s="2243"/>
      <c r="Q789" s="2243"/>
      <c r="R789" s="2243"/>
      <c r="S789" s="2243"/>
      <c r="T789" s="2208"/>
      <c r="U789" s="2209"/>
      <c r="V789" s="2209"/>
      <c r="W789" s="2210"/>
      <c r="X789" s="2182"/>
      <c r="Y789" s="2183"/>
      <c r="Z789" s="2183"/>
      <c r="AA789" s="2183"/>
      <c r="AB789" s="2184"/>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3"/>
      <c r="K790" s="2144"/>
      <c r="L790" s="2144"/>
      <c r="M790" s="2144"/>
      <c r="N790" s="2145"/>
      <c r="O790" s="2243"/>
      <c r="P790" s="2243"/>
      <c r="Q790" s="2243"/>
      <c r="R790" s="2243"/>
      <c r="S790" s="2243"/>
      <c r="T790" s="2208"/>
      <c r="U790" s="2209"/>
      <c r="V790" s="2209"/>
      <c r="W790" s="2210"/>
      <c r="X790" s="2182"/>
      <c r="Y790" s="2183"/>
      <c r="Z790" s="2183"/>
      <c r="AA790" s="2183"/>
      <c r="AB790" s="2184"/>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3"/>
      <c r="K791" s="2144"/>
      <c r="L791" s="2144"/>
      <c r="M791" s="2144"/>
      <c r="N791" s="2145"/>
      <c r="O791" s="2243"/>
      <c r="P791" s="2243"/>
      <c r="Q791" s="2243"/>
      <c r="R791" s="2243"/>
      <c r="S791" s="2243"/>
      <c r="T791" s="2208"/>
      <c r="U791" s="2209"/>
      <c r="V791" s="2209"/>
      <c r="W791" s="2210"/>
      <c r="X791" s="2182"/>
      <c r="Y791" s="2183"/>
      <c r="Z791" s="2183"/>
      <c r="AA791" s="2183"/>
      <c r="AB791" s="2184"/>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3"/>
      <c r="K792" s="2144"/>
      <c r="L792" s="2144"/>
      <c r="M792" s="2144"/>
      <c r="N792" s="2145"/>
      <c r="O792" s="2243"/>
      <c r="P792" s="2243"/>
      <c r="Q792" s="2243"/>
      <c r="R792" s="2243"/>
      <c r="S792" s="2243"/>
      <c r="T792" s="2208"/>
      <c r="U792" s="2209"/>
      <c r="V792" s="2209"/>
      <c r="W792" s="2210"/>
      <c r="X792" s="2182"/>
      <c r="Y792" s="2183"/>
      <c r="Z792" s="2183"/>
      <c r="AA792" s="2183"/>
      <c r="AB792" s="2184"/>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3"/>
      <c r="K793" s="2144"/>
      <c r="L793" s="2144"/>
      <c r="M793" s="2144"/>
      <c r="N793" s="2145"/>
      <c r="O793" s="2243"/>
      <c r="P793" s="2243"/>
      <c r="Q793" s="2243"/>
      <c r="R793" s="2243"/>
      <c r="S793" s="2243"/>
      <c r="T793" s="2208"/>
      <c r="U793" s="2209"/>
      <c r="V793" s="2209"/>
      <c r="W793" s="2210"/>
      <c r="X793" s="2182"/>
      <c r="Y793" s="2183"/>
      <c r="Z793" s="2183"/>
      <c r="AA793" s="2183"/>
      <c r="AB793" s="2184"/>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3"/>
      <c r="K794" s="2144"/>
      <c r="L794" s="2144"/>
      <c r="M794" s="2144"/>
      <c r="N794" s="2145"/>
      <c r="O794" s="2243"/>
      <c r="P794" s="2243"/>
      <c r="Q794" s="2243"/>
      <c r="R794" s="2243"/>
      <c r="S794" s="2243"/>
      <c r="T794" s="2208"/>
      <c r="U794" s="2209"/>
      <c r="V794" s="2209"/>
      <c r="W794" s="2210"/>
      <c r="X794" s="2182"/>
      <c r="Y794" s="2183"/>
      <c r="Z794" s="2183"/>
      <c r="AA794" s="2183"/>
      <c r="AB794" s="2184"/>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3"/>
      <c r="K795" s="2144"/>
      <c r="L795" s="2144"/>
      <c r="M795" s="2144"/>
      <c r="N795" s="2145"/>
      <c r="O795" s="2243"/>
      <c r="P795" s="2243"/>
      <c r="Q795" s="2243"/>
      <c r="R795" s="2243"/>
      <c r="S795" s="2243"/>
      <c r="T795" s="2208"/>
      <c r="U795" s="2209"/>
      <c r="V795" s="2209"/>
      <c r="W795" s="2210"/>
      <c r="X795" s="2182"/>
      <c r="Y795" s="2183"/>
      <c r="Z795" s="2183"/>
      <c r="AA795" s="2183"/>
      <c r="AB795" s="2184"/>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372">
        <f>SUM(O786:S795)</f>
        <v>0</v>
      </c>
      <c r="P796" s="2372"/>
      <c r="Q796" s="2372"/>
      <c r="R796" s="2372"/>
      <c r="S796" s="2372"/>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9">
        <f>T753+AC776+AC796</f>
        <v>75806</v>
      </c>
      <c r="Z798" s="2319"/>
      <c r="AA798" s="2319"/>
      <c r="AB798" s="2319"/>
      <c r="AC798" s="231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9">
        <f>(T753+AC776+AC796)*12</f>
        <v>909672</v>
      </c>
      <c r="Z799" s="2319"/>
      <c r="AA799" s="2319"/>
      <c r="AB799" s="2319"/>
      <c r="AC799" s="2319"/>
      <c r="AZ799" s="58"/>
      <c r="BA799" s="51" t="s">
        <v>667</v>
      </c>
      <c r="BB799" s="51"/>
      <c r="BC799" s="51"/>
      <c r="BD799" s="51"/>
      <c r="BE799" s="51"/>
      <c r="BF799" s="51"/>
      <c r="BG799" s="51"/>
      <c r="BH799" s="51"/>
      <c r="BI799" s="51"/>
      <c r="BJ799" s="51"/>
      <c r="BK799" s="51"/>
      <c r="BL799" s="51"/>
      <c r="BM799" s="51"/>
      <c r="BN799" s="2316" t="s">
        <v>502</v>
      </c>
      <c r="BO799" s="2317"/>
      <c r="BP799" s="58"/>
      <c r="BQ799" s="58"/>
      <c r="BR799" s="58"/>
      <c r="BS799" s="51" t="s">
        <v>669</v>
      </c>
      <c r="BT799" s="51"/>
      <c r="BU799" s="51"/>
      <c r="BV799" s="51"/>
      <c r="BW799" s="51"/>
      <c r="BX799" s="51"/>
      <c r="BY799" s="51"/>
      <c r="BZ799" s="51"/>
      <c r="CA799" s="51"/>
      <c r="CB799" s="2313" t="str">
        <f>T189</f>
        <v>El Dorado</v>
      </c>
      <c r="CC799" s="2314"/>
      <c r="CD799" s="2314"/>
      <c r="CE799" s="2314"/>
      <c r="CF799" s="2314"/>
      <c r="CG799" s="2314"/>
      <c r="CH799" s="231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1"/>
      <c r="AA804" s="2332"/>
      <c r="AB804" s="2332"/>
      <c r="AC804" s="2332"/>
      <c r="AD804" s="2332"/>
      <c r="AE804" s="23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7"/>
      <c r="AA805" s="2332"/>
      <c r="AB805" s="2332"/>
      <c r="AC805" s="2332"/>
      <c r="AD805" s="2332"/>
      <c r="AE805" s="23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9">
        <v>0</v>
      </c>
      <c r="AA806" s="2180"/>
      <c r="AB806" s="2180"/>
      <c r="AC806" s="2180"/>
      <c r="AD806" s="2180"/>
      <c r="AE806" s="218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2">
        <f>'Subsidy Contract Calculation'!I30</f>
        <v>0</v>
      </c>
      <c r="AA807" s="2293"/>
      <c r="AB807" s="2293"/>
      <c r="AC807" s="2293"/>
      <c r="AD807" s="2293"/>
      <c r="AE807" s="22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7872</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5" t="s">
        <v>343</v>
      </c>
      <c r="Q814" s="2176"/>
      <c r="R814" s="2176"/>
      <c r="S814" s="2176"/>
      <c r="T814" s="2176"/>
      <c r="U814" s="2176"/>
      <c r="V814" s="2176"/>
      <c r="W814" s="2176"/>
      <c r="X814" s="2176"/>
      <c r="Y814" s="2177"/>
      <c r="Z814" s="1982"/>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2">
        <f>SUM(Z811:AE814)</f>
        <v>7872</v>
      </c>
      <c r="AA815" s="2293"/>
      <c r="AB815" s="2293"/>
      <c r="AC815" s="2293"/>
      <c r="AD815" s="2293"/>
      <c r="AE815" s="22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2">
        <f>Z815+Y799+Z807</f>
        <v>917544</v>
      </c>
      <c r="AA816" s="2293"/>
      <c r="AB816" s="2293"/>
      <c r="AC816" s="2293"/>
      <c r="AD816" s="2293"/>
      <c r="AE816" s="22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8" t="s">
        <v>131</v>
      </c>
      <c r="N821" s="2368"/>
      <c r="O821" s="2368"/>
      <c r="P821" s="2369"/>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216" t="s">
        <v>344</v>
      </c>
      <c r="AH821" s="2216"/>
      <c r="AI821" s="2216"/>
      <c r="AJ821" s="221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0"/>
      <c r="N822" s="2370"/>
      <c r="O822" s="2370"/>
      <c r="P822" s="2371"/>
      <c r="Q822" s="2278"/>
      <c r="R822" s="2278"/>
      <c r="S822" s="2278"/>
      <c r="T822" s="2278"/>
      <c r="U822" s="2278"/>
      <c r="V822" s="2278"/>
      <c r="W822" s="2278"/>
      <c r="X822" s="2278"/>
      <c r="Y822" s="2278"/>
      <c r="Z822" s="2278"/>
      <c r="AA822" s="2278"/>
      <c r="AB822" s="2278"/>
      <c r="AC822" s="2278"/>
      <c r="AD822" s="2278"/>
      <c r="AE822" s="2278"/>
      <c r="AF822" s="2278"/>
      <c r="AG822" s="2216"/>
      <c r="AH822" s="2216"/>
      <c r="AI822" s="2216"/>
      <c r="AJ822" s="221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1" t="s">
        <v>43</v>
      </c>
      <c r="D823" s="2212"/>
      <c r="E823" s="2212"/>
      <c r="F823" s="2212"/>
      <c r="G823" s="2212"/>
      <c r="H823" s="2212"/>
      <c r="I823" s="80"/>
      <c r="J823" s="80"/>
      <c r="K823" s="80"/>
      <c r="L823" s="81"/>
      <c r="M823" s="2207"/>
      <c r="N823" s="2207"/>
      <c r="O823" s="2207"/>
      <c r="P823" s="2207"/>
      <c r="Q823" s="2207"/>
      <c r="R823" s="2207"/>
      <c r="S823" s="2207"/>
      <c r="T823" s="2207"/>
      <c r="U823" s="2207"/>
      <c r="V823" s="2207"/>
      <c r="W823" s="2207"/>
      <c r="X823" s="2207"/>
      <c r="Y823" s="2207"/>
      <c r="Z823" s="2207"/>
      <c r="AA823" s="2207"/>
      <c r="AB823" s="2207"/>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3" t="s">
        <v>44</v>
      </c>
      <c r="D824" s="2214"/>
      <c r="E824" s="2214"/>
      <c r="F824" s="2214"/>
      <c r="G824" s="2214"/>
      <c r="H824" s="2214"/>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3" t="s">
        <v>45</v>
      </c>
      <c r="D825" s="2214"/>
      <c r="E825" s="2214"/>
      <c r="F825" s="2214"/>
      <c r="G825" s="2214"/>
      <c r="H825" s="2214"/>
      <c r="I825" s="96"/>
      <c r="J825" s="96"/>
      <c r="K825" s="96"/>
      <c r="L825" s="97"/>
      <c r="M825" s="2207"/>
      <c r="N825" s="2207"/>
      <c r="O825" s="2207"/>
      <c r="P825" s="2207"/>
      <c r="Q825" s="2207"/>
      <c r="R825" s="2207"/>
      <c r="S825" s="2207"/>
      <c r="T825" s="2207"/>
      <c r="U825" s="2207"/>
      <c r="V825" s="2207"/>
      <c r="W825" s="2207"/>
      <c r="X825" s="2207"/>
      <c r="Y825" s="2207"/>
      <c r="Z825" s="2207"/>
      <c r="AA825" s="2207"/>
      <c r="AB825" s="2207"/>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3" t="s">
        <v>820</v>
      </c>
      <c r="D826" s="2214"/>
      <c r="E826" s="2214"/>
      <c r="F826" s="2214"/>
      <c r="G826" s="2214"/>
      <c r="H826" s="2214"/>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3" t="s">
        <v>492</v>
      </c>
      <c r="D827" s="2214"/>
      <c r="E827" s="2214"/>
      <c r="F827" s="2214"/>
      <c r="G827" s="2214"/>
      <c r="H827" s="2214"/>
      <c r="I827" s="96"/>
      <c r="J827" s="96"/>
      <c r="K827" s="96"/>
      <c r="L827" s="97"/>
      <c r="M827" s="2207"/>
      <c r="N827" s="2207"/>
      <c r="O827" s="2207"/>
      <c r="P827" s="2207"/>
      <c r="Q827" s="2207"/>
      <c r="R827" s="2207"/>
      <c r="S827" s="2207"/>
      <c r="T827" s="2207"/>
      <c r="U827" s="2207"/>
      <c r="V827" s="2207"/>
      <c r="W827" s="2207"/>
      <c r="X827" s="2207"/>
      <c r="Y827" s="2207"/>
      <c r="Z827" s="2207"/>
      <c r="AA827" s="2207"/>
      <c r="AB827" s="2207"/>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9" t="s">
        <v>841</v>
      </c>
      <c r="D828" s="2214"/>
      <c r="E828" s="2214"/>
      <c r="F828" s="2214"/>
      <c r="G828" s="2214"/>
      <c r="H828" s="2214"/>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8" t="s">
        <v>343</v>
      </c>
      <c r="G829" s="2149"/>
      <c r="H829" s="2149"/>
      <c r="I829" s="2149"/>
      <c r="J829" s="2149"/>
      <c r="K829" s="2149"/>
      <c r="L829" s="2150"/>
      <c r="M829" s="2207"/>
      <c r="N829" s="2207"/>
      <c r="O829" s="2207"/>
      <c r="P829" s="2207"/>
      <c r="Q829" s="2207">
        <v>10</v>
      </c>
      <c r="R829" s="2207"/>
      <c r="S829" s="2207"/>
      <c r="T829" s="2207"/>
      <c r="U829" s="2207">
        <v>10</v>
      </c>
      <c r="V829" s="2207"/>
      <c r="W829" s="2207"/>
      <c r="X829" s="2207"/>
      <c r="Y829" s="2207">
        <v>10</v>
      </c>
      <c r="Z829" s="2207"/>
      <c r="AA829" s="2207"/>
      <c r="AB829" s="2207"/>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281">
        <f>SUM(M823:P829)</f>
        <v>0</v>
      </c>
      <c r="N830" s="2281"/>
      <c r="O830" s="2281"/>
      <c r="P830" s="2281"/>
      <c r="Q830" s="2281">
        <f>SUM(Q823:T829)</f>
        <v>10</v>
      </c>
      <c r="R830" s="2281"/>
      <c r="S830" s="2281"/>
      <c r="T830" s="2281"/>
      <c r="U830" s="2281">
        <f>SUM(U823:X829)</f>
        <v>10</v>
      </c>
      <c r="V830" s="2281"/>
      <c r="W830" s="2281"/>
      <c r="X830" s="2281"/>
      <c r="Y830" s="2281">
        <f>SUM(Y823:AB829)</f>
        <v>10</v>
      </c>
      <c r="Z830" s="2281"/>
      <c r="AA830" s="2281"/>
      <c r="AB830" s="2281"/>
      <c r="AC830" s="2281">
        <f>SUM(AC823:AF829)</f>
        <v>0</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2646</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2000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5000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8000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78" t="s">
        <v>343</v>
      </c>
      <c r="N844" s="2149"/>
      <c r="O844" s="2149"/>
      <c r="P844" s="2149"/>
      <c r="Q844" s="2149"/>
      <c r="R844" s="2149"/>
      <c r="S844" s="2149"/>
      <c r="T844" s="2149"/>
      <c r="U844" s="2149"/>
      <c r="V844" s="2150"/>
      <c r="W844" s="2002">
        <v>22100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2">
        <f>SUM(W840:AC844)</f>
        <v>37100</v>
      </c>
      <c r="X845" s="2293"/>
      <c r="Y845" s="2293"/>
      <c r="Z845" s="2293"/>
      <c r="AA845" s="2293"/>
      <c r="AB845" s="2293"/>
      <c r="AC845" s="22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1982">
        <v>58056</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7"/>
      <c r="X849" s="2217"/>
      <c r="Y849" s="2217"/>
      <c r="Z849" s="2217"/>
      <c r="AA849" s="2217"/>
      <c r="AB849" s="2217"/>
      <c r="AC849" s="22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7">
        <v>7000</v>
      </c>
      <c r="X850" s="2217"/>
      <c r="Y850" s="2217"/>
      <c r="Z850" s="2217"/>
      <c r="AA850" s="2217"/>
      <c r="AB850" s="2217"/>
      <c r="AC850" s="22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7">
        <v>2000</v>
      </c>
      <c r="X851" s="2217"/>
      <c r="Y851" s="2217"/>
      <c r="Z851" s="2217"/>
      <c r="AA851" s="2217"/>
      <c r="AB851" s="2217"/>
      <c r="AC851" s="22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7">
        <v>62000</v>
      </c>
      <c r="X852" s="2217"/>
      <c r="Y852" s="2217"/>
      <c r="Z852" s="2217"/>
      <c r="AA852" s="2217"/>
      <c r="AB852" s="2217"/>
      <c r="AC852" s="22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0">
        <f>SUM(W849:AC852)</f>
        <v>71000</v>
      </c>
      <c r="X853" s="2360"/>
      <c r="Y853" s="2360"/>
      <c r="Z853" s="2360"/>
      <c r="AA853" s="2360"/>
      <c r="AB853" s="2360"/>
      <c r="AC853" s="236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8">
        <f>SUM(AZ821:AZ849)</f>
        <v>0</v>
      </c>
      <c r="BA854" s="2358"/>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8">
        <v>55000</v>
      </c>
      <c r="X855" s="2329"/>
      <c r="Y855" s="2329"/>
      <c r="Z855" s="2329"/>
      <c r="AA855" s="2329"/>
      <c r="AB855" s="2329"/>
      <c r="AC855" s="233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52">
        <v>2</v>
      </c>
      <c r="U856" s="2024"/>
      <c r="V856" s="2353"/>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8">
        <v>42000</v>
      </c>
      <c r="X857" s="2329"/>
      <c r="Y857" s="2329"/>
      <c r="Z857" s="2329"/>
      <c r="AA857" s="2329"/>
      <c r="AB857" s="2329"/>
      <c r="AC857" s="233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52">
        <v>1</v>
      </c>
      <c r="U858" s="2024"/>
      <c r="V858" s="2353"/>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2647</v>
      </c>
      <c r="N859" s="2149"/>
      <c r="O859" s="2149"/>
      <c r="P859" s="2149"/>
      <c r="Q859" s="2149"/>
      <c r="R859" s="2149"/>
      <c r="S859" s="2149"/>
      <c r="T859" s="2149"/>
      <c r="U859" s="2149"/>
      <c r="V859" s="2150"/>
      <c r="W859" s="2328">
        <v>37500</v>
      </c>
      <c r="X859" s="2329"/>
      <c r="Y859" s="2329"/>
      <c r="Z859" s="2329"/>
      <c r="AA859" s="2329"/>
      <c r="AB859" s="2329"/>
      <c r="AC859" s="233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8">
        <f>SUM(W855:AC859)</f>
        <v>134500</v>
      </c>
      <c r="X860" s="2219"/>
      <c r="Y860" s="2219"/>
      <c r="Z860" s="2219"/>
      <c r="AA860" s="2219"/>
      <c r="AB860" s="2219"/>
      <c r="AC860" s="2220"/>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8">
        <v>26500</v>
      </c>
      <c r="X861" s="2329"/>
      <c r="Y861" s="2329"/>
      <c r="Z861" s="2329"/>
      <c r="AA861" s="2329"/>
      <c r="AB861" s="2329"/>
      <c r="AC861" s="233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2">
        <v>5000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2">
        <v>35000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2">
        <v>30000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2">
        <v>3500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2">
        <v>32000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2"/>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78" t="s">
        <v>343</v>
      </c>
      <c r="N869" s="2149"/>
      <c r="O869" s="2149"/>
      <c r="P869" s="2149"/>
      <c r="Q869" s="2149"/>
      <c r="R869" s="2149"/>
      <c r="S869" s="2149"/>
      <c r="T869" s="2149"/>
      <c r="U869" s="2149"/>
      <c r="V869" s="2150"/>
      <c r="W869" s="2002">
        <v>14593</v>
      </c>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9">
        <f>SUM(W863:AC869)</f>
        <v>120093</v>
      </c>
      <c r="X870" s="2319"/>
      <c r="Y870" s="2319"/>
      <c r="Z870" s="2319"/>
      <c r="AA870" s="2319"/>
      <c r="AB870" s="2319"/>
      <c r="AC870" s="231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007" t="s">
        <v>2648</v>
      </c>
      <c r="N872" s="2149"/>
      <c r="O872" s="2149"/>
      <c r="P872" s="2149"/>
      <c r="Q872" s="2149"/>
      <c r="R872" s="2149"/>
      <c r="S872" s="2149"/>
      <c r="T872" s="2149"/>
      <c r="U872" s="2149"/>
      <c r="V872" s="2150"/>
      <c r="W872" s="1982">
        <v>1225</v>
      </c>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78" t="s">
        <v>343</v>
      </c>
      <c r="N873" s="2149"/>
      <c r="O873" s="2149"/>
      <c r="P873" s="2149"/>
      <c r="Q873" s="2149"/>
      <c r="R873" s="2149"/>
      <c r="S873" s="2149"/>
      <c r="T873" s="2149"/>
      <c r="U873" s="2149"/>
      <c r="V873" s="2150"/>
      <c r="W873" s="1982"/>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8" t="s">
        <v>343</v>
      </c>
      <c r="N874" s="2149"/>
      <c r="O874" s="2149"/>
      <c r="P874" s="2149"/>
      <c r="Q874" s="2149"/>
      <c r="R874" s="2149"/>
      <c r="S874" s="2149"/>
      <c r="T874" s="2149"/>
      <c r="U874" s="2149"/>
      <c r="V874" s="2150"/>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8" t="s">
        <v>343</v>
      </c>
      <c r="N875" s="2149"/>
      <c r="O875" s="2149"/>
      <c r="P875" s="2149"/>
      <c r="Q875" s="2149"/>
      <c r="R875" s="2149"/>
      <c r="S875" s="2149"/>
      <c r="T875" s="2149"/>
      <c r="U875" s="2149"/>
      <c r="V875" s="2150"/>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8" t="s">
        <v>343</v>
      </c>
      <c r="N876" s="2149"/>
      <c r="O876" s="2149"/>
      <c r="P876" s="2149"/>
      <c r="Q876" s="2149"/>
      <c r="R876" s="2149"/>
      <c r="S876" s="2149"/>
      <c r="T876" s="2149"/>
      <c r="U876" s="2149"/>
      <c r="V876" s="2150"/>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2">
        <f>SUM(W872:AC876)</f>
        <v>1225</v>
      </c>
      <c r="X877" s="2293"/>
      <c r="Y877" s="2293"/>
      <c r="Z877" s="2293"/>
      <c r="AA877" s="2293"/>
      <c r="AB877" s="2293"/>
      <c r="AC877" s="22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3">
        <f>W845+W853+W860+W861+W870+W877+W847</f>
        <v>448474</v>
      </c>
      <c r="AD881" s="2293"/>
      <c r="AE881" s="2293"/>
      <c r="AF881" s="2293"/>
      <c r="AG881" s="2293"/>
      <c r="AH881" s="22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0">
        <f>O796+O776+G753</f>
        <v>82</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319">
        <f>IF(ISERROR((ROUNDDOWN(AC881/AC882,0))),0,(ROUNDDOWN(AC881/AC882,0)))</f>
        <v>5469</v>
      </c>
      <c r="AD883" s="2319"/>
      <c r="AE883" s="2319"/>
      <c r="AF883" s="2319"/>
      <c r="AG883" s="2319"/>
      <c r="AH883" s="231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3"/>
      <c r="AD884" s="2364"/>
      <c r="AE884" s="2364"/>
      <c r="AF884" s="2364"/>
      <c r="AG884" s="2364"/>
      <c r="AH884" s="23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3">
        <v>20000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41000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4">
        <v>54600</v>
      </c>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v>2500</v>
      </c>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0" t="s">
        <v>1035</v>
      </c>
      <c r="D891" s="2501"/>
      <c r="E891" s="2501"/>
      <c r="F891" s="2501"/>
      <c r="G891" s="250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2"/>
      <c r="AC891" s="2002"/>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0" t="s">
        <v>1035</v>
      </c>
      <c r="D892" s="2501"/>
      <c r="E892" s="2501"/>
      <c r="F892" s="2501"/>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2"/>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2">
        <f>Z896-(Z897+Z898)</f>
        <v>0</v>
      </c>
      <c r="AA899" s="2293"/>
      <c r="AB899" s="2293"/>
      <c r="AC899" s="2293"/>
      <c r="AD899" s="2293"/>
      <c r="AE899" s="229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5"/>
      <c r="BE901" s="235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2"/>
      <c r="BE902" s="236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0"/>
      <c r="BE903" s="228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0"/>
      <c r="BE904" s="228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0"/>
      <c r="BE905" s="228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5"/>
      <c r="BE906" s="228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7" t="s">
        <v>101</v>
      </c>
      <c r="B907" s="2337"/>
      <c r="C907" s="2337"/>
      <c r="D907" s="2337"/>
      <c r="E907" s="2337"/>
      <c r="F907" s="2337"/>
      <c r="G907" s="2337"/>
      <c r="H907" s="2337"/>
      <c r="I907" s="2337"/>
      <c r="J907" s="2337"/>
      <c r="K907" s="2337"/>
      <c r="L907" s="2337"/>
      <c r="M907" s="2337"/>
      <c r="N907" s="2337"/>
      <c r="O907" s="2337"/>
      <c r="P907" s="2337"/>
      <c r="Q907" s="2337"/>
      <c r="R907" s="2337"/>
      <c r="S907" s="2337"/>
      <c r="T907" s="2337"/>
      <c r="U907" s="2337"/>
      <c r="V907" s="2337"/>
      <c r="W907" s="2337"/>
      <c r="X907" s="2337"/>
      <c r="Y907" s="2337"/>
      <c r="Z907" s="2337"/>
      <c r="AA907" s="2337"/>
      <c r="AB907" s="2337"/>
      <c r="AC907" s="2337"/>
      <c r="AD907" s="2337"/>
      <c r="AE907" s="2337"/>
      <c r="AF907" s="2337"/>
      <c r="AG907" s="2337"/>
      <c r="AH907" s="2337"/>
      <c r="AI907" s="2337"/>
      <c r="AJ907" s="2337"/>
      <c r="AK907" s="2337"/>
      <c r="AL907" s="2337"/>
      <c r="AM907" s="144"/>
      <c r="AN907" s="144"/>
      <c r="AO907" s="144"/>
      <c r="AP907" s="144"/>
      <c r="AQ907" s="144"/>
      <c r="AR907" s="144"/>
      <c r="AS907" s="144"/>
      <c r="AT907" s="144"/>
      <c r="AU907" s="144"/>
      <c r="AV907" s="144"/>
      <c r="AW907" s="144"/>
      <c r="AX907" s="144"/>
      <c r="AY907" s="144"/>
      <c r="AZ907" s="61"/>
      <c r="BA907" s="25"/>
      <c r="BB907" s="127"/>
      <c r="BC907" s="1511"/>
      <c r="BD907" s="2361"/>
      <c r="BE907" s="2361"/>
      <c r="BF907" s="236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8"/>
      <c r="B908" s="2338"/>
      <c r="C908" s="2338"/>
      <c r="D908" s="2338"/>
      <c r="E908" s="2338"/>
      <c r="F908" s="2338"/>
      <c r="G908" s="2338"/>
      <c r="H908" s="2338"/>
      <c r="I908" s="2338"/>
      <c r="J908" s="2338"/>
      <c r="K908" s="2338"/>
      <c r="L908" s="2338"/>
      <c r="M908" s="2338"/>
      <c r="N908" s="2338"/>
      <c r="O908" s="2338"/>
      <c r="P908" s="2338"/>
      <c r="Q908" s="2338"/>
      <c r="R908" s="2338"/>
      <c r="S908" s="2338"/>
      <c r="T908" s="2338"/>
      <c r="U908" s="2338"/>
      <c r="V908" s="2338"/>
      <c r="W908" s="2338"/>
      <c r="X908" s="2338"/>
      <c r="Y908" s="2338"/>
      <c r="Z908" s="2338"/>
      <c r="AA908" s="2338"/>
      <c r="AB908" s="2338"/>
      <c r="AC908" s="2338"/>
      <c r="AD908" s="2338"/>
      <c r="AE908" s="2338"/>
      <c r="AF908" s="2338"/>
      <c r="AG908" s="2338"/>
      <c r="AH908" s="2338"/>
      <c r="AI908" s="2338"/>
      <c r="AJ908" s="2338"/>
      <c r="AK908" s="2338"/>
      <c r="AL908" s="2338"/>
      <c r="AM908" s="144"/>
      <c r="AN908" s="144"/>
      <c r="AO908" s="144"/>
      <c r="AP908" s="144"/>
      <c r="AQ908" s="144"/>
      <c r="AR908" s="144"/>
      <c r="AS908" s="144"/>
      <c r="AT908" s="144"/>
      <c r="AU908" s="144"/>
      <c r="AV908" s="144"/>
      <c r="AW908" s="144"/>
      <c r="AX908" s="144"/>
      <c r="AY908" s="144"/>
      <c r="AZ908" s="61"/>
      <c r="BA908" s="25"/>
      <c r="BB908" s="127"/>
      <c r="BC908" s="1511"/>
      <c r="BD908" s="2357"/>
      <c r="BE908" s="2357"/>
      <c r="BF908" s="235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0"/>
      <c r="BE909" s="228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5"/>
      <c r="BE910" s="228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2" t="s">
        <v>850</v>
      </c>
      <c r="G912" s="2173"/>
      <c r="H912" s="2173"/>
      <c r="I912" s="2173"/>
      <c r="J912" s="2173"/>
      <c r="K912" s="2173"/>
      <c r="L912" s="2173"/>
      <c r="M912" s="2173"/>
      <c r="N912" s="2173"/>
      <c r="O912" s="2173"/>
      <c r="P912" s="2173"/>
      <c r="Q912" s="2173"/>
      <c r="R912" s="2173"/>
      <c r="S912" s="2173"/>
      <c r="T912" s="2174"/>
      <c r="U912" s="2026" t="s">
        <v>32</v>
      </c>
      <c r="V912" s="2027"/>
      <c r="W912" s="2027"/>
      <c r="X912" s="2027"/>
      <c r="Y912" s="2027"/>
      <c r="Z912" s="2027"/>
      <c r="AA912" s="73"/>
      <c r="AB912" s="161"/>
      <c r="AC912" s="161"/>
      <c r="AD912" s="161"/>
      <c r="AE912" s="161"/>
      <c r="AF912" s="162"/>
      <c r="AZ912" s="61"/>
      <c r="BA912" s="1510"/>
      <c r="BB912" s="127"/>
      <c r="BC912" s="127"/>
      <c r="BD912" s="2355"/>
      <c r="BE912" s="228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29" t="s">
        <v>879</v>
      </c>
      <c r="G913" s="2030"/>
      <c r="H913" s="2030"/>
      <c r="I913" s="2030"/>
      <c r="J913" s="2030"/>
      <c r="K913" s="2030"/>
      <c r="L913" s="2030"/>
      <c r="M913" s="2030"/>
      <c r="N913" s="2030"/>
      <c r="O913" s="2030"/>
      <c r="P913" s="2030"/>
      <c r="Q913" s="2030"/>
      <c r="R913" s="2030"/>
      <c r="S913" s="2030"/>
      <c r="T913" s="2031"/>
      <c r="U913" s="2029"/>
      <c r="V913" s="2030"/>
      <c r="W913" s="2030"/>
      <c r="X913" s="2030"/>
      <c r="Y913" s="2030"/>
      <c r="Z913" s="2030"/>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2"/>
      <c r="G914" s="2033"/>
      <c r="H914" s="2033"/>
      <c r="I914" s="2033"/>
      <c r="J914" s="2033"/>
      <c r="K914" s="2033"/>
      <c r="L914" s="2033"/>
      <c r="M914" s="2033"/>
      <c r="N914" s="2033"/>
      <c r="O914" s="2033"/>
      <c r="P914" s="2033"/>
      <c r="Q914" s="2033"/>
      <c r="R914" s="2033"/>
      <c r="S914" s="2033"/>
      <c r="T914" s="2034"/>
      <c r="U914" s="2032"/>
      <c r="V914" s="2033"/>
      <c r="W914" s="2033"/>
      <c r="X914" s="2033"/>
      <c r="Y914" s="2033"/>
      <c r="Z914" s="2033"/>
      <c r="AA914" s="164"/>
      <c r="AB914" s="2356" t="s">
        <v>410</v>
      </c>
      <c r="AC914" s="2356"/>
      <c r="AD914" s="2356"/>
      <c r="AE914" s="2356"/>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7" t="s">
        <v>578</v>
      </c>
      <c r="V915" s="2158"/>
      <c r="W915" s="2158"/>
      <c r="X915" s="2158"/>
      <c r="Y915" s="2158"/>
      <c r="Z915" s="2159"/>
      <c r="AA915" s="2163"/>
      <c r="AB915" s="2164"/>
      <c r="AC915" s="2164"/>
      <c r="AD915" s="2164"/>
      <c r="AE915" s="2164"/>
      <c r="AF915" s="216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7" t="s">
        <v>578</v>
      </c>
      <c r="V916" s="2158"/>
      <c r="W916" s="2158"/>
      <c r="X916" s="2158"/>
      <c r="Y916" s="2158"/>
      <c r="Z916" s="2159"/>
      <c r="AA916" s="2163"/>
      <c r="AB916" s="2164"/>
      <c r="AC916" s="2164"/>
      <c r="AD916" s="2164"/>
      <c r="AE916" s="2164"/>
      <c r="AF916" s="216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7" t="s">
        <v>626</v>
      </c>
      <c r="V917" s="2158"/>
      <c r="W917" s="2158"/>
      <c r="X917" s="2158"/>
      <c r="Y917" s="2158"/>
      <c r="Z917" s="2159"/>
      <c r="AA917" s="2163"/>
      <c r="AB917" s="2164"/>
      <c r="AC917" s="2164"/>
      <c r="AD917" s="2164"/>
      <c r="AE917" s="2164"/>
      <c r="AF917" s="216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7" t="s">
        <v>578</v>
      </c>
      <c r="V918" s="2158"/>
      <c r="W918" s="2158"/>
      <c r="X918" s="2158"/>
      <c r="Y918" s="2158"/>
      <c r="Z918" s="2159"/>
      <c r="AA918" s="2163">
        <v>820000</v>
      </c>
      <c r="AB918" s="2164"/>
      <c r="AC918" s="2164"/>
      <c r="AD918" s="2164"/>
      <c r="AE918" s="2164"/>
      <c r="AF918" s="216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7" t="s">
        <v>626</v>
      </c>
      <c r="V919" s="2158"/>
      <c r="W919" s="2158"/>
      <c r="X919" s="2158"/>
      <c r="Y919" s="2158"/>
      <c r="Z919" s="2159"/>
      <c r="AA919" s="2163"/>
      <c r="AB919" s="2164"/>
      <c r="AC919" s="2164"/>
      <c r="AD919" s="2164"/>
      <c r="AE919" s="2164"/>
      <c r="AF919" s="216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7" t="s">
        <v>626</v>
      </c>
      <c r="V920" s="2158"/>
      <c r="W920" s="2158"/>
      <c r="X920" s="2158"/>
      <c r="Y920" s="2158"/>
      <c r="Z920" s="2159"/>
      <c r="AA920" s="2163"/>
      <c r="AB920" s="2164"/>
      <c r="AC920" s="2164"/>
      <c r="AD920" s="2164"/>
      <c r="AE920" s="2164"/>
      <c r="AF920" s="216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7" t="s">
        <v>626</v>
      </c>
      <c r="V921" s="2158"/>
      <c r="W921" s="2158"/>
      <c r="X921" s="2158"/>
      <c r="Y921" s="2158"/>
      <c r="Z921" s="2159"/>
      <c r="AA921" s="2163"/>
      <c r="AB921" s="2164"/>
      <c r="AC921" s="2164"/>
      <c r="AD921" s="2164"/>
      <c r="AE921" s="2164"/>
      <c r="AF921" s="216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7" t="s">
        <v>626</v>
      </c>
      <c r="V922" s="2158"/>
      <c r="W922" s="2158"/>
      <c r="X922" s="2158"/>
      <c r="Y922" s="2158"/>
      <c r="Z922" s="2159"/>
      <c r="AA922" s="2163"/>
      <c r="AB922" s="2164"/>
      <c r="AC922" s="2164"/>
      <c r="AD922" s="2164"/>
      <c r="AE922" s="2164"/>
      <c r="AF922" s="216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7" t="s">
        <v>626</v>
      </c>
      <c r="V923" s="2158"/>
      <c r="W923" s="2158"/>
      <c r="X923" s="2158"/>
      <c r="Y923" s="2158"/>
      <c r="Z923" s="2159"/>
      <c r="AA923" s="2163"/>
      <c r="AB923" s="2164"/>
      <c r="AC923" s="2164"/>
      <c r="AD923" s="2164"/>
      <c r="AE923" s="2164"/>
      <c r="AF923" s="216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7" t="s">
        <v>626</v>
      </c>
      <c r="V924" s="2158"/>
      <c r="W924" s="2158"/>
      <c r="X924" s="2158"/>
      <c r="Y924" s="2158"/>
      <c r="Z924" s="2159"/>
      <c r="AA924" s="2163"/>
      <c r="AB924" s="2164"/>
      <c r="AC924" s="2164"/>
      <c r="AD924" s="2164"/>
      <c r="AE924" s="2164"/>
      <c r="AF924" s="216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7" t="s">
        <v>626</v>
      </c>
      <c r="V925" s="2158"/>
      <c r="W925" s="2158"/>
      <c r="X925" s="2158"/>
      <c r="Y925" s="2158"/>
      <c r="Z925" s="2159"/>
      <c r="AA925" s="2163"/>
      <c r="AB925" s="2164"/>
      <c r="AC925" s="2164"/>
      <c r="AD925" s="2164"/>
      <c r="AE925" s="2164"/>
      <c r="AF925" s="216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7" t="s">
        <v>626</v>
      </c>
      <c r="V926" s="2158"/>
      <c r="W926" s="2158"/>
      <c r="X926" s="2158"/>
      <c r="Y926" s="2158"/>
      <c r="Z926" s="2159"/>
      <c r="AA926" s="2163"/>
      <c r="AB926" s="2164"/>
      <c r="AC926" s="2164"/>
      <c r="AD926" s="2164"/>
      <c r="AE926" s="2164"/>
      <c r="AF926" s="216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7" t="s">
        <v>578</v>
      </c>
      <c r="V927" s="2158"/>
      <c r="W927" s="2158"/>
      <c r="X927" s="2158"/>
      <c r="Y927" s="2158"/>
      <c r="Z927" s="2159"/>
      <c r="AA927" s="2163">
        <v>13000000</v>
      </c>
      <c r="AB927" s="2164"/>
      <c r="AC927" s="2164"/>
      <c r="AD927" s="2164"/>
      <c r="AE927" s="2164"/>
      <c r="AF927" s="216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57" t="s">
        <v>626</v>
      </c>
      <c r="V928" s="2158"/>
      <c r="W928" s="2158"/>
      <c r="X928" s="2158"/>
      <c r="Y928" s="2158"/>
      <c r="Z928" s="2159"/>
      <c r="AA928" s="2163"/>
      <c r="AB928" s="2164"/>
      <c r="AC928" s="2164"/>
      <c r="AD928" s="2164"/>
      <c r="AE928" s="2164"/>
      <c r="AF928" s="216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57" t="s">
        <v>626</v>
      </c>
      <c r="V929" s="2158"/>
      <c r="W929" s="2158"/>
      <c r="X929" s="2158"/>
      <c r="Y929" s="2158"/>
      <c r="Z929" s="2159"/>
      <c r="AA929" s="2163"/>
      <c r="AB929" s="2164"/>
      <c r="AC929" s="2164"/>
      <c r="AD929" s="2164"/>
      <c r="AE929" s="2164"/>
      <c r="AF929" s="216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7" t="s">
        <v>706</v>
      </c>
      <c r="Q930" s="2158"/>
      <c r="R930" s="2158"/>
      <c r="S930" s="2158"/>
      <c r="T930" s="2159"/>
      <c r="U930" s="2157" t="s">
        <v>626</v>
      </c>
      <c r="V930" s="2158"/>
      <c r="W930" s="2158"/>
      <c r="X930" s="2158"/>
      <c r="Y930" s="2158"/>
      <c r="Z930" s="2159"/>
      <c r="AA930" s="2163"/>
      <c r="AB930" s="2164"/>
      <c r="AC930" s="2164"/>
      <c r="AD930" s="2164"/>
      <c r="AE930" s="2164"/>
      <c r="AF930" s="216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9" t="s">
        <v>2597</v>
      </c>
      <c r="J931" s="2170"/>
      <c r="K931" s="2170"/>
      <c r="L931" s="2170"/>
      <c r="M931" s="2170"/>
      <c r="N931" s="2170"/>
      <c r="O931" s="2170"/>
      <c r="P931" s="2170"/>
      <c r="Q931" s="2170"/>
      <c r="R931" s="2170"/>
      <c r="S931" s="2170"/>
      <c r="T931" s="2171"/>
      <c r="U931" s="2157" t="s">
        <v>578</v>
      </c>
      <c r="V931" s="2158"/>
      <c r="W931" s="2158"/>
      <c r="X931" s="2158"/>
      <c r="Y931" s="2158"/>
      <c r="Z931" s="2159"/>
      <c r="AA931" s="2163">
        <v>820000</v>
      </c>
      <c r="AB931" s="2164"/>
      <c r="AC931" s="2164"/>
      <c r="AD931" s="2164"/>
      <c r="AE931" s="2164"/>
      <c r="AF931" s="216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5" t="s">
        <v>343</v>
      </c>
      <c r="J932" s="2176"/>
      <c r="K932" s="2176"/>
      <c r="L932" s="2176"/>
      <c r="M932" s="2176"/>
      <c r="N932" s="2176"/>
      <c r="O932" s="2176"/>
      <c r="P932" s="2176"/>
      <c r="Q932" s="2176"/>
      <c r="R932" s="2176"/>
      <c r="S932" s="2176"/>
      <c r="T932" s="2177"/>
      <c r="U932" s="2157" t="s">
        <v>626</v>
      </c>
      <c r="V932" s="2158"/>
      <c r="W932" s="2158"/>
      <c r="X932" s="2158"/>
      <c r="Y932" s="2158"/>
      <c r="Z932" s="2159"/>
      <c r="AA932" s="2163"/>
      <c r="AB932" s="2164"/>
      <c r="AC932" s="2164"/>
      <c r="AD932" s="2164"/>
      <c r="AE932" s="2164"/>
      <c r="AF932" s="216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9" t="s">
        <v>2598</v>
      </c>
      <c r="J933" s="2176"/>
      <c r="K933" s="2176"/>
      <c r="L933" s="2176"/>
      <c r="M933" s="2176"/>
      <c r="N933" s="2176"/>
      <c r="O933" s="2176"/>
      <c r="P933" s="2176"/>
      <c r="Q933" s="2176"/>
      <c r="R933" s="2176"/>
      <c r="S933" s="2176"/>
      <c r="T933" s="2177"/>
      <c r="U933" s="2157" t="s">
        <v>578</v>
      </c>
      <c r="V933" s="2158"/>
      <c r="W933" s="2158"/>
      <c r="X933" s="2158"/>
      <c r="Y933" s="2158"/>
      <c r="Z933" s="2159"/>
      <c r="AA933" s="2163">
        <v>2157893</v>
      </c>
      <c r="AB933" s="2164"/>
      <c r="AC933" s="2164"/>
      <c r="AD933" s="2164"/>
      <c r="AE933" s="2164"/>
      <c r="AF933" s="216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5" t="s">
        <v>343</v>
      </c>
      <c r="J934" s="2176"/>
      <c r="K934" s="2176"/>
      <c r="L934" s="2176"/>
      <c r="M934" s="2176"/>
      <c r="N934" s="2176"/>
      <c r="O934" s="2176"/>
      <c r="P934" s="2176"/>
      <c r="Q934" s="2176"/>
      <c r="R934" s="2176"/>
      <c r="S934" s="2176"/>
      <c r="T934" s="2177"/>
      <c r="U934" s="2157" t="s">
        <v>626</v>
      </c>
      <c r="V934" s="2158"/>
      <c r="W934" s="2158"/>
      <c r="X934" s="2158"/>
      <c r="Y934" s="2158"/>
      <c r="Z934" s="2159"/>
      <c r="AA934" s="2163"/>
      <c r="AB934" s="2164"/>
      <c r="AC934" s="2164"/>
      <c r="AD934" s="2164"/>
      <c r="AE934" s="2164"/>
      <c r="AF934" s="216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c r="N939" s="2180"/>
      <c r="O939" s="2180"/>
      <c r="P939" s="2180"/>
      <c r="Q939" s="2180"/>
      <c r="R939" s="2180"/>
      <c r="S939" s="2181"/>
      <c r="U939" s="103" t="s">
        <v>11</v>
      </c>
      <c r="V939" s="77"/>
      <c r="W939" s="77"/>
      <c r="X939" s="77"/>
      <c r="Y939" s="77"/>
      <c r="Z939" s="77"/>
      <c r="AA939" s="77"/>
      <c r="AB939" s="77"/>
      <c r="AC939" s="77"/>
      <c r="AD939" s="78"/>
      <c r="AE939" s="2325"/>
      <c r="AF939" s="2180"/>
      <c r="AG939" s="2180"/>
      <c r="AH939" s="2180"/>
      <c r="AI939" s="2180"/>
      <c r="AJ939" s="2180"/>
      <c r="AK939" s="218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1"/>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4" t="s">
        <v>316</v>
      </c>
      <c r="K941" s="2335"/>
      <c r="L941" s="2335"/>
      <c r="M941" s="2335"/>
      <c r="N941" s="2335"/>
      <c r="O941" s="2335"/>
      <c r="P941" s="2335"/>
      <c r="Q941" s="2335"/>
      <c r="R941" s="2335"/>
      <c r="S941" s="2336"/>
      <c r="U941" s="103" t="s">
        <v>945</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4"/>
      <c r="N942" s="2155"/>
      <c r="O942" s="2155"/>
      <c r="P942" s="2155"/>
      <c r="Q942" s="2155"/>
      <c r="R942" s="2155"/>
      <c r="S942" s="2156"/>
      <c r="U942" s="103" t="s">
        <v>13</v>
      </c>
      <c r="V942" s="77"/>
      <c r="W942" s="77"/>
      <c r="X942" s="77"/>
      <c r="Y942" s="77"/>
      <c r="Z942" s="77"/>
      <c r="AA942" s="77"/>
      <c r="AB942" s="77"/>
      <c r="AC942" s="77"/>
      <c r="AD942" s="78"/>
      <c r="AE942" s="2354"/>
      <c r="AF942" s="2155"/>
      <c r="AG942" s="2155"/>
      <c r="AH942" s="2155"/>
      <c r="AI942" s="2155"/>
      <c r="AJ942" s="2155"/>
      <c r="AK942" s="215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1"/>
      <c r="N943" s="2332"/>
      <c r="O943" s="2332"/>
      <c r="P943" s="2332"/>
      <c r="Q943" s="2332"/>
      <c r="R943" s="2332"/>
      <c r="S943" s="2333"/>
      <c r="U943" s="103" t="s">
        <v>14</v>
      </c>
      <c r="V943" s="77"/>
      <c r="W943" s="77"/>
      <c r="X943" s="77"/>
      <c r="Y943" s="77"/>
      <c r="Z943" s="77"/>
      <c r="AA943" s="77"/>
      <c r="AB943" s="77"/>
      <c r="AC943" s="77"/>
      <c r="AD943" s="78"/>
      <c r="AE943" s="2331"/>
      <c r="AF943" s="2332"/>
      <c r="AG943" s="2332"/>
      <c r="AH943" s="2332"/>
      <c r="AI943" s="2332"/>
      <c r="AJ943" s="2332"/>
      <c r="AK943" s="23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3"/>
      <c r="N944" s="2164"/>
      <c r="O944" s="2164"/>
      <c r="P944" s="2164"/>
      <c r="Q944" s="2164"/>
      <c r="R944" s="2164"/>
      <c r="S944" s="2165"/>
      <c r="U944" s="103" t="s">
        <v>15</v>
      </c>
      <c r="V944" s="77"/>
      <c r="W944" s="77"/>
      <c r="X944" s="77"/>
      <c r="Y944" s="77"/>
      <c r="Z944" s="77"/>
      <c r="AA944" s="77"/>
      <c r="AB944" s="77"/>
      <c r="AC944" s="77"/>
      <c r="AD944" s="78"/>
      <c r="AE944" s="2163"/>
      <c r="AF944" s="2164"/>
      <c r="AG944" s="2164"/>
      <c r="AH944" s="2164"/>
      <c r="AI944" s="2164"/>
      <c r="AJ944" s="2164"/>
      <c r="AK944" s="216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3"/>
      <c r="N945" s="2164"/>
      <c r="O945" s="2164"/>
      <c r="P945" s="2164"/>
      <c r="Q945" s="2164"/>
      <c r="R945" s="2164"/>
      <c r="S945" s="2165"/>
      <c r="U945" s="103" t="s">
        <v>16</v>
      </c>
      <c r="V945" s="77"/>
      <c r="W945" s="77"/>
      <c r="X945" s="77"/>
      <c r="Y945" s="77"/>
      <c r="Z945" s="77"/>
      <c r="AA945" s="77"/>
      <c r="AB945" s="77"/>
      <c r="AC945" s="77"/>
      <c r="AD945" s="78"/>
      <c r="AE945" s="2163"/>
      <c r="AF945" s="2164"/>
      <c r="AG945" s="2164"/>
      <c r="AH945" s="2164"/>
      <c r="AI945" s="2164"/>
      <c r="AJ945" s="2164"/>
      <c r="AK945" s="216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5"/>
      <c r="N946" s="2046"/>
      <c r="O946" s="2046"/>
      <c r="P946" s="2046"/>
      <c r="Q946" s="2046"/>
      <c r="R946" s="2046"/>
      <c r="S946" s="2047"/>
      <c r="U946" s="103" t="s">
        <v>605</v>
      </c>
      <c r="V946" s="77"/>
      <c r="W946" s="77"/>
      <c r="X946" s="77"/>
      <c r="Y946" s="77"/>
      <c r="Z946" s="77"/>
      <c r="AA946" s="77"/>
      <c r="AB946" s="77"/>
      <c r="AC946" s="77"/>
      <c r="AD946" s="78"/>
      <c r="AE946" s="2045"/>
      <c r="AF946" s="2046"/>
      <c r="AG946" s="2046"/>
      <c r="AH946" s="2046"/>
      <c r="AI946" s="2046"/>
      <c r="AJ946" s="2046"/>
      <c r="AK946" s="204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6"/>
      <c r="N951" s="2147"/>
      <c r="O951" s="2147"/>
      <c r="P951" s="2147"/>
      <c r="Q951" s="2147"/>
      <c r="R951" s="2147"/>
      <c r="S951" s="2148"/>
      <c r="T951" s="103" t="s">
        <v>848</v>
      </c>
      <c r="U951" s="77"/>
      <c r="V951" s="77"/>
      <c r="W951" s="77"/>
      <c r="X951" s="77"/>
      <c r="Y951" s="77"/>
      <c r="Z951" s="78"/>
      <c r="AA951" s="2146"/>
      <c r="AB951" s="2147"/>
      <c r="AC951" s="2147"/>
      <c r="AD951" s="2147"/>
      <c r="AE951" s="2147"/>
      <c r="AF951" s="2147"/>
      <c r="AG951" s="214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6"/>
      <c r="N952" s="2147"/>
      <c r="O952" s="2147"/>
      <c r="P952" s="2147"/>
      <c r="Q952" s="2147"/>
      <c r="R952" s="2147"/>
      <c r="S952" s="2148"/>
      <c r="T952" s="103" t="s">
        <v>847</v>
      </c>
      <c r="U952" s="77"/>
      <c r="V952" s="77"/>
      <c r="W952" s="77"/>
      <c r="X952" s="77"/>
      <c r="Y952" s="77"/>
      <c r="Z952" s="78"/>
      <c r="AA952" s="2146"/>
      <c r="AB952" s="2147"/>
      <c r="AC952" s="2147"/>
      <c r="AD952" s="2147"/>
      <c r="AE952" s="2147"/>
      <c r="AF952" s="2147"/>
      <c r="AG952" s="214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146"/>
      <c r="AB953" s="2147"/>
      <c r="AC953" s="2147"/>
      <c r="AD953" s="2147"/>
      <c r="AE953" s="2147"/>
      <c r="AF953" s="2147"/>
      <c r="AG953" s="214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6"/>
      <c r="N954" s="2147"/>
      <c r="O954" s="2147"/>
      <c r="P954" s="2147"/>
      <c r="Q954" s="2147"/>
      <c r="R954" s="2147"/>
      <c r="S954" s="2148"/>
      <c r="T954" s="76" t="s">
        <v>347</v>
      </c>
      <c r="U954" s="77"/>
      <c r="V954" s="77"/>
      <c r="W954" s="77"/>
      <c r="X954" s="77"/>
      <c r="Y954" s="77"/>
      <c r="Z954" s="78"/>
      <c r="AA954" s="2146"/>
      <c r="AB954" s="2147"/>
      <c r="AC954" s="2147"/>
      <c r="AD954" s="2147"/>
      <c r="AE954" s="2147"/>
      <c r="AF954" s="2147"/>
      <c r="AG954" s="214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6"/>
      <c r="N955" s="2147"/>
      <c r="O955" s="2147"/>
      <c r="P955" s="2147"/>
      <c r="Q955" s="2147"/>
      <c r="R955" s="2147"/>
      <c r="S955" s="2148"/>
      <c r="T955" s="76" t="s">
        <v>394</v>
      </c>
      <c r="U955" s="77"/>
      <c r="V955" s="77"/>
      <c r="W955" s="77"/>
      <c r="X955" s="77"/>
      <c r="Y955" s="77"/>
      <c r="Z955" s="78"/>
      <c r="AA955" s="2146"/>
      <c r="AB955" s="2147"/>
      <c r="AC955" s="2147"/>
      <c r="AD955" s="2147"/>
      <c r="AE955" s="2147"/>
      <c r="AF955" s="2147"/>
      <c r="AG955" s="214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2" t="s">
        <v>316</v>
      </c>
      <c r="N956" s="2343"/>
      <c r="O956" s="2343"/>
      <c r="P956" s="2343"/>
      <c r="Q956" s="2343"/>
      <c r="R956" s="2343"/>
      <c r="S956" s="2344"/>
      <c r="T956" s="2166"/>
      <c r="U956" s="2167"/>
      <c r="V956" s="2167"/>
      <c r="W956" s="2167"/>
      <c r="X956" s="2167"/>
      <c r="Y956" s="2167"/>
      <c r="Z956" s="2168"/>
      <c r="AA956" s="2146"/>
      <c r="AB956" s="2147"/>
      <c r="AC956" s="2147"/>
      <c r="AD956" s="2147"/>
      <c r="AE956" s="2147"/>
      <c r="AF956" s="2147"/>
      <c r="AG956" s="214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6"/>
      <c r="N957" s="2147"/>
      <c r="O957" s="2147"/>
      <c r="P957" s="2147"/>
      <c r="Q957" s="2147"/>
      <c r="R957" s="2147"/>
      <c r="S957" s="2148"/>
      <c r="T957" s="2166"/>
      <c r="U957" s="2167"/>
      <c r="V957" s="2167"/>
      <c r="W957" s="2167"/>
      <c r="X957" s="2167"/>
      <c r="Y957" s="2167"/>
      <c r="Z957" s="2168"/>
      <c r="AA957" s="2146"/>
      <c r="AB957" s="2147"/>
      <c r="AC957" s="2147"/>
      <c r="AD957" s="2147"/>
      <c r="AE957" s="2147"/>
      <c r="AF957" s="2147"/>
      <c r="AG957" s="214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6" t="s">
        <v>706</v>
      </c>
      <c r="P958" s="2327"/>
      <c r="Q958" s="139"/>
      <c r="R958" s="139"/>
      <c r="S958" s="140"/>
      <c r="T958" s="71" t="s">
        <v>175</v>
      </c>
      <c r="U958" s="72"/>
      <c r="V958" s="72"/>
      <c r="W958" s="2178" t="s">
        <v>343</v>
      </c>
      <c r="X958" s="2149"/>
      <c r="Y958" s="2149"/>
      <c r="Z958" s="2149"/>
      <c r="AA958" s="2149"/>
      <c r="AB958" s="2149"/>
      <c r="AC958" s="2149"/>
      <c r="AD958" s="2149"/>
      <c r="AE958" s="2149"/>
      <c r="AF958" s="2149"/>
      <c r="AG958" s="215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1" t="s">
        <v>34</v>
      </c>
      <c r="G959" s="2212"/>
      <c r="H959" s="2212"/>
      <c r="I959" s="2212"/>
      <c r="J959" s="2212"/>
      <c r="K959" s="2212"/>
      <c r="L959" s="2212"/>
      <c r="M959" s="2146"/>
      <c r="N959" s="2147"/>
      <c r="O959" s="2147"/>
      <c r="P959" s="2147"/>
      <c r="Q959" s="2147"/>
      <c r="R959" s="2147"/>
      <c r="S959" s="2148"/>
      <c r="T959" s="79"/>
      <c r="U959" s="80"/>
      <c r="V959" s="80"/>
      <c r="W959" s="80"/>
      <c r="X959" s="80"/>
      <c r="Y959" s="80"/>
      <c r="Z959" s="188" t="s">
        <v>139</v>
      </c>
      <c r="AA959" s="2160"/>
      <c r="AB959" s="2161"/>
      <c r="AC959" s="2161"/>
      <c r="AD959" s="2161"/>
      <c r="AE959" s="2161"/>
      <c r="AF959" s="2161"/>
      <c r="AG959" s="21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1" t="s">
        <v>581</v>
      </c>
      <c r="B963" s="2221"/>
      <c r="C963" s="2221"/>
      <c r="D963" s="2221"/>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1"/>
      <c r="AF963" s="2221"/>
      <c r="AG963" s="2221"/>
      <c r="AH963" s="2221"/>
      <c r="AI963" s="2221"/>
      <c r="AJ963" s="2221"/>
      <c r="AK963" s="2221"/>
      <c r="AL963" s="2221"/>
      <c r="AM963" s="2221"/>
      <c r="AN963" s="2221"/>
      <c r="AO963" s="2221"/>
      <c r="AP963" s="2221"/>
      <c r="AQ963" s="2221"/>
      <c r="AR963" s="2221"/>
      <c r="AS963" s="22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1"/>
      <c r="B964" s="2221"/>
      <c r="C964" s="2221"/>
      <c r="D964" s="2221"/>
      <c r="E964" s="2221"/>
      <c r="F964" s="2221"/>
      <c r="G964" s="2221"/>
      <c r="H964" s="2221"/>
      <c r="I964" s="2221"/>
      <c r="J964" s="2221"/>
      <c r="K964" s="2221"/>
      <c r="L964" s="2221"/>
      <c r="M964" s="2221"/>
      <c r="N964" s="2221"/>
      <c r="O964" s="2221"/>
      <c r="P964" s="2221"/>
      <c r="Q964" s="2221"/>
      <c r="R964" s="2221"/>
      <c r="S964" s="2221"/>
      <c r="T964" s="2221"/>
      <c r="U964" s="2221"/>
      <c r="V964" s="2221"/>
      <c r="W964" s="2221"/>
      <c r="X964" s="2221"/>
      <c r="Y964" s="2221"/>
      <c r="Z964" s="2221"/>
      <c r="AA964" s="2221"/>
      <c r="AB964" s="2221"/>
      <c r="AC964" s="2221"/>
      <c r="AD964" s="2221"/>
      <c r="AE964" s="2221"/>
      <c r="AF964" s="2221"/>
      <c r="AG964" s="2221"/>
      <c r="AH964" s="2221"/>
      <c r="AI964" s="2221"/>
      <c r="AJ964" s="2221"/>
      <c r="AK964" s="2221"/>
      <c r="AL964" s="2221"/>
      <c r="AM964" s="2221"/>
      <c r="AN964" s="2221"/>
      <c r="AO964" s="2221"/>
      <c r="AP964" s="2221"/>
      <c r="AQ964" s="2221"/>
      <c r="AR964" s="2221"/>
      <c r="AS964" s="22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30"/>
      <c r="D968" s="2110" t="s">
        <v>673</v>
      </c>
      <c r="E968" s="2111"/>
      <c r="F968" s="2111"/>
      <c r="G968" s="2111"/>
      <c r="H968" s="2111"/>
      <c r="I968" s="2111"/>
      <c r="J968" s="2111"/>
      <c r="K968" s="2111"/>
      <c r="L968" s="2111"/>
      <c r="M968" s="2111"/>
      <c r="N968" s="2111"/>
      <c r="O968" s="2111"/>
      <c r="P968" s="2111"/>
      <c r="Q968" s="2112"/>
      <c r="R968" s="2110" t="s">
        <v>674</v>
      </c>
      <c r="S968" s="2111"/>
      <c r="T968" s="2111"/>
      <c r="U968" s="2111"/>
      <c r="V968" s="2111"/>
      <c r="W968" s="2111"/>
      <c r="X968" s="2111"/>
      <c r="Y968" s="2111"/>
      <c r="Z968" s="2111"/>
      <c r="AA968" s="2112"/>
      <c r="AB968" s="2110" t="s">
        <v>675</v>
      </c>
      <c r="AC968" s="2111"/>
      <c r="AD968" s="2111"/>
      <c r="AE968" s="2111"/>
      <c r="AF968" s="2111"/>
      <c r="AG968" s="2111"/>
      <c r="AH968" s="2111"/>
      <c r="AI968" s="2112"/>
      <c r="AJ968" s="2110" t="s">
        <v>676</v>
      </c>
      <c r="AK968" s="2111"/>
      <c r="AL968" s="2111"/>
      <c r="AM968" s="2111"/>
      <c r="AN968" s="2111"/>
      <c r="AO968" s="2111"/>
      <c r="AP968" s="2111"/>
      <c r="AQ968" s="2112"/>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2">
      <c r="B969" s="110"/>
      <c r="C969" s="1531"/>
      <c r="D969" s="2113" t="s">
        <v>668</v>
      </c>
      <c r="E969" s="2114"/>
      <c r="F969" s="2114"/>
      <c r="G969" s="2114"/>
      <c r="H969" s="2114"/>
      <c r="I969" s="2114"/>
      <c r="J969" s="2114"/>
      <c r="K969" s="2114"/>
      <c r="L969" s="2114"/>
      <c r="M969" s="2114"/>
      <c r="N969" s="2114"/>
      <c r="O969" s="2114"/>
      <c r="P969" s="2114"/>
      <c r="Q969" s="2115"/>
      <c r="R969" s="2109">
        <f>IF(ISNA(IF($BN$799="4%",(INDEX($BP$809:$BT$866,MATCH($CB$799,$BO$809:$BO$866,0),MATCH(D969,$BP$808:$BT$808,0))),(INDEX($BW$809:$CA$866,MATCH($CB$799,$BV$809:$BV$866,0),MATCH(D969,$BW$808:$CA$808,0))))),0,IF($BN$799="4%",(INDEX($BP$809:$BT$866,MATCH($CB$799,$BO$809:$BO$866,0),MATCH(D969,$BP$808:$BT$808,0))),(INDEX($BW$809:$CA$866,MATCH($CB$799,$BV$809:$BV$866,0),MATCH(D969,$BW$808:$CA$808,0)))))</f>
        <v>278397</v>
      </c>
      <c r="S969" s="2109"/>
      <c r="T969" s="2109"/>
      <c r="U969" s="2109"/>
      <c r="V969" s="2109"/>
      <c r="W969" s="2109"/>
      <c r="X969" s="2109"/>
      <c r="Y969" s="2109"/>
      <c r="Z969" s="2109"/>
      <c r="AA969" s="2109"/>
      <c r="AB969" s="2042">
        <f>BN663</f>
        <v>0</v>
      </c>
      <c r="AC969" s="2043"/>
      <c r="AD969" s="2043"/>
      <c r="AE969" s="2043"/>
      <c r="AF969" s="2043"/>
      <c r="AG969" s="2043"/>
      <c r="AH969" s="2043"/>
      <c r="AI969" s="2044"/>
      <c r="AJ969" s="2090">
        <f>IF(ISERROR((R969*AB969)),0,(R969*AB969))</f>
        <v>0</v>
      </c>
      <c r="AK969" s="2091"/>
      <c r="AL969" s="2091"/>
      <c r="AM969" s="2091"/>
      <c r="AN969" s="2091"/>
      <c r="AO969" s="2091"/>
      <c r="AP969" s="2091"/>
      <c r="AQ969" s="2092"/>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2">
      <c r="B970" s="110"/>
      <c r="C970" s="1532"/>
      <c r="D970" s="2113" t="s">
        <v>334</v>
      </c>
      <c r="E970" s="2114"/>
      <c r="F970" s="2114"/>
      <c r="G970" s="2114"/>
      <c r="H970" s="2114"/>
      <c r="I970" s="2114"/>
      <c r="J970" s="2114"/>
      <c r="K970" s="2114"/>
      <c r="L970" s="2114"/>
      <c r="M970" s="2114"/>
      <c r="N970" s="2114"/>
      <c r="O970" s="2114"/>
      <c r="P970" s="2114"/>
      <c r="Q970" s="2115"/>
      <c r="R970" s="2109">
        <f>IF(ISNA(IF($BN$799="4%",(INDEX($BP$809:$BT$866,MATCH($CB$799,$BO$809:$BO$866,0),MATCH(D970,$BP$808:$BT$808,0))),(INDEX($BW$809:$CA$866,MATCH($CB$799,$BV$809:$BV$866,0),MATCH(D970,$BW$808:$CA$808,0))))),0,IF($BN$799="4%",(INDEX($BP$809:$BT$866,MATCH($CB$799,$BO$809:$BO$866,0),MATCH(D970,$BP$808:$BT$808,0))),(INDEX($BW$809:$CA$866,MATCH($CB$799,$BV$809:$BV$866,0),MATCH(D970,$BW$808:$CA$808,0)))))</f>
        <v>320989</v>
      </c>
      <c r="S970" s="2109"/>
      <c r="T970" s="2109"/>
      <c r="U970" s="2109"/>
      <c r="V970" s="2109"/>
      <c r="W970" s="2109"/>
      <c r="X970" s="2109"/>
      <c r="Y970" s="2109"/>
      <c r="Z970" s="2109"/>
      <c r="AA970" s="2109"/>
      <c r="AB970" s="2042">
        <f>BS663</f>
        <v>12</v>
      </c>
      <c r="AC970" s="2043"/>
      <c r="AD970" s="2043"/>
      <c r="AE970" s="2043"/>
      <c r="AF970" s="2043"/>
      <c r="AG970" s="2043"/>
      <c r="AH970" s="2043"/>
      <c r="AI970" s="2044"/>
      <c r="AJ970" s="2090">
        <f>IF(ISERROR((R970*AB970)),0,(R970*AB970))</f>
        <v>3851868</v>
      </c>
      <c r="AK970" s="2091"/>
      <c r="AL970" s="2091"/>
      <c r="AM970" s="2091"/>
      <c r="AN970" s="2091"/>
      <c r="AO970" s="2091"/>
      <c r="AP970" s="2091"/>
      <c r="AQ970" s="2092"/>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3" t="s">
        <v>168</v>
      </c>
      <c r="E971" s="2114"/>
      <c r="F971" s="2114"/>
      <c r="G971" s="2114"/>
      <c r="H971" s="2114"/>
      <c r="I971" s="2114"/>
      <c r="J971" s="2114"/>
      <c r="K971" s="2114"/>
      <c r="L971" s="2114"/>
      <c r="M971" s="2114"/>
      <c r="N971" s="2114"/>
      <c r="O971" s="2114"/>
      <c r="P971" s="2114"/>
      <c r="Q971" s="2115"/>
      <c r="R971" s="2109">
        <f>IF(ISNA(IF($BN$799="4%",(INDEX($BP$809:$BT$866,MATCH($CB$799,$BO$809:$BO$866,0),MATCH(D971,$BP$808:$BT$808,0))),(INDEX($BW$809:$CA$866,MATCH($CB$799,$BV$809:$BV$866,0),MATCH(D971,$BW$808:$CA$808,0))))),0,IF($BN$799="4%",(INDEX($BP$809:$BT$866,MATCH($CB$799,$BO$809:$BO$866,0),MATCH(D971,$BP$808:$BT$808,0))),(INDEX($BW$809:$CA$866,MATCH($CB$799,$BV$809:$BV$866,0),MATCH(D971,$BW$808:$CA$808,0)))))</f>
        <v>387200</v>
      </c>
      <c r="S971" s="2109"/>
      <c r="T971" s="2109"/>
      <c r="U971" s="2109"/>
      <c r="V971" s="2109"/>
      <c r="W971" s="2109"/>
      <c r="X971" s="2109"/>
      <c r="Y971" s="2109"/>
      <c r="Z971" s="2109"/>
      <c r="AA971" s="2109"/>
      <c r="AB971" s="2042">
        <f>BX663</f>
        <v>42</v>
      </c>
      <c r="AC971" s="2043"/>
      <c r="AD971" s="2043"/>
      <c r="AE971" s="2043"/>
      <c r="AF971" s="2043"/>
      <c r="AG971" s="2043"/>
      <c r="AH971" s="2043"/>
      <c r="AI971" s="2044"/>
      <c r="AJ971" s="2090">
        <f>IF(ISERROR((R971*AB971)),0,(R971*AB971))</f>
        <v>16262400</v>
      </c>
      <c r="AK971" s="2091"/>
      <c r="AL971" s="2091"/>
      <c r="AM971" s="2091"/>
      <c r="AN971" s="2091"/>
      <c r="AO971" s="2091"/>
      <c r="AP971" s="2091"/>
      <c r="AQ971" s="2092"/>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2">
      <c r="B972" s="110"/>
      <c r="C972" s="1532"/>
      <c r="D972" s="2113" t="s">
        <v>169</v>
      </c>
      <c r="E972" s="2114"/>
      <c r="F972" s="2114"/>
      <c r="G972" s="2114"/>
      <c r="H972" s="2114"/>
      <c r="I972" s="2114"/>
      <c r="J972" s="2114"/>
      <c r="K972" s="2114"/>
      <c r="L972" s="2114"/>
      <c r="M972" s="2114"/>
      <c r="N972" s="2114"/>
      <c r="O972" s="2114"/>
      <c r="P972" s="2114"/>
      <c r="Q972" s="2115"/>
      <c r="R972" s="2109">
        <f>IF(ISNA(IF($BN$799="4%",(INDEX($BP$809:$BT$866,MATCH($CB$799,$BO$809:$BO$866,0),MATCH(D972,$BP$808:$BT$808,0))),(INDEX($BW$809:$CA$866,MATCH($CB$799,$BV$809:$BV$866,0),MATCH(D972,$BW$808:$CA$808,0))))),0,IF($BN$799="4%",(INDEX($BP$809:$BT$866,MATCH($CB$799,$BO$809:$BO$866,0),MATCH(D972,$BP$808:$BT$808,0))),(INDEX($BW$809:$CA$866,MATCH($CB$799,$BV$809:$BV$866,0),MATCH(D972,$BW$808:$CA$808,0)))))</f>
        <v>495616</v>
      </c>
      <c r="S972" s="2109"/>
      <c r="T972" s="2109"/>
      <c r="U972" s="2109"/>
      <c r="V972" s="2109"/>
      <c r="W972" s="2109"/>
      <c r="X972" s="2109"/>
      <c r="Y972" s="2109"/>
      <c r="Z972" s="2109"/>
      <c r="AA972" s="2109"/>
      <c r="AB972" s="2042">
        <f>CC663</f>
        <v>28</v>
      </c>
      <c r="AC972" s="2043"/>
      <c r="AD972" s="2043"/>
      <c r="AE972" s="2043"/>
      <c r="AF972" s="2043"/>
      <c r="AG972" s="2043"/>
      <c r="AH972" s="2043"/>
      <c r="AI972" s="2044"/>
      <c r="AJ972" s="2090">
        <f>IF(ISERROR((R972*AB972)),0,(R972*AB972))</f>
        <v>13877248</v>
      </c>
      <c r="AK972" s="2091"/>
      <c r="AL972" s="2091"/>
      <c r="AM972" s="2091"/>
      <c r="AN972" s="2091"/>
      <c r="AO972" s="2091"/>
      <c r="AP972" s="2091"/>
      <c r="AQ972" s="2092"/>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3" t="s">
        <v>493</v>
      </c>
      <c r="E973" s="2114"/>
      <c r="F973" s="2114"/>
      <c r="G973" s="2114"/>
      <c r="H973" s="2114"/>
      <c r="I973" s="2114"/>
      <c r="J973" s="2114"/>
      <c r="K973" s="2114"/>
      <c r="L973" s="2114"/>
      <c r="M973" s="2114"/>
      <c r="N973" s="2114"/>
      <c r="O973" s="2114"/>
      <c r="P973" s="2114"/>
      <c r="Q973" s="2115"/>
      <c r="R973" s="2109">
        <f>IF(ISNA(IF($BN$799="4%",(INDEX($BP$809:$BT$866,MATCH($CB$799,$BO$809:$BO$866,0),MATCH(D973,$BP$808:$BT$808,0))),(INDEX($BW$809:$CA$866,MATCH($CB$799,$BV$809:$BV$866,0),MATCH(D973,$BW$808:$CA$808,0))))),0,IF($BN$799="4%",(INDEX($BP$809:$BT$866,MATCH($CB$799,$BO$809:$BO$866,0),MATCH(D973,$BP$808:$BT$808,0))),(INDEX($BW$809:$CA$866,MATCH($CB$799,$BV$809:$BV$866,0),MATCH(D973,$BW$808:$CA$808,0)))))</f>
        <v>552147</v>
      </c>
      <c r="S973" s="2109"/>
      <c r="T973" s="2109"/>
      <c r="U973" s="2109"/>
      <c r="V973" s="2109"/>
      <c r="W973" s="2109"/>
      <c r="X973" s="2109"/>
      <c r="Y973" s="2109"/>
      <c r="Z973" s="2109"/>
      <c r="AA973" s="2109"/>
      <c r="AB973" s="2042">
        <f>CM663+CH663</f>
        <v>0</v>
      </c>
      <c r="AC973" s="2043"/>
      <c r="AD973" s="2043"/>
      <c r="AE973" s="2043"/>
      <c r="AF973" s="2043"/>
      <c r="AG973" s="2043"/>
      <c r="AH973" s="2043"/>
      <c r="AI973" s="2044"/>
      <c r="AJ973" s="2090">
        <f>IF(ISERROR((R973*AB973)),0,(R973*AB973))</f>
        <v>0</v>
      </c>
      <c r="AK973" s="2091"/>
      <c r="AL973" s="2091"/>
      <c r="AM973" s="2091"/>
      <c r="AN973" s="2091"/>
      <c r="AO973" s="2091"/>
      <c r="AP973" s="2091"/>
      <c r="AQ973" s="2092"/>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1" t="s">
        <v>849</v>
      </c>
      <c r="C974" s="2132"/>
      <c r="D974" s="2132"/>
      <c r="E974" s="2132"/>
      <c r="F974" s="2132"/>
      <c r="G974" s="2132"/>
      <c r="H974" s="2132"/>
      <c r="I974" s="2132"/>
      <c r="J974" s="2132"/>
      <c r="K974" s="2132"/>
      <c r="L974" s="2132"/>
      <c r="M974" s="2132"/>
      <c r="N974" s="2132"/>
      <c r="O974" s="2132"/>
      <c r="P974" s="2132"/>
      <c r="Q974" s="2132"/>
      <c r="R974" s="2132"/>
      <c r="S974" s="2132"/>
      <c r="T974" s="2132"/>
      <c r="U974" s="2132"/>
      <c r="V974" s="2132"/>
      <c r="W974" s="2132"/>
      <c r="X974" s="2132"/>
      <c r="Y974" s="2132"/>
      <c r="Z974" s="2132"/>
      <c r="AA974" s="2133"/>
      <c r="AB974" s="2042">
        <f>SUM(AB969:AI973)</f>
        <v>82</v>
      </c>
      <c r="AC974" s="2043"/>
      <c r="AD974" s="2043"/>
      <c r="AE974" s="2043"/>
      <c r="AF974" s="2043"/>
      <c r="AG974" s="2043"/>
      <c r="AH974" s="2043"/>
      <c r="AI974" s="2044"/>
      <c r="AJ974" s="2090"/>
      <c r="AK974" s="2091"/>
      <c r="AL974" s="2091"/>
      <c r="AM974" s="2091"/>
      <c r="AN974" s="2091"/>
      <c r="AO974" s="2091"/>
      <c r="AP974" s="2091"/>
      <c r="AQ974" s="2092"/>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5" customHeight="1">
      <c r="A975" s="51"/>
      <c r="B975" s="2087" t="s">
        <v>545</v>
      </c>
      <c r="C975" s="2088"/>
      <c r="D975" s="2088"/>
      <c r="E975" s="2088"/>
      <c r="F975" s="2088"/>
      <c r="G975" s="2088"/>
      <c r="H975" s="2088"/>
      <c r="I975" s="2088"/>
      <c r="J975" s="2088"/>
      <c r="K975" s="2088"/>
      <c r="L975" s="2088"/>
      <c r="M975" s="2088"/>
      <c r="N975" s="2088"/>
      <c r="O975" s="2088"/>
      <c r="P975" s="2088"/>
      <c r="Q975" s="2088"/>
      <c r="R975" s="2088"/>
      <c r="S975" s="2088"/>
      <c r="T975" s="2088"/>
      <c r="U975" s="2088"/>
      <c r="V975" s="2088"/>
      <c r="W975" s="2088"/>
      <c r="X975" s="2088"/>
      <c r="Y975" s="2088"/>
      <c r="Z975" s="2088"/>
      <c r="AA975" s="2088"/>
      <c r="AB975" s="2088"/>
      <c r="AC975" s="2088"/>
      <c r="AD975" s="2088"/>
      <c r="AE975" s="2088"/>
      <c r="AF975" s="2088"/>
      <c r="AG975" s="2088"/>
      <c r="AH975" s="2088"/>
      <c r="AI975" s="2089"/>
      <c r="AJ975" s="2090">
        <f>SUM(AJ969:AQ973)</f>
        <v>33991516</v>
      </c>
      <c r="AK975" s="2091"/>
      <c r="AL975" s="2091"/>
      <c r="AM975" s="2091"/>
      <c r="AN975" s="2091"/>
      <c r="AO975" s="2091"/>
      <c r="AP975" s="2091"/>
      <c r="AQ975" s="2092"/>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3"/>
      <c r="C976" s="2094"/>
      <c r="D976" s="2094"/>
      <c r="E976" s="2094"/>
      <c r="F976" s="2094"/>
      <c r="G976" s="2094"/>
      <c r="H976" s="2094"/>
      <c r="I976" s="2094"/>
      <c r="J976" s="2094"/>
      <c r="K976" s="2094"/>
      <c r="L976" s="2094"/>
      <c r="M976" s="2094"/>
      <c r="N976" s="2094"/>
      <c r="O976" s="2094"/>
      <c r="P976" s="2094"/>
      <c r="Q976" s="2094"/>
      <c r="R976" s="2094"/>
      <c r="S976" s="2094"/>
      <c r="T976" s="2094"/>
      <c r="U976" s="2094"/>
      <c r="V976" s="2094"/>
      <c r="W976" s="2094"/>
      <c r="X976" s="2094"/>
      <c r="Y976" s="2094"/>
      <c r="Z976" s="2094"/>
      <c r="AA976" s="2094"/>
      <c r="AB976" s="2094"/>
      <c r="AC976" s="2094"/>
      <c r="AD976" s="2094"/>
      <c r="AE976" s="2095"/>
      <c r="AF976" s="2096" t="s">
        <v>703</v>
      </c>
      <c r="AG976" s="2097"/>
      <c r="AH976" s="2097"/>
      <c r="AI976" s="2098"/>
      <c r="AJ976" s="2093"/>
      <c r="AK976" s="2094"/>
      <c r="AL976" s="2094"/>
      <c r="AM976" s="2094"/>
      <c r="AN976" s="2094"/>
      <c r="AO976" s="2094"/>
      <c r="AP976" s="2094"/>
      <c r="AQ976" s="209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3" t="s">
        <v>1427</v>
      </c>
      <c r="E977" s="2104"/>
      <c r="F977" s="2104"/>
      <c r="G977" s="2104"/>
      <c r="H977" s="2104"/>
      <c r="I977" s="2104"/>
      <c r="J977" s="2104"/>
      <c r="K977" s="2104"/>
      <c r="L977" s="2104"/>
      <c r="M977" s="2104"/>
      <c r="N977" s="2104"/>
      <c r="O977" s="2104"/>
      <c r="P977" s="2104"/>
      <c r="Q977" s="2104"/>
      <c r="R977" s="2104"/>
      <c r="S977" s="2104"/>
      <c r="T977" s="2104"/>
      <c r="U977" s="2104"/>
      <c r="V977" s="2104"/>
      <c r="W977" s="2104"/>
      <c r="X977" s="2104"/>
      <c r="Y977" s="2104"/>
      <c r="Z977" s="2104"/>
      <c r="AA977" s="2104"/>
      <c r="AB977" s="2104"/>
      <c r="AC977" s="2104"/>
      <c r="AD977" s="2104"/>
      <c r="AE977" s="2105"/>
      <c r="AF977" s="117"/>
      <c r="AG977" s="2099" t="s">
        <v>578</v>
      </c>
      <c r="AH977" s="2100"/>
      <c r="AI977" s="125"/>
      <c r="AJ977" s="2122">
        <f>ROUND(IF(AND(AG977="yes",D979&gt;0),AJ975*0.2,0),0)</f>
        <v>6798303</v>
      </c>
      <c r="AK977" s="2123"/>
      <c r="AL977" s="2123"/>
      <c r="AM977" s="2123"/>
      <c r="AN977" s="2123"/>
      <c r="AO977" s="2123"/>
      <c r="AP977" s="2123"/>
      <c r="AQ977" s="2124"/>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4" t="s">
        <v>1428</v>
      </c>
      <c r="E978" s="2135"/>
      <c r="F978" s="2135"/>
      <c r="G978" s="2135"/>
      <c r="H978" s="2135"/>
      <c r="I978" s="2135"/>
      <c r="J978" s="2135"/>
      <c r="K978" s="2135"/>
      <c r="L978" s="2135"/>
      <c r="M978" s="2135"/>
      <c r="N978" s="2135"/>
      <c r="O978" s="2135"/>
      <c r="P978" s="2135"/>
      <c r="Q978" s="2135"/>
      <c r="R978" s="2135"/>
      <c r="S978" s="2135"/>
      <c r="T978" s="2135"/>
      <c r="U978" s="2135"/>
      <c r="V978" s="2135"/>
      <c r="W978" s="2135"/>
      <c r="X978" s="2135"/>
      <c r="Y978" s="2135"/>
      <c r="Z978" s="2135"/>
      <c r="AA978" s="2135"/>
      <c r="AB978" s="2135"/>
      <c r="AC978" s="2135"/>
      <c r="AD978" s="2135"/>
      <c r="AE978" s="2136"/>
      <c r="AF978" s="110"/>
      <c r="AG978" s="112"/>
      <c r="AH978" s="112"/>
      <c r="AI978" s="121"/>
      <c r="AJ978" s="2125"/>
      <c r="AK978" s="2126"/>
      <c r="AL978" s="2126"/>
      <c r="AM978" s="2126"/>
      <c r="AN978" s="2126"/>
      <c r="AO978" s="2126"/>
      <c r="AP978" s="2126"/>
      <c r="AQ978" s="2127"/>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5" customHeight="1">
      <c r="A979" s="51"/>
      <c r="B979" s="412"/>
      <c r="C979" s="411"/>
      <c r="D979" s="2137" t="s">
        <v>2550</v>
      </c>
      <c r="E979" s="2138"/>
      <c r="F979" s="2138"/>
      <c r="G979" s="2138"/>
      <c r="H979" s="2138"/>
      <c r="I979" s="2138"/>
      <c r="J979" s="2138"/>
      <c r="K979" s="2138"/>
      <c r="L979" s="2138"/>
      <c r="M979" s="2138"/>
      <c r="N979" s="2138"/>
      <c r="O979" s="2138"/>
      <c r="P979" s="2138"/>
      <c r="Q979" s="2138"/>
      <c r="R979" s="2138"/>
      <c r="S979" s="2138"/>
      <c r="T979" s="2138"/>
      <c r="U979" s="2138"/>
      <c r="V979" s="2138"/>
      <c r="W979" s="2138"/>
      <c r="X979" s="2138"/>
      <c r="Y979" s="2138"/>
      <c r="Z979" s="2138"/>
      <c r="AA979" s="2138"/>
      <c r="AB979" s="2138"/>
      <c r="AC979" s="2138"/>
      <c r="AD979" s="2138"/>
      <c r="AE979" s="2139"/>
      <c r="AF979" s="115"/>
      <c r="AG979" s="11"/>
      <c r="AH979" s="11"/>
      <c r="AI979" s="116"/>
      <c r="AJ979" s="2128"/>
      <c r="AK979" s="2129"/>
      <c r="AL979" s="2129"/>
      <c r="AM979" s="2129"/>
      <c r="AN979" s="2129"/>
      <c r="AO979" s="2129"/>
      <c r="AP979" s="2129"/>
      <c r="AQ979" s="2130"/>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4" t="s">
        <v>1522</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01" t="s">
        <v>706</v>
      </c>
      <c r="AH980" s="2102"/>
      <c r="AI980" s="125"/>
      <c r="AJ980" s="2122">
        <f>ROUND(IF(AG980="yes",AJ975*0.05,0),0)</f>
        <v>0</v>
      </c>
      <c r="AK980" s="2123"/>
      <c r="AL980" s="2123"/>
      <c r="AM980" s="2123"/>
      <c r="AN980" s="2123"/>
      <c r="AO980" s="2123"/>
      <c r="AP980" s="2123"/>
      <c r="AQ980" s="2124"/>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5" customHeight="1">
      <c r="A981" s="51"/>
      <c r="B981" s="412"/>
      <c r="C981" s="120"/>
      <c r="D981" s="2134" t="s">
        <v>1520</v>
      </c>
      <c r="E981" s="2135"/>
      <c r="F981" s="2135"/>
      <c r="G981" s="2135"/>
      <c r="H981" s="2135"/>
      <c r="I981" s="2135"/>
      <c r="J981" s="2135"/>
      <c r="K981" s="2135"/>
      <c r="L981" s="2135"/>
      <c r="M981" s="2135"/>
      <c r="N981" s="2135"/>
      <c r="O981" s="2135"/>
      <c r="P981" s="2135"/>
      <c r="Q981" s="2135"/>
      <c r="R981" s="2135"/>
      <c r="S981" s="2135"/>
      <c r="T981" s="2135"/>
      <c r="U981" s="2135"/>
      <c r="V981" s="2135"/>
      <c r="W981" s="2135"/>
      <c r="X981" s="2135"/>
      <c r="Y981" s="2135"/>
      <c r="Z981" s="2135"/>
      <c r="AA981" s="2135"/>
      <c r="AB981" s="2135"/>
      <c r="AC981" s="2135"/>
      <c r="AD981" s="2135"/>
      <c r="AE981" s="2136"/>
      <c r="AF981" s="110"/>
      <c r="AG981" s="112"/>
      <c r="AH981" s="112"/>
      <c r="AI981" s="121"/>
      <c r="AJ981" s="2125"/>
      <c r="AK981" s="2126"/>
      <c r="AL981" s="2126"/>
      <c r="AM981" s="2126"/>
      <c r="AN981" s="2126"/>
      <c r="AO981" s="2126"/>
      <c r="AP981" s="2126"/>
      <c r="AQ981" s="2127"/>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4"/>
      <c r="E982" s="2135"/>
      <c r="F982" s="2135"/>
      <c r="G982" s="2135"/>
      <c r="H982" s="2135"/>
      <c r="I982" s="2135"/>
      <c r="J982" s="2135"/>
      <c r="K982" s="2135"/>
      <c r="L982" s="2135"/>
      <c r="M982" s="2135"/>
      <c r="N982" s="2135"/>
      <c r="O982" s="2135"/>
      <c r="P982" s="2135"/>
      <c r="Q982" s="2135"/>
      <c r="R982" s="2135"/>
      <c r="S982" s="2135"/>
      <c r="T982" s="2135"/>
      <c r="U982" s="2135"/>
      <c r="V982" s="2135"/>
      <c r="W982" s="2135"/>
      <c r="X982" s="2135"/>
      <c r="Y982" s="2135"/>
      <c r="Z982" s="2135"/>
      <c r="AA982" s="2135"/>
      <c r="AB982" s="2135"/>
      <c r="AC982" s="2135"/>
      <c r="AD982" s="2135"/>
      <c r="AE982" s="2136"/>
      <c r="AF982" s="110"/>
      <c r="AG982" s="112"/>
      <c r="AH982" s="112"/>
      <c r="AI982" s="121"/>
      <c r="AJ982" s="2125"/>
      <c r="AK982" s="2126"/>
      <c r="AL982" s="2126"/>
      <c r="AM982" s="2126"/>
      <c r="AN982" s="2126"/>
      <c r="AO982" s="2126"/>
      <c r="AP982" s="2126"/>
      <c r="AQ982" s="2127"/>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4"/>
      <c r="E983" s="2135"/>
      <c r="F983" s="2135"/>
      <c r="G983" s="2135"/>
      <c r="H983" s="2135"/>
      <c r="I983" s="2135"/>
      <c r="J983" s="2135"/>
      <c r="K983" s="2135"/>
      <c r="L983" s="2135"/>
      <c r="M983" s="2135"/>
      <c r="N983" s="2135"/>
      <c r="O983" s="2135"/>
      <c r="P983" s="2135"/>
      <c r="Q983" s="2135"/>
      <c r="R983" s="2135"/>
      <c r="S983" s="2135"/>
      <c r="T983" s="2135"/>
      <c r="U983" s="2135"/>
      <c r="V983" s="2135"/>
      <c r="W983" s="2135"/>
      <c r="X983" s="2135"/>
      <c r="Y983" s="2135"/>
      <c r="Z983" s="2135"/>
      <c r="AA983" s="2135"/>
      <c r="AB983" s="2135"/>
      <c r="AC983" s="2135"/>
      <c r="AD983" s="2135"/>
      <c r="AE983" s="2136"/>
      <c r="AF983" s="110"/>
      <c r="AG983" s="112"/>
      <c r="AH983" s="112"/>
      <c r="AI983" s="121"/>
      <c r="AJ983" s="2125"/>
      <c r="AK983" s="2126"/>
      <c r="AL983" s="2126"/>
      <c r="AM983" s="2126"/>
      <c r="AN983" s="2126"/>
      <c r="AO983" s="2126"/>
      <c r="AP983" s="2126"/>
      <c r="AQ983" s="2127"/>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4"/>
      <c r="E984" s="2135"/>
      <c r="F984" s="2135"/>
      <c r="G984" s="2135"/>
      <c r="H984" s="2135"/>
      <c r="I984" s="2135"/>
      <c r="J984" s="2135"/>
      <c r="K984" s="2135"/>
      <c r="L984" s="2135"/>
      <c r="M984" s="2135"/>
      <c r="N984" s="2135"/>
      <c r="O984" s="2135"/>
      <c r="P984" s="2135"/>
      <c r="Q984" s="2135"/>
      <c r="R984" s="2135"/>
      <c r="S984" s="2135"/>
      <c r="T984" s="2135"/>
      <c r="U984" s="2135"/>
      <c r="V984" s="2135"/>
      <c r="W984" s="2135"/>
      <c r="X984" s="2135"/>
      <c r="Y984" s="2135"/>
      <c r="Z984" s="2135"/>
      <c r="AA984" s="2135"/>
      <c r="AB984" s="2135"/>
      <c r="AC984" s="2135"/>
      <c r="AD984" s="2135"/>
      <c r="AE984" s="2136"/>
      <c r="AF984" s="110"/>
      <c r="AG984" s="112"/>
      <c r="AH984" s="112"/>
      <c r="AI984" s="121"/>
      <c r="AJ984" s="2125"/>
      <c r="AK984" s="2126"/>
      <c r="AL984" s="2126"/>
      <c r="AM984" s="2126"/>
      <c r="AN984" s="2126"/>
      <c r="AO984" s="2126"/>
      <c r="AP984" s="2126"/>
      <c r="AQ984" s="2127"/>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0"/>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115"/>
      <c r="AG985" s="11"/>
      <c r="AH985" s="11"/>
      <c r="AI985" s="116"/>
      <c r="AJ985" s="2128"/>
      <c r="AK985" s="2129"/>
      <c r="AL985" s="2129"/>
      <c r="AM985" s="2129"/>
      <c r="AN985" s="2129"/>
      <c r="AO985" s="2129"/>
      <c r="AP985" s="2129"/>
      <c r="AQ985" s="2130"/>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4" t="s">
        <v>2101</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01" t="s">
        <v>706</v>
      </c>
      <c r="AH986" s="2102"/>
      <c r="AI986" s="125"/>
      <c r="AJ986" s="2122">
        <f>ROUND(IF(AG986="yes",AJ975*0.1,0),0)</f>
        <v>0</v>
      </c>
      <c r="AK986" s="2123"/>
      <c r="AL986" s="2123"/>
      <c r="AM986" s="2123"/>
      <c r="AN986" s="2123"/>
      <c r="AO986" s="2123"/>
      <c r="AP986" s="2123"/>
      <c r="AQ986" s="2124"/>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8" t="s">
        <v>1521</v>
      </c>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c r="AA987" s="2079"/>
      <c r="AB987" s="2079"/>
      <c r="AC987" s="2079"/>
      <c r="AD987" s="2079"/>
      <c r="AE987" s="2080"/>
      <c r="AF987" s="110"/>
      <c r="AG987" s="25"/>
      <c r="AH987" s="25"/>
      <c r="AI987" s="121"/>
      <c r="AJ987" s="2125"/>
      <c r="AK987" s="2126"/>
      <c r="AL987" s="2126"/>
      <c r="AM987" s="2126"/>
      <c r="AN987" s="2126"/>
      <c r="AO987" s="2126"/>
      <c r="AP987" s="2126"/>
      <c r="AQ987" s="2127"/>
      <c r="AR987" s="1487"/>
      <c r="AS987" s="1487"/>
      <c r="AT987" s="1487"/>
      <c r="AU987" s="1487"/>
      <c r="AV987" s="1487"/>
      <c r="AW987" s="1487"/>
      <c r="AX987" s="1487"/>
      <c r="AY987" s="1487"/>
      <c r="AZ987" s="61"/>
      <c r="BA987" s="1516">
        <f>G753+O796</f>
        <v>81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8"/>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c r="AA988" s="2079"/>
      <c r="AB988" s="2079"/>
      <c r="AC988" s="2079"/>
      <c r="AD988" s="2079"/>
      <c r="AE988" s="2080"/>
      <c r="AF988" s="110"/>
      <c r="AG988" s="112"/>
      <c r="AH988" s="112"/>
      <c r="AI988" s="121"/>
      <c r="AJ988" s="2125"/>
      <c r="AK988" s="2126"/>
      <c r="AL988" s="2126"/>
      <c r="AM988" s="2126"/>
      <c r="AN988" s="2126"/>
      <c r="AO988" s="2126"/>
      <c r="AP988" s="2126"/>
      <c r="AQ988" s="2127"/>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28"/>
      <c r="AK989" s="2129"/>
      <c r="AL989" s="2129"/>
      <c r="AM989" s="2129"/>
      <c r="AN989" s="2129"/>
      <c r="AO989" s="2129"/>
      <c r="AP989" s="2129"/>
      <c r="AQ989" s="2130"/>
      <c r="AR989" s="1487"/>
      <c r="AS989" s="1487"/>
      <c r="AT989" s="1487"/>
      <c r="AU989" s="1487"/>
      <c r="AV989" s="1487"/>
      <c r="AW989" s="1487"/>
      <c r="AX989" s="1487"/>
      <c r="AY989" s="1487"/>
      <c r="AZ989" s="61"/>
      <c r="BA989" s="1515">
        <f>ROUNDDOWN(X1027/I1027,2)</f>
        <v>0.51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4" t="s">
        <v>1523</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01" t="s">
        <v>706</v>
      </c>
      <c r="AH990" s="2102"/>
      <c r="AI990" s="125"/>
      <c r="AJ990" s="2122">
        <f>ROUND(IF(AG990="yes",AJ975*0.02,0),0)</f>
        <v>0</v>
      </c>
      <c r="AK990" s="2123"/>
      <c r="AL990" s="2123"/>
      <c r="AM990" s="2123"/>
      <c r="AN990" s="2123"/>
      <c r="AO990" s="2123"/>
      <c r="AP990" s="2123"/>
      <c r="AQ990" s="2124"/>
      <c r="AR990" s="1487"/>
      <c r="AS990" s="1487"/>
      <c r="AT990" s="1487"/>
      <c r="AU990" s="1487"/>
      <c r="AV990" s="1487"/>
      <c r="AW990" s="1487"/>
      <c r="AX990" s="1487"/>
      <c r="AY990" s="1487"/>
      <c r="AZ990" s="61"/>
      <c r="BA990" s="1515">
        <f>ROUNDDOWN(X1031/I1031,2)</f>
        <v>0.23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1524</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28"/>
      <c r="AK991" s="2129"/>
      <c r="AL991" s="2129"/>
      <c r="AM991" s="2129"/>
      <c r="AN991" s="2129"/>
      <c r="AO991" s="2129"/>
      <c r="AP991" s="2129"/>
      <c r="AQ991" s="2130"/>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4" t="s">
        <v>1525</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01" t="s">
        <v>706</v>
      </c>
      <c r="AH992" s="2102"/>
      <c r="AI992" s="117"/>
      <c r="AJ992" s="2122">
        <f>ROUND(IF(AG992="yes",AJ975*0.02,0),0)</f>
        <v>0</v>
      </c>
      <c r="AK992" s="2123"/>
      <c r="AL992" s="2123"/>
      <c r="AM992" s="2123"/>
      <c r="AN992" s="2123"/>
      <c r="AO992" s="2123"/>
      <c r="AP992" s="2123"/>
      <c r="AQ992" s="2124"/>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8" t="s">
        <v>1526</v>
      </c>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c r="AA993" s="2079"/>
      <c r="AB993" s="2079"/>
      <c r="AC993" s="2079"/>
      <c r="AD993" s="2079"/>
      <c r="AE993" s="2080"/>
      <c r="AF993" s="110"/>
      <c r="AG993" s="25"/>
      <c r="AH993" s="25"/>
      <c r="AI993" s="112"/>
      <c r="AJ993" s="2125"/>
      <c r="AK993" s="2126"/>
      <c r="AL993" s="2126"/>
      <c r="AM993" s="2126"/>
      <c r="AN993" s="2126"/>
      <c r="AO993" s="2126"/>
      <c r="AP993" s="2126"/>
      <c r="AQ993" s="2127"/>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28"/>
      <c r="AK994" s="2129"/>
      <c r="AL994" s="2129"/>
      <c r="AM994" s="2129"/>
      <c r="AN994" s="2129"/>
      <c r="AO994" s="2129"/>
      <c r="AP994" s="2129"/>
      <c r="AQ994" s="2130"/>
      <c r="AR994" s="1487"/>
      <c r="AS994" s="1487"/>
      <c r="AT994" s="1487"/>
      <c r="AU994" s="1487"/>
      <c r="AV994" s="1487"/>
      <c r="AW994" s="1487"/>
      <c r="AX994" s="1487"/>
      <c r="AY994" s="1487"/>
    </row>
    <row r="995" spans="1:96" s="717" customFormat="1" ht="12.75" customHeight="1">
      <c r="A995" s="51"/>
      <c r="B995" s="117"/>
      <c r="C995" s="118" t="s">
        <v>224</v>
      </c>
      <c r="D995" s="2103" t="s">
        <v>1527</v>
      </c>
      <c r="E995" s="2104"/>
      <c r="F995" s="2104"/>
      <c r="G995" s="2104"/>
      <c r="H995" s="2104"/>
      <c r="I995" s="2104"/>
      <c r="J995" s="2104"/>
      <c r="K995" s="2104"/>
      <c r="L995" s="2104"/>
      <c r="M995" s="2104"/>
      <c r="N995" s="2104"/>
      <c r="O995" s="2104"/>
      <c r="P995" s="2104"/>
      <c r="Q995" s="2104"/>
      <c r="R995" s="2104"/>
      <c r="S995" s="2104"/>
      <c r="T995" s="2104"/>
      <c r="U995" s="2104"/>
      <c r="V995" s="2104"/>
      <c r="W995" s="2104"/>
      <c r="X995" s="2104"/>
      <c r="Y995" s="2104"/>
      <c r="Z995" s="2104"/>
      <c r="AA995" s="2104"/>
      <c r="AB995" s="2104"/>
      <c r="AC995" s="2104"/>
      <c r="AD995" s="2104"/>
      <c r="AE995" s="2105"/>
      <c r="AF995" s="117"/>
      <c r="AG995" s="2101" t="s">
        <v>706</v>
      </c>
      <c r="AH995" s="2102"/>
      <c r="AI995" s="125"/>
      <c r="AJ995" s="2122">
        <f>IF(AG995="yes",AJ975*BA995,0)</f>
        <v>0</v>
      </c>
      <c r="AK995" s="2123"/>
      <c r="AL995" s="2123"/>
      <c r="AM995" s="2123"/>
      <c r="AN995" s="2123"/>
      <c r="AO995" s="2123"/>
      <c r="AP995" s="2123"/>
      <c r="AQ995" s="2124"/>
      <c r="AR995" s="1487"/>
      <c r="AS995" s="1487"/>
      <c r="AT995" s="1487"/>
      <c r="AU995" s="1487"/>
      <c r="AV995" s="1487"/>
      <c r="AW995" s="1487"/>
      <c r="AX995" s="1487"/>
      <c r="AY995" s="1487"/>
      <c r="BA995" s="322">
        <f>IF(SUM(BA997:BA1005)&lt;=0.1,SUM(BA997:BA1005),0.1)</f>
        <v>0.05</v>
      </c>
      <c r="CR995" s="25"/>
    </row>
    <row r="996" spans="1:96" ht="12.75" customHeight="1">
      <c r="A996" s="51"/>
      <c r="B996" s="110"/>
      <c r="C996" s="111"/>
      <c r="D996" s="2078" t="s">
        <v>1528</v>
      </c>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c r="AA996" s="2079"/>
      <c r="AB996" s="2079"/>
      <c r="AC996" s="2079"/>
      <c r="AD996" s="2079"/>
      <c r="AE996" s="2080"/>
      <c r="AF996" s="110"/>
      <c r="AG996" s="112"/>
      <c r="AH996" s="112"/>
      <c r="AI996" s="121"/>
      <c r="AJ996" s="2125"/>
      <c r="AK996" s="2126"/>
      <c r="AL996" s="2126"/>
      <c r="AM996" s="2126"/>
      <c r="AN996" s="2126"/>
      <c r="AO996" s="2126"/>
      <c r="AP996" s="2126"/>
      <c r="AQ996" s="2127"/>
      <c r="AR996" s="1487"/>
      <c r="AS996" s="1487"/>
      <c r="AT996" s="1487"/>
      <c r="AU996" s="1487"/>
      <c r="AV996" s="1487"/>
      <c r="AW996" s="1487"/>
      <c r="AX996" s="1487"/>
      <c r="AY996" s="1487"/>
    </row>
    <row r="997" spans="1:96" ht="12.75" customHeight="1">
      <c r="A997" s="51"/>
      <c r="B997" s="110"/>
      <c r="C997" s="111"/>
      <c r="D997" s="2078"/>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c r="AA997" s="2079"/>
      <c r="AB997" s="2079"/>
      <c r="AC997" s="2079"/>
      <c r="AD997" s="2079"/>
      <c r="AE997" s="2080"/>
      <c r="AF997" s="110"/>
      <c r="AG997" s="112"/>
      <c r="AH997" s="112"/>
      <c r="AI997" s="121"/>
      <c r="AJ997" s="2125"/>
      <c r="AK997" s="2126"/>
      <c r="AL997" s="2126"/>
      <c r="AM997" s="2126"/>
      <c r="AN997" s="2126"/>
      <c r="AO997" s="2126"/>
      <c r="AP997" s="2126"/>
      <c r="AQ997" s="2127"/>
      <c r="AR997" s="1487"/>
      <c r="AS997" s="1487"/>
      <c r="AT997" s="1487"/>
      <c r="AU997" s="1487"/>
      <c r="AV997" s="1487"/>
      <c r="AW997" s="1487"/>
      <c r="AX997" s="1487"/>
      <c r="AY997" s="1487"/>
      <c r="BA997" s="320">
        <f>IF(A1044="Yes",0.05,0)</f>
        <v>0.05</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28"/>
      <c r="AK998" s="2129"/>
      <c r="AL998" s="2129"/>
      <c r="AM998" s="2129"/>
      <c r="AN998" s="2129"/>
      <c r="AO998" s="2129"/>
      <c r="AP998" s="2129"/>
      <c r="AQ998" s="2130"/>
      <c r="AR998" s="1487"/>
      <c r="AS998" s="1487"/>
      <c r="AT998" s="1487"/>
      <c r="AU998" s="1487"/>
      <c r="AV998" s="1487"/>
      <c r="AW998" s="1487"/>
      <c r="AX998" s="1487"/>
      <c r="AY998" s="1487"/>
      <c r="BA998" s="320">
        <f>IF(A1050="Yes",0.02,0)</f>
        <v>0</v>
      </c>
    </row>
    <row r="999" spans="1:96" s="717" customFormat="1" ht="15" customHeight="1">
      <c r="A999" s="51"/>
      <c r="B999" s="117"/>
      <c r="C999" s="118" t="s">
        <v>229</v>
      </c>
      <c r="D999" s="2072" t="s">
        <v>1529</v>
      </c>
      <c r="E999" s="2073"/>
      <c r="F999" s="2073"/>
      <c r="G999" s="2073"/>
      <c r="H999" s="2073"/>
      <c r="I999" s="2073"/>
      <c r="J999" s="2073"/>
      <c r="K999" s="2073"/>
      <c r="L999" s="2073"/>
      <c r="M999" s="2073"/>
      <c r="N999" s="2073"/>
      <c r="O999" s="2073"/>
      <c r="P999" s="2073"/>
      <c r="Q999" s="2073"/>
      <c r="R999" s="2073"/>
      <c r="S999" s="2073"/>
      <c r="T999" s="2073"/>
      <c r="U999" s="2073"/>
      <c r="V999" s="2073"/>
      <c r="W999" s="2073"/>
      <c r="X999" s="2073"/>
      <c r="Y999" s="2073"/>
      <c r="Z999" s="2073"/>
      <c r="AA999" s="2073"/>
      <c r="AB999" s="2073"/>
      <c r="AC999" s="2073"/>
      <c r="AD999" s="2073"/>
      <c r="AE999" s="2074"/>
      <c r="AF999" s="117"/>
      <c r="AG999" s="2101" t="s">
        <v>706</v>
      </c>
      <c r="AH999" s="2102"/>
      <c r="AI999" s="125"/>
      <c r="AJ999" s="2051"/>
      <c r="AK999" s="2052"/>
      <c r="AL999" s="2052"/>
      <c r="AM999" s="2052"/>
      <c r="AN999" s="2052"/>
      <c r="AO999" s="2052"/>
      <c r="AP999" s="2052"/>
      <c r="AQ999" s="2053"/>
      <c r="AR999" s="1487"/>
      <c r="AS999" s="1487"/>
      <c r="AT999" s="1487"/>
      <c r="AU999" s="1487"/>
      <c r="AV999" s="1487"/>
      <c r="AW999" s="1487"/>
      <c r="AX999" s="1487"/>
      <c r="AY999" s="1487"/>
      <c r="BA999" s="320">
        <f>IF(A1056="Yes",0.04,0)</f>
        <v>0</v>
      </c>
      <c r="CR999" s="25"/>
    </row>
    <row r="1000" spans="1:96" ht="13.2">
      <c r="A1000" s="51"/>
      <c r="B1000" s="119"/>
      <c r="C1000" s="122"/>
      <c r="D1000" s="2075"/>
      <c r="E1000" s="2076"/>
      <c r="F1000" s="2076"/>
      <c r="G1000" s="2076"/>
      <c r="H1000" s="2076"/>
      <c r="I1000" s="2076"/>
      <c r="J1000" s="2076"/>
      <c r="K1000" s="2076"/>
      <c r="L1000" s="2076"/>
      <c r="M1000" s="2076"/>
      <c r="N1000" s="2076"/>
      <c r="O1000" s="2076"/>
      <c r="P1000" s="2076"/>
      <c r="Q1000" s="2076"/>
      <c r="R1000" s="2076"/>
      <c r="S1000" s="2076"/>
      <c r="T1000" s="2076"/>
      <c r="U1000" s="2076"/>
      <c r="V1000" s="2076"/>
      <c r="W1000" s="2076"/>
      <c r="X1000" s="2076"/>
      <c r="Y1000" s="2076"/>
      <c r="Z1000" s="2076"/>
      <c r="AA1000" s="2076"/>
      <c r="AB1000" s="2076"/>
      <c r="AC1000" s="2076"/>
      <c r="AD1000" s="2076"/>
      <c r="AE1000" s="2077"/>
      <c r="AF1000" s="2060">
        <f>IF(AG999="yes","Please Select Type and Enter Amount:",0)</f>
        <v>0</v>
      </c>
      <c r="AG1000" s="2061"/>
      <c r="AH1000" s="2061"/>
      <c r="AI1000" s="2062"/>
      <c r="AJ1000" s="2054"/>
      <c r="AK1000" s="2055"/>
      <c r="AL1000" s="2055"/>
      <c r="AM1000" s="2055"/>
      <c r="AN1000" s="2055"/>
      <c r="AO1000" s="2055"/>
      <c r="AP1000" s="2055"/>
      <c r="AQ1000" s="2056"/>
      <c r="AR1000" s="1487"/>
      <c r="AS1000" s="1487"/>
      <c r="AT1000" s="1487"/>
      <c r="AU1000" s="1487"/>
      <c r="AV1000" s="1487"/>
      <c r="AW1000" s="1487"/>
      <c r="AX1000" s="1487"/>
      <c r="AY1000" s="1487"/>
      <c r="BA1000" s="320">
        <f>IF(A1063="Yes",0.04,0)</f>
        <v>0</v>
      </c>
    </row>
    <row r="1001" spans="1:96" ht="12.75" customHeight="1">
      <c r="A1001" s="51"/>
      <c r="B1001" s="119"/>
      <c r="C1001" s="122"/>
      <c r="D1001" s="2078" t="s">
        <v>1530</v>
      </c>
      <c r="E1001" s="2079"/>
      <c r="F1001" s="2079"/>
      <c r="G1001" s="2079"/>
      <c r="H1001" s="2079"/>
      <c r="I1001" s="2079"/>
      <c r="J1001" s="2079"/>
      <c r="K1001" s="2079"/>
      <c r="L1001" s="2079"/>
      <c r="M1001" s="2079"/>
      <c r="N1001" s="2079"/>
      <c r="O1001" s="2079"/>
      <c r="P1001" s="2079"/>
      <c r="Q1001" s="2079"/>
      <c r="R1001" s="2079"/>
      <c r="S1001" s="2079"/>
      <c r="T1001" s="2079"/>
      <c r="U1001" s="2079"/>
      <c r="V1001" s="2079"/>
      <c r="W1001" s="2079"/>
      <c r="X1001" s="2079"/>
      <c r="Y1001" s="2079"/>
      <c r="Z1001" s="2079"/>
      <c r="AA1001" s="2079"/>
      <c r="AB1001" s="2079"/>
      <c r="AC1001" s="2079"/>
      <c r="AD1001" s="2079"/>
      <c r="AE1001" s="2080"/>
      <c r="AF1001" s="2060"/>
      <c r="AG1001" s="2061"/>
      <c r="AH1001" s="2061"/>
      <c r="AI1001" s="2062"/>
      <c r="AJ1001" s="2054"/>
      <c r="AK1001" s="2055"/>
      <c r="AL1001" s="2055"/>
      <c r="AM1001" s="2055"/>
      <c r="AN1001" s="2055"/>
      <c r="AO1001" s="2055"/>
      <c r="AP1001" s="2055"/>
      <c r="AQ1001" s="2056"/>
      <c r="AR1001" s="1487"/>
      <c r="AS1001" s="1487"/>
      <c r="AT1001" s="1487"/>
      <c r="AU1001" s="1487"/>
      <c r="AV1001" s="1487"/>
      <c r="AW1001" s="1487"/>
      <c r="AX1001" s="1487"/>
      <c r="AY1001" s="1487"/>
      <c r="BA1001" s="320">
        <f>IF(A1066="Yes",0.01,0)</f>
        <v>0</v>
      </c>
    </row>
    <row r="1002" spans="1:96" ht="12.75" customHeight="1">
      <c r="A1002" s="51"/>
      <c r="B1002" s="119"/>
      <c r="C1002" s="122"/>
      <c r="D1002" s="2078"/>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80"/>
      <c r="AF1002" s="2060"/>
      <c r="AG1002" s="2061"/>
      <c r="AH1002" s="2061"/>
      <c r="AI1002" s="2062"/>
      <c r="AJ1002" s="2054"/>
      <c r="AK1002" s="2055"/>
      <c r="AL1002" s="2055"/>
      <c r="AM1002" s="2055"/>
      <c r="AN1002" s="2055"/>
      <c r="AO1002" s="2055"/>
      <c r="AP1002" s="2055"/>
      <c r="AQ1002" s="205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1" t="s">
        <v>626</v>
      </c>
      <c r="K1003" s="2082"/>
      <c r="L1003" s="2082"/>
      <c r="M1003" s="2082"/>
      <c r="N1003" s="2082"/>
      <c r="O1003" s="2082"/>
      <c r="P1003" s="2082"/>
      <c r="Q1003" s="2082"/>
      <c r="R1003" s="2082"/>
      <c r="S1003" s="2082"/>
      <c r="T1003" s="2082"/>
      <c r="U1003" s="2082"/>
      <c r="V1003" s="2082"/>
      <c r="W1003" s="2082"/>
      <c r="X1003" s="2082"/>
      <c r="Y1003" s="2082"/>
      <c r="Z1003" s="2082"/>
      <c r="AA1003" s="2082"/>
      <c r="AB1003" s="2082"/>
      <c r="AC1003" s="2082"/>
      <c r="AD1003" s="2082"/>
      <c r="AE1003" s="2083"/>
      <c r="AF1003" s="2063"/>
      <c r="AG1003" s="2064"/>
      <c r="AH1003" s="2064"/>
      <c r="AI1003" s="2065"/>
      <c r="AJ1003" s="2057"/>
      <c r="AK1003" s="2058"/>
      <c r="AL1003" s="2058"/>
      <c r="AM1003" s="2058"/>
      <c r="AN1003" s="2058"/>
      <c r="AO1003" s="2058"/>
      <c r="AP1003" s="2058"/>
      <c r="AQ1003" s="2059"/>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4" t="s">
        <v>1531</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01" t="s">
        <v>578</v>
      </c>
      <c r="AH1004" s="2102"/>
      <c r="AI1004" s="125"/>
      <c r="AJ1004" s="2051">
        <v>1604494</v>
      </c>
      <c r="AK1004" s="2052"/>
      <c r="AL1004" s="2052"/>
      <c r="AM1004" s="2052"/>
      <c r="AN1004" s="2052"/>
      <c r="AO1004" s="2052"/>
      <c r="AP1004" s="2052"/>
      <c r="AQ1004" s="2053"/>
      <c r="AR1004" s="1487"/>
      <c r="AS1004" s="1487"/>
      <c r="AT1004" s="1487"/>
      <c r="AU1004" s="1487"/>
      <c r="AV1004" s="1487"/>
      <c r="AW1004" s="1487"/>
      <c r="AX1004" s="1487"/>
      <c r="AY1004" s="1487"/>
      <c r="BA1004" s="320">
        <f>IF(A1078="Yes",0.02,0)</f>
        <v>0</v>
      </c>
    </row>
    <row r="1005" spans="1:96" ht="12.75" customHeight="1">
      <c r="A1005" s="51"/>
      <c r="B1005" s="110"/>
      <c r="C1005" s="111"/>
      <c r="D1005" s="2078" t="s">
        <v>2108</v>
      </c>
      <c r="E1005" s="2079"/>
      <c r="F1005" s="2079"/>
      <c r="G1005" s="2079"/>
      <c r="H1005" s="2079"/>
      <c r="I1005" s="2079"/>
      <c r="J1005" s="2079"/>
      <c r="K1005" s="2079"/>
      <c r="L1005" s="2079"/>
      <c r="M1005" s="2079"/>
      <c r="N1005" s="2079"/>
      <c r="O1005" s="2079"/>
      <c r="P1005" s="2079"/>
      <c r="Q1005" s="2079"/>
      <c r="R1005" s="2079"/>
      <c r="S1005" s="2079"/>
      <c r="T1005" s="2079"/>
      <c r="U1005" s="2079"/>
      <c r="V1005" s="2079"/>
      <c r="W1005" s="2079"/>
      <c r="X1005" s="2079"/>
      <c r="Y1005" s="2079"/>
      <c r="Z1005" s="2079"/>
      <c r="AA1005" s="2079"/>
      <c r="AB1005" s="2079"/>
      <c r="AC1005" s="2079"/>
      <c r="AD1005" s="2079"/>
      <c r="AE1005" s="2080"/>
      <c r="AF1005" s="2066" t="str">
        <f>IF(AG1004="yes","Please Enter Amount:",0)</f>
        <v>Please Enter Amount:</v>
      </c>
      <c r="AG1005" s="2067"/>
      <c r="AH1005" s="2067"/>
      <c r="AI1005" s="2068"/>
      <c r="AJ1005" s="2054"/>
      <c r="AK1005" s="2055"/>
      <c r="AL1005" s="2055"/>
      <c r="AM1005" s="2055"/>
      <c r="AN1005" s="2055"/>
      <c r="AO1005" s="2055"/>
      <c r="AP1005" s="2055"/>
      <c r="AQ1005" s="2056"/>
      <c r="AR1005" s="1487"/>
      <c r="AS1005" s="1487"/>
      <c r="AT1005" s="1487"/>
      <c r="AU1005" s="1487"/>
      <c r="AV1005" s="1487"/>
      <c r="AW1005" s="1487"/>
      <c r="AX1005" s="1487"/>
      <c r="AY1005" s="1487"/>
      <c r="BA1005" s="321">
        <f>IF(A1082="Yes",0.02,0)</f>
        <v>0</v>
      </c>
    </row>
    <row r="1006" spans="1:96" ht="12.75" customHeight="1">
      <c r="A1006" s="51"/>
      <c r="B1006" s="110"/>
      <c r="C1006" s="111"/>
      <c r="D1006" s="2078"/>
      <c r="E1006" s="2079"/>
      <c r="F1006" s="2079"/>
      <c r="G1006" s="2079"/>
      <c r="H1006" s="2079"/>
      <c r="I1006" s="2079"/>
      <c r="J1006" s="2079"/>
      <c r="K1006" s="2079"/>
      <c r="L1006" s="2079"/>
      <c r="M1006" s="2079"/>
      <c r="N1006" s="2079"/>
      <c r="O1006" s="2079"/>
      <c r="P1006" s="2079"/>
      <c r="Q1006" s="2079"/>
      <c r="R1006" s="2079"/>
      <c r="S1006" s="2079"/>
      <c r="T1006" s="2079"/>
      <c r="U1006" s="2079"/>
      <c r="V1006" s="2079"/>
      <c r="W1006" s="2079"/>
      <c r="X1006" s="2079"/>
      <c r="Y1006" s="2079"/>
      <c r="Z1006" s="2079"/>
      <c r="AA1006" s="2079"/>
      <c r="AB1006" s="2079"/>
      <c r="AC1006" s="2079"/>
      <c r="AD1006" s="2079"/>
      <c r="AE1006" s="2080"/>
      <c r="AF1006" s="2066"/>
      <c r="AG1006" s="2067"/>
      <c r="AH1006" s="2067"/>
      <c r="AI1006" s="2068"/>
      <c r="AJ1006" s="2054"/>
      <c r="AK1006" s="2055"/>
      <c r="AL1006" s="2055"/>
      <c r="AM1006" s="2055"/>
      <c r="AN1006" s="2055"/>
      <c r="AO1006" s="2055"/>
      <c r="AP1006" s="2055"/>
      <c r="AQ1006" s="2056"/>
      <c r="AR1006" s="1487"/>
      <c r="AS1006" s="1487"/>
      <c r="AT1006" s="1487"/>
      <c r="AU1006" s="1487"/>
      <c r="AV1006" s="1487"/>
      <c r="AW1006" s="1487"/>
      <c r="AX1006" s="1487"/>
      <c r="AY1006" s="1487"/>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069"/>
      <c r="AG1007" s="2070"/>
      <c r="AH1007" s="2070"/>
      <c r="AI1007" s="2071"/>
      <c r="AJ1007" s="2057"/>
      <c r="AK1007" s="2058"/>
      <c r="AL1007" s="2058"/>
      <c r="AM1007" s="2058"/>
      <c r="AN1007" s="2058"/>
      <c r="AO1007" s="2058"/>
      <c r="AP1007" s="2058"/>
      <c r="AQ1007" s="2059"/>
      <c r="AR1007" s="1487"/>
      <c r="AS1007" s="1487"/>
      <c r="AT1007" s="1487"/>
      <c r="AU1007" s="1487"/>
      <c r="AV1007" s="1487"/>
      <c r="AW1007" s="1487"/>
      <c r="AX1007" s="1487"/>
      <c r="AY1007" s="1487"/>
    </row>
    <row r="1008" spans="1:96" s="717" customFormat="1" ht="12.75" customHeight="1">
      <c r="A1008" s="51"/>
      <c r="B1008" s="117"/>
      <c r="C1008" s="118" t="s">
        <v>240</v>
      </c>
      <c r="D1008" s="2103" t="s">
        <v>1532</v>
      </c>
      <c r="E1008" s="2104"/>
      <c r="F1008" s="2104"/>
      <c r="G1008" s="2104"/>
      <c r="H1008" s="2104"/>
      <c r="I1008" s="2104"/>
      <c r="J1008" s="2104"/>
      <c r="K1008" s="2104"/>
      <c r="L1008" s="2104"/>
      <c r="M1008" s="2104"/>
      <c r="N1008" s="2104"/>
      <c r="O1008" s="2104"/>
      <c r="P1008" s="2104"/>
      <c r="Q1008" s="2104"/>
      <c r="R1008" s="2104"/>
      <c r="S1008" s="2104"/>
      <c r="T1008" s="2104"/>
      <c r="U1008" s="2104"/>
      <c r="V1008" s="2104"/>
      <c r="W1008" s="2104"/>
      <c r="X1008" s="2104"/>
      <c r="Y1008" s="2104"/>
      <c r="Z1008" s="2104"/>
      <c r="AA1008" s="2104"/>
      <c r="AB1008" s="2104"/>
      <c r="AC1008" s="2104"/>
      <c r="AD1008" s="2104"/>
      <c r="AE1008" s="2105"/>
      <c r="AF1008" s="117"/>
      <c r="AG1008" s="2101" t="s">
        <v>706</v>
      </c>
      <c r="AH1008" s="2102"/>
      <c r="AI1008" s="125"/>
      <c r="AJ1008" s="2122">
        <f>ROUND(IF(AG1008="yes",(AJ975*0.1),0),0)</f>
        <v>0</v>
      </c>
      <c r="AK1008" s="2123"/>
      <c r="AL1008" s="2123"/>
      <c r="AM1008" s="2123"/>
      <c r="AN1008" s="2123"/>
      <c r="AO1008" s="2123"/>
      <c r="AP1008" s="2123"/>
      <c r="AQ1008" s="2124"/>
      <c r="AR1008" s="1487"/>
      <c r="AS1008" s="1487"/>
      <c r="AT1008" s="1487"/>
      <c r="AU1008" s="1487"/>
      <c r="AV1008" s="1487"/>
      <c r="AW1008" s="1487"/>
      <c r="AX1008" s="1487"/>
      <c r="AY1008" s="1487"/>
      <c r="CR1008" s="25"/>
    </row>
    <row r="1009" spans="1:96" ht="12.75" customHeight="1">
      <c r="A1009" s="51"/>
      <c r="B1009" s="110"/>
      <c r="C1009" s="111"/>
      <c r="D1009" s="2078" t="s">
        <v>1533</v>
      </c>
      <c r="E1009" s="2079"/>
      <c r="F1009" s="2079"/>
      <c r="G1009" s="2079"/>
      <c r="H1009" s="2079"/>
      <c r="I1009" s="2079"/>
      <c r="J1009" s="2079"/>
      <c r="K1009" s="2079"/>
      <c r="L1009" s="2079"/>
      <c r="M1009" s="2079"/>
      <c r="N1009" s="2079"/>
      <c r="O1009" s="2079"/>
      <c r="P1009" s="2079"/>
      <c r="Q1009" s="2079"/>
      <c r="R1009" s="2079"/>
      <c r="S1009" s="2079"/>
      <c r="T1009" s="2079"/>
      <c r="U1009" s="2079"/>
      <c r="V1009" s="2079"/>
      <c r="W1009" s="2079"/>
      <c r="X1009" s="2079"/>
      <c r="Y1009" s="2079"/>
      <c r="Z1009" s="2079"/>
      <c r="AA1009" s="2079"/>
      <c r="AB1009" s="2079"/>
      <c r="AC1009" s="2079"/>
      <c r="AD1009" s="2079"/>
      <c r="AE1009" s="2080"/>
      <c r="AF1009" s="110"/>
      <c r="AG1009" s="112"/>
      <c r="AH1009" s="112"/>
      <c r="AI1009" s="121"/>
      <c r="AJ1009" s="2125"/>
      <c r="AK1009" s="2126"/>
      <c r="AL1009" s="2126"/>
      <c r="AM1009" s="2126"/>
      <c r="AN1009" s="2126"/>
      <c r="AO1009" s="2126"/>
      <c r="AP1009" s="2126"/>
      <c r="AQ1009" s="2127"/>
      <c r="AR1009" s="1487"/>
      <c r="AS1009" s="1487"/>
      <c r="AT1009" s="1487"/>
      <c r="AU1009" s="1487"/>
      <c r="AV1009" s="1487"/>
      <c r="AW1009" s="1487"/>
      <c r="AX1009" s="1487"/>
      <c r="AY1009" s="1487"/>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28"/>
      <c r="AK1010" s="2129"/>
      <c r="AL1010" s="2129"/>
      <c r="AM1010" s="2129"/>
      <c r="AN1010" s="2129"/>
      <c r="AO1010" s="2129"/>
      <c r="AP1010" s="2129"/>
      <c r="AQ1010" s="2130"/>
      <c r="AR1010" s="1487"/>
      <c r="AS1010" s="1487"/>
      <c r="AT1010" s="1487"/>
      <c r="AU1010" s="1487"/>
      <c r="AV1010" s="1487"/>
      <c r="AW1010" s="1487"/>
      <c r="AX1010" s="1487"/>
      <c r="AY1010" s="1487"/>
    </row>
    <row r="1011" spans="1:96" s="717" customFormat="1" ht="12.75" customHeight="1">
      <c r="A1011" s="51"/>
      <c r="B1011" s="110"/>
      <c r="C1011" s="529" t="s">
        <v>725</v>
      </c>
      <c r="D1011" s="2084" t="s">
        <v>2104</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01" t="s">
        <v>706</v>
      </c>
      <c r="AH1011" s="2102"/>
      <c r="AI1011" s="125"/>
      <c r="AJ1011" s="2122">
        <f>ROUND(IF(AG1011="yes",(AJ975*0.15),0),0)</f>
        <v>0</v>
      </c>
      <c r="AK1011" s="2123"/>
      <c r="AL1011" s="2123"/>
      <c r="AM1011" s="2123"/>
      <c r="AN1011" s="2123"/>
      <c r="AO1011" s="2123"/>
      <c r="AP1011" s="2123"/>
      <c r="AQ1011" s="2124"/>
      <c r="AR1011" s="1487"/>
      <c r="AS1011" s="1487"/>
      <c r="AT1011" s="1487"/>
      <c r="AU1011" s="1487"/>
      <c r="AV1011" s="1487"/>
      <c r="AW1011" s="1487"/>
      <c r="AX1011" s="1487"/>
      <c r="AY1011" s="1487"/>
      <c r="CR1011" s="25"/>
    </row>
    <row r="1012" spans="1:96" s="717" customFormat="1" ht="12.75" customHeight="1">
      <c r="A1012" s="51"/>
      <c r="B1012" s="110"/>
      <c r="C1012" s="111"/>
      <c r="D1012" s="2116" t="s">
        <v>2105</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517"/>
      <c r="AG1012" s="1518"/>
      <c r="AH1012" s="1518"/>
      <c r="AI1012" s="1519"/>
      <c r="AJ1012" s="2125"/>
      <c r="AK1012" s="2126"/>
      <c r="AL1012" s="2126"/>
      <c r="AM1012" s="2126"/>
      <c r="AN1012" s="2126"/>
      <c r="AO1012" s="2126"/>
      <c r="AP1012" s="2126"/>
      <c r="AQ1012" s="2127"/>
      <c r="AR1012" s="1487"/>
      <c r="AS1012" s="1487"/>
      <c r="AT1012" s="1487"/>
      <c r="AU1012" s="1487"/>
      <c r="AV1012" s="1487"/>
      <c r="AW1012" s="1487"/>
      <c r="AX1012" s="1487"/>
      <c r="AY1012" s="1487"/>
      <c r="CR1012" s="25"/>
    </row>
    <row r="1013" spans="1:96" s="717"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517"/>
      <c r="AG1013" s="1518"/>
      <c r="AH1013" s="1518"/>
      <c r="AI1013" s="1519"/>
      <c r="AJ1013" s="2125"/>
      <c r="AK1013" s="2126"/>
      <c r="AL1013" s="2126"/>
      <c r="AM1013" s="2126"/>
      <c r="AN1013" s="2126"/>
      <c r="AO1013" s="2126"/>
      <c r="AP1013" s="2126"/>
      <c r="AQ1013" s="2127"/>
      <c r="AR1013" s="1487"/>
      <c r="AS1013" s="1487"/>
      <c r="AT1013" s="1487"/>
      <c r="AU1013" s="1487"/>
      <c r="AV1013" s="1487"/>
      <c r="AW1013" s="1487"/>
      <c r="AX1013" s="1487"/>
      <c r="AY1013" s="1487"/>
      <c r="CR1013" s="25"/>
    </row>
    <row r="1014" spans="1:96" s="717"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520"/>
      <c r="AG1014" s="1521"/>
      <c r="AH1014" s="1521"/>
      <c r="AI1014" s="1522"/>
      <c r="AJ1014" s="2128"/>
      <c r="AK1014" s="2129"/>
      <c r="AL1014" s="2129"/>
      <c r="AM1014" s="2129"/>
      <c r="AN1014" s="2129"/>
      <c r="AO1014" s="2129"/>
      <c r="AP1014" s="2129"/>
      <c r="AQ1014" s="2130"/>
      <c r="AR1014" s="1487"/>
      <c r="AS1014" s="1487"/>
      <c r="AT1014" s="1487"/>
      <c r="AU1014" s="1487"/>
      <c r="AV1014" s="1487"/>
      <c r="AW1014" s="1487"/>
      <c r="AX1014" s="1487"/>
      <c r="AY1014" s="1487"/>
      <c r="CR1014" s="25"/>
    </row>
    <row r="1015" spans="1:96" s="717" customFormat="1" ht="12.75" customHeight="1">
      <c r="A1015" s="51"/>
      <c r="B1015" s="110"/>
      <c r="C1015" s="529" t="s">
        <v>725</v>
      </c>
      <c r="D1015" s="2103" t="s">
        <v>2106</v>
      </c>
      <c r="E1015" s="2104"/>
      <c r="F1015" s="2104"/>
      <c r="G1015" s="2104"/>
      <c r="H1015" s="2104"/>
      <c r="I1015" s="2104"/>
      <c r="J1015" s="2104"/>
      <c r="K1015" s="2104"/>
      <c r="L1015" s="2104"/>
      <c r="M1015" s="2104"/>
      <c r="N1015" s="2104"/>
      <c r="O1015" s="2104"/>
      <c r="P1015" s="2104"/>
      <c r="Q1015" s="2104"/>
      <c r="R1015" s="2104"/>
      <c r="S1015" s="2104"/>
      <c r="T1015" s="2104"/>
      <c r="U1015" s="2104"/>
      <c r="V1015" s="2104"/>
      <c r="W1015" s="2104"/>
      <c r="X1015" s="2104"/>
      <c r="Y1015" s="2104"/>
      <c r="Z1015" s="2104"/>
      <c r="AA1015" s="2104"/>
      <c r="AB1015" s="2104"/>
      <c r="AC1015" s="2104"/>
      <c r="AD1015" s="2104"/>
      <c r="AE1015" s="2105"/>
      <c r="AF1015" s="110"/>
      <c r="AG1015" s="2193" t="s">
        <v>706</v>
      </c>
      <c r="AH1015" s="2194"/>
      <c r="AI1015" s="121"/>
      <c r="AJ1015" s="2122">
        <f>ROUND(IF(AG1015="yes",(AJ975*0.1),0),0)</f>
        <v>0</v>
      </c>
      <c r="AK1015" s="2123"/>
      <c r="AL1015" s="2123"/>
      <c r="AM1015" s="2123"/>
      <c r="AN1015" s="2123"/>
      <c r="AO1015" s="2123"/>
      <c r="AP1015" s="2123"/>
      <c r="AQ1015" s="2124"/>
      <c r="AR1015" s="1487"/>
      <c r="AS1015" s="1487"/>
      <c r="AT1015" s="1487"/>
      <c r="AU1015" s="1487"/>
      <c r="AV1015" s="1487"/>
      <c r="AW1015" s="1487"/>
      <c r="AX1015" s="1487"/>
      <c r="AY1015" s="1487"/>
      <c r="CR1015" s="25"/>
    </row>
    <row r="1016" spans="1:96" s="717" customFormat="1" ht="12.75" customHeight="1">
      <c r="A1016" s="51"/>
      <c r="B1016" s="110"/>
      <c r="C1016" s="111"/>
      <c r="D1016" s="2116" t="s">
        <v>2107</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487"/>
      <c r="AS1016" s="1487"/>
      <c r="AT1016" s="1487"/>
      <c r="AU1016" s="1487"/>
      <c r="AV1016" s="1487"/>
      <c r="AW1016" s="1487"/>
      <c r="AX1016" s="1487"/>
      <c r="AY1016" s="1487"/>
      <c r="CR1016" s="25"/>
    </row>
    <row r="1017" spans="1:96" s="717"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487"/>
      <c r="AS1017" s="1487"/>
      <c r="AT1017" s="1487"/>
      <c r="AU1017" s="1487"/>
      <c r="AV1017" s="1487"/>
      <c r="AW1017" s="1487"/>
      <c r="AX1017" s="1487"/>
      <c r="AY1017" s="1487"/>
      <c r="CR1017" s="25"/>
    </row>
    <row r="1018" spans="1:96" s="717"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487"/>
      <c r="AS1018" s="1487"/>
      <c r="AT1018" s="1487"/>
      <c r="AU1018" s="1487"/>
      <c r="AV1018" s="1487"/>
      <c r="AW1018" s="1487"/>
      <c r="AX1018" s="1487"/>
      <c r="AY1018" s="1487"/>
      <c r="CR1018" s="25"/>
    </row>
    <row r="1019" spans="1:96" s="717"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487"/>
      <c r="AS1019" s="1487"/>
      <c r="AT1019" s="1487"/>
      <c r="AU1019" s="1487"/>
      <c r="AV1019" s="1487"/>
      <c r="AW1019" s="1487"/>
      <c r="AX1019" s="1487"/>
      <c r="AY1019" s="1487"/>
      <c r="CR1019" s="25"/>
    </row>
    <row r="1020" spans="1:96" s="717" customFormat="1" ht="12.75" customHeight="1">
      <c r="A1020" s="51"/>
      <c r="B1020" s="117"/>
      <c r="C1020" s="198" t="s">
        <v>1114</v>
      </c>
      <c r="D1020" s="2084" t="s">
        <v>1534</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01" t="s">
        <v>706</v>
      </c>
      <c r="AH1020" s="2102"/>
      <c r="AI1020" s="125"/>
      <c r="AJ1020" s="2122">
        <f>ROUND(IF(AG1020="yes",(AJ975*0.1),0),0)</f>
        <v>0</v>
      </c>
      <c r="AK1020" s="2123"/>
      <c r="AL1020" s="2123"/>
      <c r="AM1020" s="2123"/>
      <c r="AN1020" s="2123"/>
      <c r="AO1020" s="2123"/>
      <c r="AP1020" s="2123"/>
      <c r="AQ1020" s="2124"/>
      <c r="AR1020" s="1487"/>
      <c r="AS1020" s="1487"/>
      <c r="AT1020" s="1487"/>
      <c r="AU1020" s="1487"/>
      <c r="AV1020" s="1487"/>
      <c r="AW1020" s="1487"/>
      <c r="AX1020" s="1487"/>
      <c r="AY1020" s="1487"/>
      <c r="CR1020" s="25"/>
    </row>
    <row r="1021" spans="1:96" ht="12.75" customHeight="1">
      <c r="A1021" s="51"/>
      <c r="B1021" s="110"/>
      <c r="C1021" s="111"/>
      <c r="D1021" s="2078" t="s">
        <v>1535</v>
      </c>
      <c r="E1021" s="2079"/>
      <c r="F1021" s="2079"/>
      <c r="G1021" s="2079"/>
      <c r="H1021" s="2079"/>
      <c r="I1021" s="2079"/>
      <c r="J1021" s="2079"/>
      <c r="K1021" s="2079"/>
      <c r="L1021" s="2079"/>
      <c r="M1021" s="2079"/>
      <c r="N1021" s="2079"/>
      <c r="O1021" s="2079"/>
      <c r="P1021" s="2079"/>
      <c r="Q1021" s="2079"/>
      <c r="R1021" s="2079"/>
      <c r="S1021" s="2079"/>
      <c r="T1021" s="2079"/>
      <c r="U1021" s="2079"/>
      <c r="V1021" s="2079"/>
      <c r="W1021" s="2079"/>
      <c r="X1021" s="2079"/>
      <c r="Y1021" s="2079"/>
      <c r="Z1021" s="2079"/>
      <c r="AA1021" s="2079"/>
      <c r="AB1021" s="2079"/>
      <c r="AC1021" s="2079"/>
      <c r="AD1021" s="2079"/>
      <c r="AE1021" s="2080"/>
      <c r="AF1021" s="110"/>
      <c r="AG1021" s="112"/>
      <c r="AH1021" s="112"/>
      <c r="AI1021" s="121"/>
      <c r="AJ1021" s="2125"/>
      <c r="AK1021" s="2126"/>
      <c r="AL1021" s="2126"/>
      <c r="AM1021" s="2126"/>
      <c r="AN1021" s="2126"/>
      <c r="AO1021" s="2126"/>
      <c r="AP1021" s="2126"/>
      <c r="AQ1021" s="2127"/>
      <c r="AR1021" s="1487"/>
      <c r="AS1021" s="1487"/>
      <c r="AT1021" s="1487"/>
      <c r="AU1021" s="1487"/>
      <c r="AV1021" s="1487"/>
      <c r="AW1021" s="1487"/>
      <c r="AX1021" s="1487"/>
      <c r="AY1021" s="1487"/>
    </row>
    <row r="1022" spans="1:96" ht="12.75" customHeight="1">
      <c r="A1022" s="51"/>
      <c r="B1022" s="110"/>
      <c r="C1022" s="111"/>
      <c r="D1022" s="2078"/>
      <c r="E1022" s="2079"/>
      <c r="F1022" s="2079"/>
      <c r="G1022" s="2079"/>
      <c r="H1022" s="2079"/>
      <c r="I1022" s="2079"/>
      <c r="J1022" s="2079"/>
      <c r="K1022" s="2079"/>
      <c r="L1022" s="2079"/>
      <c r="M1022" s="2079"/>
      <c r="N1022" s="2079"/>
      <c r="O1022" s="2079"/>
      <c r="P1022" s="2079"/>
      <c r="Q1022" s="2079"/>
      <c r="R1022" s="2079"/>
      <c r="S1022" s="2079"/>
      <c r="T1022" s="2079"/>
      <c r="U1022" s="2079"/>
      <c r="V1022" s="2079"/>
      <c r="W1022" s="2079"/>
      <c r="X1022" s="2079"/>
      <c r="Y1022" s="2079"/>
      <c r="Z1022" s="2079"/>
      <c r="AA1022" s="2079"/>
      <c r="AB1022" s="2079"/>
      <c r="AC1022" s="2079"/>
      <c r="AD1022" s="2079"/>
      <c r="AE1022" s="2080"/>
      <c r="AF1022" s="110"/>
      <c r="AG1022" s="112"/>
      <c r="AH1022" s="112"/>
      <c r="AI1022" s="121"/>
      <c r="AJ1022" s="2125"/>
      <c r="AK1022" s="2126"/>
      <c r="AL1022" s="2126"/>
      <c r="AM1022" s="2126"/>
      <c r="AN1022" s="2126"/>
      <c r="AO1022" s="2126"/>
      <c r="AP1022" s="2126"/>
      <c r="AQ1022" s="2127"/>
      <c r="AR1022" s="1487"/>
      <c r="AS1022" s="1487"/>
      <c r="AT1022" s="1487"/>
      <c r="AU1022" s="1487"/>
      <c r="AV1022" s="1487"/>
      <c r="AW1022" s="1487"/>
      <c r="AX1022" s="1487"/>
      <c r="AY1022" s="1487"/>
    </row>
    <row r="1023" spans="1:96" s="680"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28"/>
      <c r="AK1023" s="2129"/>
      <c r="AL1023" s="2129"/>
      <c r="AM1023" s="2129"/>
      <c r="AN1023" s="2129"/>
      <c r="AO1023" s="2129"/>
      <c r="AP1023" s="2129"/>
      <c r="AQ1023" s="2130"/>
      <c r="AR1023" s="1487"/>
      <c r="AS1023" s="1487"/>
      <c r="AT1023" s="1487"/>
      <c r="AU1023" s="1487"/>
      <c r="AV1023" s="1487"/>
      <c r="AW1023" s="1487"/>
      <c r="AX1023" s="1487"/>
      <c r="AY1023" s="1487"/>
      <c r="CR1023" s="25"/>
    </row>
    <row r="1024" spans="1:96" ht="12.75" customHeight="1">
      <c r="A1024" s="51"/>
      <c r="B1024" s="117"/>
      <c r="C1024" s="198" t="s">
        <v>2102</v>
      </c>
      <c r="D1024" s="2103" t="s">
        <v>2308</v>
      </c>
      <c r="E1024" s="2104"/>
      <c r="F1024" s="2104"/>
      <c r="G1024" s="2104"/>
      <c r="H1024" s="2104"/>
      <c r="I1024" s="2104"/>
      <c r="J1024" s="2104"/>
      <c r="K1024" s="2104"/>
      <c r="L1024" s="2104"/>
      <c r="M1024" s="2104"/>
      <c r="N1024" s="2104"/>
      <c r="O1024" s="2104"/>
      <c r="P1024" s="2104"/>
      <c r="Q1024" s="2104"/>
      <c r="R1024" s="2104"/>
      <c r="S1024" s="2104"/>
      <c r="T1024" s="2104"/>
      <c r="U1024" s="2104"/>
      <c r="V1024" s="2104"/>
      <c r="W1024" s="2104"/>
      <c r="X1024" s="2104"/>
      <c r="Y1024" s="2104"/>
      <c r="Z1024" s="2104"/>
      <c r="AA1024" s="2104"/>
      <c r="AB1024" s="2104"/>
      <c r="AC1024" s="2104"/>
      <c r="AD1024" s="2104"/>
      <c r="AE1024" s="2105"/>
      <c r="AF1024" s="117"/>
      <c r="AG1024" s="2191" t="str">
        <f>IF(X1027&gt;0,"Yes","No")</f>
        <v>Yes</v>
      </c>
      <c r="AH1024" s="2192"/>
      <c r="AI1024" s="125"/>
      <c r="AJ1024" s="2195">
        <f>IF((X1027=0),0,BA989*AJ975)</f>
        <v>17335673.16</v>
      </c>
      <c r="AK1024" s="2196"/>
      <c r="AL1024" s="2196"/>
      <c r="AM1024" s="2196"/>
      <c r="AN1024" s="2196"/>
      <c r="AO1024" s="2196"/>
      <c r="AP1024" s="2196"/>
      <c r="AQ1024" s="2197"/>
      <c r="AR1024" s="1487"/>
      <c r="AS1024" s="1487"/>
      <c r="AT1024" s="1487"/>
      <c r="AU1024" s="1487"/>
      <c r="AV1024" s="1487"/>
      <c r="AW1024" s="1487"/>
      <c r="AX1024" s="1487"/>
      <c r="AY1024" s="1487"/>
    </row>
    <row r="1025" spans="1:96" ht="12.75" customHeight="1">
      <c r="A1025" s="51"/>
      <c r="B1025" s="110"/>
      <c r="C1025" s="700"/>
      <c r="D1025" s="2078" t="s">
        <v>1537</v>
      </c>
      <c r="E1025" s="2079"/>
      <c r="F1025" s="2079"/>
      <c r="G1025" s="2079"/>
      <c r="H1025" s="2079"/>
      <c r="I1025" s="2079"/>
      <c r="J1025" s="2079"/>
      <c r="K1025" s="2079"/>
      <c r="L1025" s="2079"/>
      <c r="M1025" s="2079"/>
      <c r="N1025" s="2079"/>
      <c r="O1025" s="2079"/>
      <c r="P1025" s="2079"/>
      <c r="Q1025" s="2079"/>
      <c r="R1025" s="2079"/>
      <c r="S1025" s="2079"/>
      <c r="T1025" s="2079"/>
      <c r="U1025" s="2079"/>
      <c r="V1025" s="2079"/>
      <c r="W1025" s="2079"/>
      <c r="X1025" s="2079"/>
      <c r="Y1025" s="2079"/>
      <c r="Z1025" s="2079"/>
      <c r="AA1025" s="2079"/>
      <c r="AB1025" s="2079"/>
      <c r="AC1025" s="2079"/>
      <c r="AD1025" s="2079"/>
      <c r="AE1025" s="2080"/>
      <c r="AF1025" s="110"/>
      <c r="AG1025" s="701"/>
      <c r="AH1025" s="701"/>
      <c r="AI1025" s="121"/>
      <c r="AJ1025" s="2198"/>
      <c r="AK1025" s="2199"/>
      <c r="AL1025" s="2199"/>
      <c r="AM1025" s="2199"/>
      <c r="AN1025" s="2199"/>
      <c r="AO1025" s="2199"/>
      <c r="AP1025" s="2199"/>
      <c r="AQ1025" s="2200"/>
      <c r="AR1025" s="1487"/>
      <c r="AS1025" s="1487"/>
      <c r="AT1025" s="1487"/>
      <c r="AU1025" s="1487"/>
      <c r="AV1025" s="1487"/>
      <c r="AW1025" s="1487"/>
      <c r="AX1025" s="1487"/>
      <c r="AY1025" s="1487"/>
    </row>
    <row r="1026" spans="1:96" ht="12.75" customHeight="1">
      <c r="A1026" s="51"/>
      <c r="B1026" s="110"/>
      <c r="C1026" s="700"/>
      <c r="D1026" s="2078"/>
      <c r="E1026" s="2079"/>
      <c r="F1026" s="2079"/>
      <c r="G1026" s="2079"/>
      <c r="H1026" s="2079"/>
      <c r="I1026" s="2079"/>
      <c r="J1026" s="2079"/>
      <c r="K1026" s="2079"/>
      <c r="L1026" s="2079"/>
      <c r="M1026" s="2079"/>
      <c r="N1026" s="2079"/>
      <c r="O1026" s="2079"/>
      <c r="P1026" s="2079"/>
      <c r="Q1026" s="2079"/>
      <c r="R1026" s="2079"/>
      <c r="S1026" s="2079"/>
      <c r="T1026" s="2079"/>
      <c r="U1026" s="2079"/>
      <c r="V1026" s="2079"/>
      <c r="W1026" s="2079"/>
      <c r="X1026" s="2079"/>
      <c r="Y1026" s="2079"/>
      <c r="Z1026" s="2079"/>
      <c r="AA1026" s="2079"/>
      <c r="AB1026" s="2079"/>
      <c r="AC1026" s="2079"/>
      <c r="AD1026" s="2079"/>
      <c r="AE1026" s="2080"/>
      <c r="AF1026" s="110"/>
      <c r="AG1026" s="701"/>
      <c r="AH1026" s="701"/>
      <c r="AI1026" s="121"/>
      <c r="AJ1026" s="2198"/>
      <c r="AK1026" s="2199"/>
      <c r="AL1026" s="2199"/>
      <c r="AM1026" s="2199"/>
      <c r="AN1026" s="2199"/>
      <c r="AO1026" s="2199"/>
      <c r="AP1026" s="2199"/>
      <c r="AQ1026" s="2200"/>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89">
        <f>BA987</f>
        <v>81</v>
      </c>
      <c r="J1027" s="2190"/>
      <c r="K1027" s="11"/>
      <c r="L1027" s="200"/>
      <c r="M1027" s="200"/>
      <c r="N1027" s="200"/>
      <c r="O1027" s="200"/>
      <c r="P1027" s="200"/>
      <c r="Q1027" s="200"/>
      <c r="R1027" s="200"/>
      <c r="S1027" s="200"/>
      <c r="T1027" s="200"/>
      <c r="U1027" s="200"/>
      <c r="V1027" s="201" t="s">
        <v>1052</v>
      </c>
      <c r="W1027" s="80"/>
      <c r="X1027" s="2187">
        <f>BG635</f>
        <v>42</v>
      </c>
      <c r="Y1027" s="2188"/>
      <c r="Z1027" s="80"/>
      <c r="AA1027" s="80"/>
      <c r="AB1027" s="80"/>
      <c r="AC1027" s="80"/>
      <c r="AD1027" s="80"/>
      <c r="AE1027" s="81"/>
      <c r="AF1027" s="1526"/>
      <c r="AG1027" s="1527"/>
      <c r="AH1027" s="1527"/>
      <c r="AI1027" s="1528"/>
      <c r="AJ1027" s="2201"/>
      <c r="AK1027" s="2202"/>
      <c r="AL1027" s="2202"/>
      <c r="AM1027" s="2202"/>
      <c r="AN1027" s="2202"/>
      <c r="AO1027" s="2202"/>
      <c r="AP1027" s="2202"/>
      <c r="AQ1027" s="2203"/>
      <c r="AR1027" s="1487"/>
      <c r="AS1027" s="1487"/>
      <c r="AT1027" s="1487"/>
      <c r="AU1027" s="1487"/>
      <c r="AV1027" s="1487"/>
      <c r="AW1027" s="1487"/>
      <c r="AX1027" s="1487"/>
      <c r="AY1027" s="1487"/>
      <c r="CR1027" s="25"/>
    </row>
    <row r="1028" spans="1:96" ht="12.75" customHeight="1">
      <c r="A1028" s="51"/>
      <c r="B1028" s="117"/>
      <c r="C1028" s="198" t="s">
        <v>2103</v>
      </c>
      <c r="D1028" s="2084" t="s">
        <v>2309</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91" t="str">
        <f>IF(X1031&gt;0,"Yes","No")</f>
        <v>Yes</v>
      </c>
      <c r="AH1028" s="2192"/>
      <c r="AI1028" s="121"/>
      <c r="AJ1028" s="2195">
        <f>IF((X1031=0),0,(2*BA990)*AJ975)</f>
        <v>15636097.360000001</v>
      </c>
      <c r="AK1028" s="2196"/>
      <c r="AL1028" s="2196"/>
      <c r="AM1028" s="2196"/>
      <c r="AN1028" s="2196"/>
      <c r="AO1028" s="2196"/>
      <c r="AP1028" s="2196"/>
      <c r="AQ1028" s="2197"/>
      <c r="AR1028" s="1487"/>
      <c r="AS1028" s="1487"/>
      <c r="AT1028" s="1487"/>
      <c r="AU1028" s="1487"/>
      <c r="AV1028" s="1487"/>
      <c r="AW1028" s="1487"/>
      <c r="AX1028" s="1487"/>
      <c r="AY1028" s="1487"/>
    </row>
    <row r="1029" spans="1:96" ht="12.75" customHeight="1">
      <c r="A1029" s="51"/>
      <c r="B1029" s="110"/>
      <c r="C1029" s="700"/>
      <c r="D1029" s="2078" t="s">
        <v>1536</v>
      </c>
      <c r="E1029" s="2079"/>
      <c r="F1029" s="2079"/>
      <c r="G1029" s="2079"/>
      <c r="H1029" s="2079"/>
      <c r="I1029" s="2079"/>
      <c r="J1029" s="2079"/>
      <c r="K1029" s="2079"/>
      <c r="L1029" s="2079"/>
      <c r="M1029" s="2079"/>
      <c r="N1029" s="2079"/>
      <c r="O1029" s="2079"/>
      <c r="P1029" s="2079"/>
      <c r="Q1029" s="2079"/>
      <c r="R1029" s="2079"/>
      <c r="S1029" s="2079"/>
      <c r="T1029" s="2079"/>
      <c r="U1029" s="2079"/>
      <c r="V1029" s="2079"/>
      <c r="W1029" s="2079"/>
      <c r="X1029" s="2079"/>
      <c r="Y1029" s="2079"/>
      <c r="Z1029" s="2079"/>
      <c r="AA1029" s="2079"/>
      <c r="AB1029" s="2079"/>
      <c r="AC1029" s="2079"/>
      <c r="AD1029" s="2079"/>
      <c r="AE1029" s="2080"/>
      <c r="AF1029" s="110"/>
      <c r="AG1029" s="701"/>
      <c r="AH1029" s="701"/>
      <c r="AI1029" s="121"/>
      <c r="AJ1029" s="2198"/>
      <c r="AK1029" s="2199"/>
      <c r="AL1029" s="2199"/>
      <c r="AM1029" s="2199"/>
      <c r="AN1029" s="2199"/>
      <c r="AO1029" s="2199"/>
      <c r="AP1029" s="2199"/>
      <c r="AQ1029" s="2200"/>
      <c r="AR1029" s="1487"/>
      <c r="AS1029" s="1487"/>
      <c r="AT1029" s="1487"/>
      <c r="AU1029" s="1487"/>
      <c r="AV1029" s="1487"/>
      <c r="AW1029" s="1487"/>
      <c r="AX1029" s="1487"/>
      <c r="AY1029" s="1487"/>
    </row>
    <row r="1030" spans="1:96" ht="12.75" customHeight="1">
      <c r="A1030" s="51"/>
      <c r="B1030" s="110"/>
      <c r="C1030" s="121"/>
      <c r="D1030" s="2078"/>
      <c r="E1030" s="2079"/>
      <c r="F1030" s="2079"/>
      <c r="G1030" s="2079"/>
      <c r="H1030" s="2079"/>
      <c r="I1030" s="2079"/>
      <c r="J1030" s="2079"/>
      <c r="K1030" s="2079"/>
      <c r="L1030" s="2079"/>
      <c r="M1030" s="2079"/>
      <c r="N1030" s="2079"/>
      <c r="O1030" s="2079"/>
      <c r="P1030" s="2079"/>
      <c r="Q1030" s="2079"/>
      <c r="R1030" s="2079"/>
      <c r="S1030" s="2079"/>
      <c r="T1030" s="2079"/>
      <c r="U1030" s="2079"/>
      <c r="V1030" s="2079"/>
      <c r="W1030" s="2079"/>
      <c r="X1030" s="2079"/>
      <c r="Y1030" s="2079"/>
      <c r="Z1030" s="2079"/>
      <c r="AA1030" s="2079"/>
      <c r="AB1030" s="2079"/>
      <c r="AC1030" s="2079"/>
      <c r="AD1030" s="2079"/>
      <c r="AE1030" s="2080"/>
      <c r="AF1030" s="1523"/>
      <c r="AG1030" s="1524"/>
      <c r="AH1030" s="1524"/>
      <c r="AI1030" s="1525"/>
      <c r="AJ1030" s="2198"/>
      <c r="AK1030" s="2199"/>
      <c r="AL1030" s="2199"/>
      <c r="AM1030" s="2199"/>
      <c r="AN1030" s="2199"/>
      <c r="AO1030" s="2199"/>
      <c r="AP1030" s="2199"/>
      <c r="AQ1030" s="2200"/>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89">
        <f>BA987</f>
        <v>81</v>
      </c>
      <c r="J1031" s="2190"/>
      <c r="K1031" s="51"/>
      <c r="L1031" s="200"/>
      <c r="M1031" s="200"/>
      <c r="N1031" s="200"/>
      <c r="O1031" s="200"/>
      <c r="P1031" s="200"/>
      <c r="Q1031" s="200"/>
      <c r="R1031" s="200"/>
      <c r="S1031" s="200"/>
      <c r="T1031" s="200"/>
      <c r="U1031" s="200"/>
      <c r="V1031" s="201" t="s">
        <v>1053</v>
      </c>
      <c r="X1031" s="2187">
        <f>BK635</f>
        <v>19</v>
      </c>
      <c r="Y1031" s="2188"/>
      <c r="AF1031" s="1526"/>
      <c r="AG1031" s="1527"/>
      <c r="AH1031" s="1527"/>
      <c r="AI1031" s="1528"/>
      <c r="AJ1031" s="2201"/>
      <c r="AK1031" s="2202"/>
      <c r="AL1031" s="2202"/>
      <c r="AM1031" s="2202"/>
      <c r="AN1031" s="2202"/>
      <c r="AO1031" s="2202"/>
      <c r="AP1031" s="2202"/>
      <c r="AQ1031" s="2203"/>
      <c r="AR1031" s="1487"/>
      <c r="AS1031" s="1487"/>
      <c r="AT1031" s="1487"/>
      <c r="AU1031" s="1487"/>
      <c r="AV1031" s="1487"/>
      <c r="AW1031" s="1487"/>
      <c r="AX1031" s="1487"/>
      <c r="AY1031" s="1487"/>
      <c r="CR1031" s="25"/>
    </row>
    <row r="1032" spans="1:96" ht="12.75" customHeight="1">
      <c r="A1032" s="51"/>
      <c r="B1032" s="158"/>
      <c r="C1032" s="159"/>
      <c r="D1032" s="2185" t="s">
        <v>546</v>
      </c>
      <c r="E1032" s="2185"/>
      <c r="F1032" s="2185"/>
      <c r="G1032" s="2185"/>
      <c r="H1032" s="2185"/>
      <c r="I1032" s="2185"/>
      <c r="J1032" s="2185"/>
      <c r="K1032" s="2185"/>
      <c r="L1032" s="2185"/>
      <c r="M1032" s="2185"/>
      <c r="N1032" s="2185"/>
      <c r="O1032" s="2185"/>
      <c r="P1032" s="2185"/>
      <c r="Q1032" s="2185"/>
      <c r="R1032" s="2185"/>
      <c r="S1032" s="2185"/>
      <c r="T1032" s="2185"/>
      <c r="U1032" s="2185"/>
      <c r="V1032" s="2185"/>
      <c r="W1032" s="2185"/>
      <c r="X1032" s="2185"/>
      <c r="Y1032" s="2185"/>
      <c r="Z1032" s="2185"/>
      <c r="AA1032" s="2185"/>
      <c r="AB1032" s="2185"/>
      <c r="AC1032" s="2185"/>
      <c r="AD1032" s="2185"/>
      <c r="AE1032" s="2185"/>
      <c r="AF1032" s="2185"/>
      <c r="AG1032" s="2185"/>
      <c r="AH1032" s="2185"/>
      <c r="AI1032" s="2186"/>
      <c r="AJ1032" s="2204">
        <f>SUM(AJ975:AQ1031)</f>
        <v>75366083.519999996</v>
      </c>
      <c r="AK1032" s="2205"/>
      <c r="AL1032" s="2205"/>
      <c r="AM1032" s="2205"/>
      <c r="AN1032" s="2205"/>
      <c r="AO1032" s="2205"/>
      <c r="AP1032" s="2205"/>
      <c r="AQ1032" s="2206"/>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3" t="s">
        <v>1923</v>
      </c>
      <c r="C1034" s="2503"/>
      <c r="D1034" s="2503"/>
      <c r="E1034" s="2503"/>
      <c r="F1034" s="2503"/>
      <c r="G1034" s="2503"/>
      <c r="H1034" s="2503"/>
      <c r="I1034" s="2503"/>
      <c r="J1034" s="2503"/>
      <c r="K1034" s="2503"/>
      <c r="L1034" s="2503"/>
      <c r="M1034" s="2503"/>
      <c r="N1034" s="2503"/>
      <c r="O1034" s="2503"/>
      <c r="P1034" s="2503"/>
      <c r="Q1034" s="2503"/>
      <c r="R1034" s="2503"/>
      <c r="S1034" s="2503"/>
      <c r="T1034" s="2503"/>
      <c r="U1034" s="2503"/>
      <c r="V1034" s="2503"/>
      <c r="W1034" s="2503"/>
      <c r="X1034" s="2503"/>
      <c r="Y1034" s="2503"/>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0"/>
      <c r="Y1035" s="2290"/>
      <c r="Z1035" s="2290"/>
      <c r="AA1035" s="2290"/>
      <c r="AB1035" s="2290"/>
      <c r="AC1035" s="2290"/>
      <c r="AD1035" s="2498">
        <f>R971</f>
        <v>387200</v>
      </c>
      <c r="AE1035" s="2409"/>
      <c r="AF1035" s="2409"/>
      <c r="AG1035" s="2409"/>
      <c r="AH1035" s="2409"/>
      <c r="AI1035" s="2409"/>
      <c r="AJ1035" s="2409"/>
      <c r="AK1035" s="2409"/>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1"/>
      <c r="Y1036" s="2291"/>
      <c r="Z1036" s="2291"/>
      <c r="AA1036" s="2291"/>
      <c r="AB1036" s="2291"/>
      <c r="AC1036" s="2291"/>
      <c r="AD1036" s="2126">
        <f>MEDIAN((BR809:BR866))</f>
        <v>388000</v>
      </c>
      <c r="AE1036" s="2126"/>
      <c r="AF1036" s="2126"/>
      <c r="AG1036" s="2126"/>
      <c r="AH1036" s="2126"/>
      <c r="AI1036" s="2126"/>
      <c r="AJ1036" s="2126"/>
      <c r="AK1036" s="2126"/>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9" t="s">
        <v>1925</v>
      </c>
      <c r="C1037" s="2499"/>
      <c r="D1037" s="2499"/>
      <c r="E1037" s="2499"/>
      <c r="F1037" s="2499"/>
      <c r="G1037" s="2499"/>
      <c r="H1037" s="2499"/>
      <c r="I1037" s="2499"/>
      <c r="J1037" s="2499"/>
      <c r="K1037" s="2499"/>
      <c r="L1037" s="2499"/>
      <c r="M1037" s="2499"/>
      <c r="N1037" s="2499"/>
      <c r="O1037" s="2499"/>
      <c r="P1037" s="2499"/>
      <c r="Q1037" s="2499"/>
      <c r="R1037" s="2499"/>
      <c r="S1037" s="2499"/>
      <c r="T1037" s="2499"/>
      <c r="U1037" s="2499"/>
      <c r="V1037" s="2499"/>
      <c r="W1037" s="2499"/>
      <c r="X1037" s="2499"/>
      <c r="Y1037" s="2499"/>
      <c r="Z1037" s="1412"/>
      <c r="AA1037" s="1412"/>
      <c r="AB1037" s="1412"/>
      <c r="AC1037" s="1412"/>
      <c r="AD1037" s="2495">
        <f>IF(((AD1035-AD1036)/AD1036)&gt;0.3,0.3,((AD1035-AD1036)/AD1036))</f>
        <v>-2.0618556701030928E-3</v>
      </c>
      <c r="AE1037" s="2496"/>
      <c r="AF1037" s="2496"/>
      <c r="AG1037" s="2496"/>
      <c r="AH1037" s="2496"/>
      <c r="AI1037" s="2496"/>
      <c r="AJ1037" s="2496"/>
      <c r="AK1037" s="249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8">
        <f>IF(ISNA(IF((AJ999&gt;(AJ975*0.15)),"(f) cannot be greater than 15% of unadjusted eligible basis.",0)),"",(IF((AJ999&gt;(AJ975*0.15)),"(f) cannot be greater than 15% of unadjusted eligible basis.",0)))</f>
        <v>0</v>
      </c>
      <c r="C1039" s="2288"/>
      <c r="D1039" s="2288"/>
      <c r="E1039" s="2288"/>
      <c r="F1039" s="2288"/>
      <c r="G1039" s="2288"/>
      <c r="H1039" s="2288"/>
      <c r="I1039" s="2288"/>
      <c r="J1039" s="2288"/>
      <c r="K1039" s="2288"/>
      <c r="L1039" s="2288"/>
      <c r="M1039" s="2288"/>
      <c r="N1039" s="2288"/>
      <c r="O1039" s="2288"/>
      <c r="P1039" s="2288"/>
      <c r="Q1039" s="2288"/>
      <c r="R1039" s="2288"/>
      <c r="S1039" s="2288"/>
      <c r="T1039" s="2288"/>
      <c r="U1039" s="2288"/>
      <c r="V1039" s="2288"/>
      <c r="W1039" s="2288"/>
      <c r="X1039" s="2288"/>
      <c r="Y1039" s="2288"/>
      <c r="Z1039" s="2288"/>
      <c r="AA1039" s="2288"/>
      <c r="AB1039" s="2288"/>
      <c r="AC1039" s="2288"/>
      <c r="AD1039" s="2288"/>
      <c r="AE1039" s="2288"/>
      <c r="AF1039" s="2288"/>
      <c r="AG1039" s="2288"/>
      <c r="AH1039" s="2288"/>
      <c r="AI1039" s="2288"/>
      <c r="AJ1039" s="2288"/>
      <c r="AK1039" s="228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4" t="s">
        <v>852</v>
      </c>
      <c r="B1040" s="2324"/>
      <c r="C1040" s="2324"/>
      <c r="D1040" s="2324"/>
      <c r="E1040" s="2324"/>
      <c r="F1040" s="2324"/>
      <c r="G1040" s="2324"/>
      <c r="H1040" s="2324"/>
      <c r="I1040" s="2324"/>
      <c r="J1040" s="2324"/>
      <c r="K1040" s="2324"/>
      <c r="L1040" s="2324"/>
      <c r="M1040" s="2324"/>
      <c r="N1040" s="2324"/>
      <c r="O1040" s="2324"/>
      <c r="P1040" s="2324"/>
      <c r="Q1040" s="2324"/>
      <c r="R1040" s="2324"/>
      <c r="S1040" s="2324"/>
      <c r="T1040" s="2324"/>
      <c r="U1040" s="2324"/>
      <c r="V1040" s="2324"/>
      <c r="W1040" s="2324"/>
      <c r="X1040" s="2324"/>
      <c r="Y1040" s="2324"/>
      <c r="Z1040" s="2324"/>
      <c r="AA1040" s="2324"/>
      <c r="AB1040" s="2324"/>
      <c r="AC1040" s="2324"/>
      <c r="AD1040" s="2324"/>
      <c r="AE1040" s="2324"/>
      <c r="AF1040" s="2324"/>
      <c r="AG1040" s="2324"/>
      <c r="AH1040" s="2324"/>
      <c r="AI1040" s="2324"/>
      <c r="AJ1040" s="2324"/>
      <c r="AK1040" s="2324"/>
      <c r="AL1040" s="232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578</v>
      </c>
      <c r="B1044" s="1991"/>
      <c r="C1044" s="13">
        <v>1</v>
      </c>
      <c r="D1044" s="1856" t="s">
        <v>1220</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1" t="s">
        <v>626</v>
      </c>
      <c r="B1050" s="1991"/>
      <c r="C1050" s="13">
        <v>2</v>
      </c>
      <c r="D1050" s="1856" t="s">
        <v>1219</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626</v>
      </c>
      <c r="B1056" s="1991"/>
      <c r="C1056" s="13">
        <v>3</v>
      </c>
      <c r="D1056" s="1856" t="s">
        <v>1519</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626</v>
      </c>
      <c r="B1063" s="1991"/>
      <c r="C1063" s="13">
        <v>4</v>
      </c>
      <c r="D1063" s="1856" t="s">
        <v>1205</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1" t="s">
        <v>626</v>
      </c>
      <c r="B1066" s="1991"/>
      <c r="C1066" s="13">
        <v>5</v>
      </c>
      <c r="D1066" s="1856" t="s">
        <v>1414</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626</v>
      </c>
      <c r="B1071" s="1991"/>
      <c r="C1071" s="13">
        <v>6</v>
      </c>
      <c r="D1071" s="1856" t="s">
        <v>1206</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626</v>
      </c>
      <c r="B1074" s="1991"/>
      <c r="C1074" s="318">
        <v>7</v>
      </c>
      <c r="D1074" s="1856" t="s">
        <v>1208</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626</v>
      </c>
      <c r="B1078" s="1991"/>
      <c r="C1078" s="318">
        <v>8</v>
      </c>
      <c r="D1078" s="2289" t="s">
        <v>2098</v>
      </c>
      <c r="E1078" s="2289"/>
      <c r="F1078" s="2289"/>
      <c r="G1078" s="2289"/>
      <c r="H1078" s="2289"/>
      <c r="I1078" s="2289"/>
      <c r="J1078" s="2289"/>
      <c r="K1078" s="2289"/>
      <c r="L1078" s="2289"/>
      <c r="M1078" s="2289"/>
      <c r="N1078" s="2289"/>
      <c r="O1078" s="2289"/>
      <c r="P1078" s="2289"/>
      <c r="Q1078" s="2289"/>
      <c r="R1078" s="2289"/>
      <c r="S1078" s="2289"/>
      <c r="T1078" s="2289"/>
      <c r="U1078" s="2289"/>
      <c r="V1078" s="2289"/>
      <c r="W1078" s="2289"/>
      <c r="X1078" s="2289"/>
      <c r="Y1078" s="2289"/>
      <c r="Z1078" s="2289"/>
      <c r="AA1078" s="2289"/>
      <c r="AB1078" s="2289"/>
      <c r="AC1078" s="2289"/>
      <c r="AD1078" s="2289"/>
      <c r="AE1078" s="2289"/>
      <c r="AF1078" s="2289"/>
      <c r="AG1078" s="2289"/>
      <c r="AH1078" s="2289"/>
      <c r="AI1078" s="2289"/>
      <c r="AJ1078" s="2289"/>
      <c r="AK1078" s="2289"/>
    </row>
    <row r="1079" spans="1:96" ht="12.6" customHeight="1">
      <c r="A1079" s="235"/>
      <c r="B1079" s="235"/>
      <c r="C1079" s="318"/>
      <c r="D1079" s="2289"/>
      <c r="E1079" s="2289"/>
      <c r="F1079" s="2289"/>
      <c r="G1079" s="2289"/>
      <c r="H1079" s="2289"/>
      <c r="I1079" s="2289"/>
      <c r="J1079" s="2289"/>
      <c r="K1079" s="2289"/>
      <c r="L1079" s="2289"/>
      <c r="M1079" s="2289"/>
      <c r="N1079" s="2289"/>
      <c r="O1079" s="2289"/>
      <c r="P1079" s="2289"/>
      <c r="Q1079" s="2289"/>
      <c r="R1079" s="2289"/>
      <c r="S1079" s="2289"/>
      <c r="T1079" s="2289"/>
      <c r="U1079" s="2289"/>
      <c r="V1079" s="2289"/>
      <c r="W1079" s="2289"/>
      <c r="X1079" s="2289"/>
      <c r="Y1079" s="2289"/>
      <c r="Z1079" s="2289"/>
      <c r="AA1079" s="2289"/>
      <c r="AB1079" s="2289"/>
      <c r="AC1079" s="2289"/>
      <c r="AD1079" s="2289"/>
      <c r="AE1079" s="2289"/>
      <c r="AF1079" s="2289"/>
      <c r="AG1079" s="2289"/>
      <c r="AH1079" s="2289"/>
      <c r="AI1079" s="2289"/>
      <c r="AJ1079" s="2289"/>
      <c r="AK1079" s="2289"/>
    </row>
    <row r="1080" spans="1:96" ht="12.6" customHeight="1">
      <c r="A1080" s="235"/>
      <c r="B1080" s="235"/>
      <c r="C1080" s="318"/>
      <c r="D1080" s="2289"/>
      <c r="E1080" s="2289"/>
      <c r="F1080" s="2289"/>
      <c r="G1080" s="2289"/>
      <c r="H1080" s="2289"/>
      <c r="I1080" s="2289"/>
      <c r="J1080" s="2289"/>
      <c r="K1080" s="2289"/>
      <c r="L1080" s="2289"/>
      <c r="M1080" s="2289"/>
      <c r="N1080" s="2289"/>
      <c r="O1080" s="2289"/>
      <c r="P1080" s="2289"/>
      <c r="Q1080" s="2289"/>
      <c r="R1080" s="2289"/>
      <c r="S1080" s="2289"/>
      <c r="T1080" s="2289"/>
      <c r="U1080" s="2289"/>
      <c r="V1080" s="2289"/>
      <c r="W1080" s="2289"/>
      <c r="X1080" s="2289"/>
      <c r="Y1080" s="2289"/>
      <c r="Z1080" s="2289"/>
      <c r="AA1080" s="2289"/>
      <c r="AB1080" s="2289"/>
      <c r="AC1080" s="2289"/>
      <c r="AD1080" s="2289"/>
      <c r="AE1080" s="2289"/>
      <c r="AF1080" s="2289"/>
      <c r="AG1080" s="2289"/>
      <c r="AH1080" s="2289"/>
      <c r="AI1080" s="2289"/>
      <c r="AJ1080" s="2289"/>
      <c r="AK1080" s="2289"/>
      <c r="AL1080" s="680"/>
    </row>
    <row r="1081" spans="1:96" ht="12" customHeight="1">
      <c r="A1081" s="62"/>
      <c r="B1081" s="66"/>
      <c r="C1081" s="318"/>
      <c r="D1081" s="2289"/>
      <c r="E1081" s="2289"/>
      <c r="F1081" s="2289"/>
      <c r="G1081" s="2289"/>
      <c r="H1081" s="2289"/>
      <c r="I1081" s="2289"/>
      <c r="J1081" s="2289"/>
      <c r="K1081" s="2289"/>
      <c r="L1081" s="2289"/>
      <c r="M1081" s="2289"/>
      <c r="N1081" s="2289"/>
      <c r="O1081" s="2289"/>
      <c r="P1081" s="2289"/>
      <c r="Q1081" s="2289"/>
      <c r="R1081" s="2289"/>
      <c r="S1081" s="2289"/>
      <c r="T1081" s="2289"/>
      <c r="U1081" s="2289"/>
      <c r="V1081" s="2289"/>
      <c r="W1081" s="2289"/>
      <c r="X1081" s="2289"/>
      <c r="Y1081" s="2289"/>
      <c r="Z1081" s="2289"/>
      <c r="AA1081" s="2289"/>
      <c r="AB1081" s="2289"/>
      <c r="AC1081" s="2289"/>
      <c r="AD1081" s="2289"/>
      <c r="AE1081" s="2289"/>
      <c r="AF1081" s="2289"/>
      <c r="AG1081" s="2289"/>
      <c r="AH1081" s="2289"/>
      <c r="AI1081" s="2289"/>
      <c r="AJ1081" s="2289"/>
      <c r="AK1081" s="2289"/>
    </row>
    <row r="1082" spans="1:96" ht="12.6" customHeight="1">
      <c r="A1082" s="1991" t="s">
        <v>626</v>
      </c>
      <c r="B1082" s="1991"/>
      <c r="C1082" s="318">
        <v>9</v>
      </c>
      <c r="D1082" s="1856" t="s">
        <v>1207</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Q566:S56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P417:R417"/>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1" priority="4" stopIfTrue="1" operator="equal">
      <formula>"Please Enter Amount:"</formula>
    </cfRule>
  </conditionalFormatting>
  <conditionalFormatting sqref="AJ1024">
    <cfRule type="cellIs" dxfId="130" priority="7" stopIfTrue="1" operator="equal">
      <formula>"#DIV/0!"</formula>
    </cfRule>
  </conditionalFormatting>
  <conditionalFormatting sqref="AG440:AJ440">
    <cfRule type="expression" dxfId="129" priority="8" stopIfTrue="1">
      <formula>"iserror(d31)"</formula>
    </cfRule>
  </conditionalFormatting>
  <conditionalFormatting sqref="AF1012">
    <cfRule type="cellIs" dxfId="128" priority="2" stopIfTrue="1" operator="equal">
      <formula>"Please Enter Amount:"</formula>
    </cfRule>
  </conditionalFormatting>
  <conditionalFormatting sqref="AF1005">
    <cfRule type="cellIs" dxfId="12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3" zoomScale="90" zoomScaleNormal="100" zoomScaleSheetLayoutView="90" workbookViewId="0">
      <selection activeCell="E100" sqref="E100"/>
    </sheetView>
  </sheetViews>
  <sheetFormatPr defaultColWidth="0" defaultRowHeight="11.4" zeroHeight="1"/>
  <cols>
    <col min="1" max="1" width="35.77734375" style="298" customWidth="1"/>
    <col min="2" max="12" width="12.109375" style="229" customWidth="1"/>
    <col min="13" max="17" width="11.21875" style="229" customWidth="1"/>
    <col min="18" max="18" width="12.77734375" style="229" customWidth="1"/>
    <col min="19" max="20" width="12.109375" style="229" customWidth="1"/>
    <col min="21" max="21" width="0.21875" style="232" customWidth="1"/>
    <col min="22" max="16383" width="8.88671875" style="229" hidden="1"/>
    <col min="16384" max="16384" width="0.109375" style="229" customWidth="1"/>
  </cols>
  <sheetData>
    <row r="1" spans="1:21" s="166" customFormat="1" ht="13.8">
      <c r="A1" s="246" t="s">
        <v>582</v>
      </c>
      <c r="B1" s="189"/>
      <c r="C1" s="189"/>
      <c r="D1" s="189"/>
      <c r="E1" s="190"/>
      <c r="F1" s="2529" t="s">
        <v>656</v>
      </c>
      <c r="G1" s="2530"/>
      <c r="H1" s="2530"/>
      <c r="I1" s="2530"/>
      <c r="J1" s="2530"/>
      <c r="K1" s="2530"/>
      <c r="L1" s="2530"/>
      <c r="M1" s="2530"/>
      <c r="N1" s="2530"/>
      <c r="O1" s="2530"/>
      <c r="P1" s="2530"/>
      <c r="Q1" s="2530"/>
      <c r="R1" s="2531"/>
      <c r="S1" s="168"/>
      <c r="T1" s="167"/>
      <c r="U1" s="169"/>
    </row>
    <row r="2" spans="1:21" s="208" customFormat="1" ht="71.25" customHeight="1">
      <c r="A2" s="207"/>
      <c r="B2" s="208" t="s">
        <v>24</v>
      </c>
      <c r="C2" s="208" t="s">
        <v>392</v>
      </c>
      <c r="D2" s="208" t="s">
        <v>391</v>
      </c>
      <c r="E2" s="208" t="s">
        <v>25</v>
      </c>
      <c r="F2" s="209" t="str">
        <f>Application!B637&amp;Application!C637</f>
        <v>1)Citi Capital</v>
      </c>
      <c r="G2" s="209" t="str">
        <f>Application!B638&amp;Application!C638</f>
        <v>2)HCD-MHP</v>
      </c>
      <c r="H2" s="209" t="str">
        <f>Application!B639&amp;Application!C639</f>
        <v>3)HCD-CPHLA</v>
      </c>
      <c r="I2" s="209" t="str">
        <f>Application!B640&amp;Application!C640</f>
        <v>4)HCD-CDBG</v>
      </c>
      <c r="J2" s="209" t="str">
        <f>Application!B641&amp;Application!C641</f>
        <v>5)HCD-IIG</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820000</v>
      </c>
      <c r="C4" s="217">
        <v>820000</v>
      </c>
      <c r="D4" s="217"/>
      <c r="E4" s="217"/>
      <c r="F4" s="217"/>
      <c r="G4" s="217"/>
      <c r="H4" s="217"/>
      <c r="I4" s="217">
        <v>820000</v>
      </c>
      <c r="J4" s="217"/>
      <c r="K4" s="217"/>
      <c r="L4" s="217"/>
      <c r="M4" s="217"/>
      <c r="N4" s="217"/>
      <c r="O4" s="217"/>
      <c r="P4" s="217"/>
      <c r="Q4" s="217"/>
      <c r="R4" s="877">
        <f>SUM(E4:Q4)</f>
        <v>820000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10000</v>
      </c>
      <c r="C6" s="217">
        <v>10000</v>
      </c>
      <c r="D6" s="217"/>
      <c r="E6" s="217">
        <v>10000</v>
      </c>
      <c r="F6" s="217"/>
      <c r="G6" s="217"/>
      <c r="H6" s="217"/>
      <c r="I6" s="217"/>
      <c r="J6" s="217"/>
      <c r="K6" s="217"/>
      <c r="L6" s="217"/>
      <c r="M6" s="217"/>
      <c r="N6" s="217"/>
      <c r="O6" s="217"/>
      <c r="P6" s="217"/>
      <c r="Q6" s="217"/>
      <c r="R6" s="877">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2">
      <c r="A8" s="219" t="s">
        <v>628</v>
      </c>
      <c r="B8" s="216">
        <f>SUM(C8:D8)</f>
        <v>830000</v>
      </c>
      <c r="C8" s="216">
        <f t="shared" ref="C8:Q8" si="0">SUM(C4:C7)</f>
        <v>830000</v>
      </c>
      <c r="D8" s="216">
        <f t="shared" si="0"/>
        <v>0</v>
      </c>
      <c r="E8" s="216">
        <f t="shared" si="0"/>
        <v>10000</v>
      </c>
      <c r="F8" s="216">
        <f t="shared" si="0"/>
        <v>0</v>
      </c>
      <c r="G8" s="216">
        <f t="shared" si="0"/>
        <v>0</v>
      </c>
      <c r="H8" s="216">
        <f t="shared" si="0"/>
        <v>0</v>
      </c>
      <c r="I8" s="216">
        <f t="shared" si="0"/>
        <v>820000</v>
      </c>
      <c r="J8" s="216">
        <f t="shared" si="0"/>
        <v>0</v>
      </c>
      <c r="K8" s="216">
        <f t="shared" si="0"/>
        <v>0</v>
      </c>
      <c r="L8" s="216">
        <f t="shared" si="0"/>
        <v>0</v>
      </c>
      <c r="M8" s="216">
        <f t="shared" si="0"/>
        <v>0</v>
      </c>
      <c r="N8" s="216">
        <f t="shared" si="0"/>
        <v>0</v>
      </c>
      <c r="O8" s="216">
        <f t="shared" si="0"/>
        <v>0</v>
      </c>
      <c r="P8" s="216"/>
      <c r="Q8" s="216">
        <f t="shared" si="0"/>
        <v>0</v>
      </c>
      <c r="R8" s="532">
        <f>SUM(R4:R7)</f>
        <v>830000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2362893</v>
      </c>
      <c r="C10" s="217">
        <v>2362893</v>
      </c>
      <c r="D10" s="217"/>
      <c r="E10" s="217">
        <f>B10-J10</f>
        <v>205000</v>
      </c>
      <c r="F10" s="217"/>
      <c r="G10" s="217"/>
      <c r="H10" s="217"/>
      <c r="I10" s="217"/>
      <c r="J10" s="217">
        <v>2157893</v>
      </c>
      <c r="K10" s="217"/>
      <c r="L10" s="217"/>
      <c r="M10" s="217"/>
      <c r="N10" s="217"/>
      <c r="O10" s="217"/>
      <c r="P10" s="217"/>
      <c r="Q10" s="217"/>
      <c r="R10" s="877">
        <f>SUM(E10:Q10)</f>
        <v>2362893</v>
      </c>
      <c r="S10" s="217">
        <f>C10</f>
        <v>2362893</v>
      </c>
      <c r="T10" s="217"/>
      <c r="U10" s="213"/>
    </row>
    <row r="11" spans="1:21" s="214" customFormat="1" ht="12">
      <c r="A11" s="219" t="s">
        <v>631</v>
      </c>
      <c r="B11" s="216">
        <f>SUM(C11:D11)</f>
        <v>2362893</v>
      </c>
      <c r="C11" s="216">
        <f t="shared" ref="C11:Q11" si="1">SUM(C9:C10)</f>
        <v>2362893</v>
      </c>
      <c r="D11" s="216">
        <f t="shared" si="1"/>
        <v>0</v>
      </c>
      <c r="E11" s="216">
        <f t="shared" si="1"/>
        <v>205000</v>
      </c>
      <c r="F11" s="216">
        <f t="shared" si="1"/>
        <v>0</v>
      </c>
      <c r="G11" s="216">
        <f t="shared" si="1"/>
        <v>0</v>
      </c>
      <c r="H11" s="216">
        <f t="shared" si="1"/>
        <v>0</v>
      </c>
      <c r="I11" s="216">
        <f t="shared" si="1"/>
        <v>0</v>
      </c>
      <c r="J11" s="216">
        <f t="shared" si="1"/>
        <v>2157893</v>
      </c>
      <c r="K11" s="216">
        <f t="shared" si="1"/>
        <v>0</v>
      </c>
      <c r="L11" s="216">
        <f t="shared" si="1"/>
        <v>0</v>
      </c>
      <c r="M11" s="216">
        <f t="shared" si="1"/>
        <v>0</v>
      </c>
      <c r="N11" s="216">
        <f t="shared" si="1"/>
        <v>0</v>
      </c>
      <c r="O11" s="216">
        <f t="shared" si="1"/>
        <v>0</v>
      </c>
      <c r="P11" s="216"/>
      <c r="Q11" s="216">
        <f t="shared" si="1"/>
        <v>0</v>
      </c>
      <c r="R11" s="532">
        <f>SUM(R9:R10)</f>
        <v>2362893</v>
      </c>
      <c r="S11" s="218"/>
      <c r="T11" s="220">
        <f>SUM(T9:T10)</f>
        <v>0</v>
      </c>
      <c r="U11" s="213"/>
    </row>
    <row r="12" spans="1:21" s="214" customFormat="1" ht="12">
      <c r="A12" s="219" t="s">
        <v>89</v>
      </c>
      <c r="B12" s="216">
        <f t="shared" ref="B12:Q12" si="2">SUM(B8+B11)</f>
        <v>3192893</v>
      </c>
      <c r="C12" s="216">
        <f t="shared" si="2"/>
        <v>3192893</v>
      </c>
      <c r="D12" s="216">
        <f t="shared" si="2"/>
        <v>0</v>
      </c>
      <c r="E12" s="216">
        <f t="shared" si="2"/>
        <v>215000</v>
      </c>
      <c r="F12" s="216">
        <f t="shared" si="2"/>
        <v>0</v>
      </c>
      <c r="G12" s="216">
        <f t="shared" si="2"/>
        <v>0</v>
      </c>
      <c r="H12" s="216">
        <f t="shared" si="2"/>
        <v>0</v>
      </c>
      <c r="I12" s="216">
        <f t="shared" si="2"/>
        <v>820000</v>
      </c>
      <c r="J12" s="216">
        <f t="shared" si="2"/>
        <v>2157893</v>
      </c>
      <c r="K12" s="216">
        <f t="shared" si="2"/>
        <v>0</v>
      </c>
      <c r="L12" s="216">
        <f t="shared" si="2"/>
        <v>0</v>
      </c>
      <c r="M12" s="216">
        <f t="shared" si="2"/>
        <v>0</v>
      </c>
      <c r="N12" s="216">
        <f t="shared" si="2"/>
        <v>0</v>
      </c>
      <c r="O12" s="216">
        <f t="shared" si="2"/>
        <v>0</v>
      </c>
      <c r="P12" s="216"/>
      <c r="Q12" s="216">
        <f t="shared" si="2"/>
        <v>0</v>
      </c>
      <c r="R12" s="532">
        <f>SUM(R8+R11)</f>
        <v>3192893</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2.8">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1136772</v>
      </c>
      <c r="C29" s="217">
        <v>1136772</v>
      </c>
      <c r="D29" s="217"/>
      <c r="E29" s="217">
        <f>B29</f>
        <v>1136772</v>
      </c>
      <c r="F29" s="217"/>
      <c r="G29" s="217"/>
      <c r="H29" s="217"/>
      <c r="I29" s="217"/>
      <c r="J29" s="217"/>
      <c r="K29" s="217"/>
      <c r="L29" s="217"/>
      <c r="M29" s="217"/>
      <c r="N29" s="217"/>
      <c r="O29" s="217"/>
      <c r="P29" s="217"/>
      <c r="Q29" s="217"/>
      <c r="R29" s="877">
        <f t="shared" ref="R29:R37" si="7">SUM(E29:Q29)</f>
        <v>1136772</v>
      </c>
      <c r="S29" s="217">
        <f>C29</f>
        <v>1136772</v>
      </c>
      <c r="T29" s="217"/>
      <c r="U29" s="213"/>
    </row>
    <row r="30" spans="1:21" s="214" customFormat="1">
      <c r="A30" s="215" t="s">
        <v>634</v>
      </c>
      <c r="B30" s="216">
        <f t="shared" si="6"/>
        <v>19243400</v>
      </c>
      <c r="C30" s="217">
        <v>19243400</v>
      </c>
      <c r="D30" s="217"/>
      <c r="E30" s="217">
        <f>B30-F30-G30-H30</f>
        <v>923400</v>
      </c>
      <c r="F30" s="217">
        <v>4500000</v>
      </c>
      <c r="G30" s="217">
        <v>13000000</v>
      </c>
      <c r="H30" s="217">
        <v>820000</v>
      </c>
      <c r="I30" s="217"/>
      <c r="J30" s="217"/>
      <c r="K30" s="217"/>
      <c r="L30" s="217"/>
      <c r="M30" s="217"/>
      <c r="N30" s="217"/>
      <c r="O30" s="217"/>
      <c r="P30" s="217"/>
      <c r="Q30" s="217"/>
      <c r="R30" s="877">
        <f t="shared" si="7"/>
        <v>19243400</v>
      </c>
      <c r="S30" s="217">
        <f t="shared" ref="S30:S33" si="8">C30</f>
        <v>19243400</v>
      </c>
      <c r="T30" s="217"/>
      <c r="U30" s="213"/>
    </row>
    <row r="31" spans="1:21" s="214" customFormat="1">
      <c r="A31" s="215" t="s">
        <v>635</v>
      </c>
      <c r="B31" s="216">
        <f t="shared" si="6"/>
        <v>1235110</v>
      </c>
      <c r="C31" s="217">
        <v>1235110</v>
      </c>
      <c r="D31" s="217"/>
      <c r="E31" s="217">
        <f>B31</f>
        <v>1235110</v>
      </c>
      <c r="F31" s="217"/>
      <c r="G31" s="217"/>
      <c r="H31" s="217"/>
      <c r="I31" s="217"/>
      <c r="J31" s="217"/>
      <c r="K31" s="217"/>
      <c r="L31" s="217"/>
      <c r="M31" s="217"/>
      <c r="N31" s="217"/>
      <c r="O31" s="217"/>
      <c r="P31" s="217"/>
      <c r="Q31" s="217"/>
      <c r="R31" s="877">
        <f t="shared" si="7"/>
        <v>1235110</v>
      </c>
      <c r="S31" s="217">
        <f t="shared" si="8"/>
        <v>1235110</v>
      </c>
      <c r="T31" s="217"/>
      <c r="U31" s="213"/>
    </row>
    <row r="32" spans="1:21" s="214" customFormat="1">
      <c r="A32" s="215" t="s">
        <v>142</v>
      </c>
      <c r="B32" s="216">
        <f t="shared" si="6"/>
        <v>411703</v>
      </c>
      <c r="C32" s="217">
        <v>411703</v>
      </c>
      <c r="D32" s="217"/>
      <c r="E32" s="217">
        <f>B32</f>
        <v>411703</v>
      </c>
      <c r="F32" s="217"/>
      <c r="G32" s="217"/>
      <c r="H32" s="217"/>
      <c r="I32" s="217"/>
      <c r="J32" s="217"/>
      <c r="K32" s="217"/>
      <c r="L32" s="217"/>
      <c r="M32" s="217"/>
      <c r="N32" s="217"/>
      <c r="O32" s="217"/>
      <c r="P32" s="217"/>
      <c r="Q32" s="217"/>
      <c r="R32" s="877">
        <f t="shared" si="7"/>
        <v>411703</v>
      </c>
      <c r="S32" s="217">
        <f t="shared" si="8"/>
        <v>411703</v>
      </c>
      <c r="T32" s="217"/>
      <c r="U32" s="213"/>
    </row>
    <row r="33" spans="1:21" s="214" customFormat="1">
      <c r="A33" s="215" t="s">
        <v>143</v>
      </c>
      <c r="B33" s="216">
        <f t="shared" si="6"/>
        <v>1235110</v>
      </c>
      <c r="C33" s="217">
        <v>1235110</v>
      </c>
      <c r="D33" s="217"/>
      <c r="E33" s="217">
        <f>B33</f>
        <v>1235110</v>
      </c>
      <c r="F33" s="217"/>
      <c r="G33" s="217"/>
      <c r="H33" s="217"/>
      <c r="I33" s="217"/>
      <c r="J33" s="217"/>
      <c r="K33" s="217"/>
      <c r="L33" s="217"/>
      <c r="M33" s="217"/>
      <c r="N33" s="217"/>
      <c r="O33" s="217"/>
      <c r="P33" s="217"/>
      <c r="Q33" s="217"/>
      <c r="R33" s="877">
        <f t="shared" si="7"/>
        <v>1235110</v>
      </c>
      <c r="S33" s="217">
        <f t="shared" si="8"/>
        <v>1235110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170573</v>
      </c>
      <c r="C35" s="217">
        <v>170573</v>
      </c>
      <c r="D35" s="217"/>
      <c r="E35" s="217">
        <f>B35</f>
        <v>170573</v>
      </c>
      <c r="F35" s="217"/>
      <c r="G35" s="217"/>
      <c r="H35" s="217"/>
      <c r="I35" s="217"/>
      <c r="J35" s="217"/>
      <c r="K35" s="217"/>
      <c r="L35" s="217"/>
      <c r="M35" s="217"/>
      <c r="N35" s="217"/>
      <c r="O35" s="217"/>
      <c r="P35" s="217"/>
      <c r="Q35" s="217"/>
      <c r="R35" s="877">
        <f t="shared" si="7"/>
        <v>170573</v>
      </c>
      <c r="S35" s="217">
        <f>C35</f>
        <v>170573</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101901</v>
      </c>
      <c r="C37" s="217">
        <v>101901</v>
      </c>
      <c r="D37" s="217"/>
      <c r="E37" s="217">
        <f>B37</f>
        <v>101901</v>
      </c>
      <c r="F37" s="217"/>
      <c r="G37" s="217"/>
      <c r="H37" s="217"/>
      <c r="I37" s="217"/>
      <c r="J37" s="217"/>
      <c r="K37" s="217"/>
      <c r="L37" s="217"/>
      <c r="M37" s="217"/>
      <c r="N37" s="217"/>
      <c r="O37" s="217"/>
      <c r="P37" s="217"/>
      <c r="Q37" s="217"/>
      <c r="R37" s="877">
        <f t="shared" si="7"/>
        <v>101901</v>
      </c>
      <c r="S37" s="217">
        <f>C37</f>
        <v>101901</v>
      </c>
      <c r="T37" s="217"/>
      <c r="U37" s="213"/>
    </row>
    <row r="38" spans="1:21" s="214" customFormat="1" ht="12">
      <c r="A38" s="219" t="s">
        <v>148</v>
      </c>
      <c r="B38" s="216">
        <f t="shared" si="6"/>
        <v>23534569</v>
      </c>
      <c r="C38" s="216">
        <f>SUM(C29:C37)</f>
        <v>23534569</v>
      </c>
      <c r="D38" s="216">
        <f t="shared" ref="D38:Q38" si="9">SUM(D29:D37)</f>
        <v>0</v>
      </c>
      <c r="E38" s="216">
        <f t="shared" si="9"/>
        <v>5214569</v>
      </c>
      <c r="F38" s="216">
        <f t="shared" si="9"/>
        <v>4500000</v>
      </c>
      <c r="G38" s="216">
        <f t="shared" si="9"/>
        <v>13000000</v>
      </c>
      <c r="H38" s="216">
        <f t="shared" si="9"/>
        <v>820000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23534569</v>
      </c>
      <c r="S38" s="220">
        <f>SUM(S29:S37)</f>
        <v>23534569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f>B40</f>
        <v>450000</v>
      </c>
      <c r="F40" s="217"/>
      <c r="G40" s="217"/>
      <c r="H40" s="217"/>
      <c r="I40" s="217"/>
      <c r="J40" s="217"/>
      <c r="K40" s="217"/>
      <c r="L40" s="217"/>
      <c r="M40" s="217"/>
      <c r="N40" s="217"/>
      <c r="O40" s="217"/>
      <c r="P40" s="217"/>
      <c r="Q40" s="217"/>
      <c r="R40" s="877">
        <f>SUM(E40:Q40)</f>
        <v>450000</v>
      </c>
      <c r="S40" s="217">
        <f>C40</f>
        <v>450000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ht="12">
      <c r="A42" s="219" t="s">
        <v>152</v>
      </c>
      <c r="B42" s="216">
        <f>SUM(C42:D42)</f>
        <v>450000</v>
      </c>
      <c r="C42" s="216">
        <f>SUM(C39:C41)</f>
        <v>450000</v>
      </c>
      <c r="D42" s="216">
        <f>SUM(D39:D41)</f>
        <v>0</v>
      </c>
      <c r="E42" s="216">
        <f t="shared" ref="E42:T42" si="10">SUM(E40:E41)</f>
        <v>450000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450000</v>
      </c>
      <c r="S42" s="220">
        <f t="shared" si="10"/>
        <v>450000</v>
      </c>
      <c r="T42" s="220">
        <f t="shared" si="10"/>
        <v>0</v>
      </c>
      <c r="U42" s="213"/>
    </row>
    <row r="43" spans="1:21" s="214" customFormat="1" ht="12">
      <c r="A43" s="219" t="s">
        <v>153</v>
      </c>
      <c r="B43" s="216">
        <f>SUM(C43:D43)</f>
        <v>140000</v>
      </c>
      <c r="C43" s="217">
        <v>140000</v>
      </c>
      <c r="D43" s="217"/>
      <c r="E43" s="217">
        <f>B43</f>
        <v>140000</v>
      </c>
      <c r="F43" s="217"/>
      <c r="G43" s="217"/>
      <c r="H43" s="217"/>
      <c r="I43" s="217"/>
      <c r="J43" s="217"/>
      <c r="K43" s="217"/>
      <c r="L43" s="217"/>
      <c r="M43" s="217"/>
      <c r="N43" s="217"/>
      <c r="O43" s="217"/>
      <c r="P43" s="217"/>
      <c r="Q43" s="217"/>
      <c r="R43" s="877">
        <f>SUM(E43:Q43)</f>
        <v>140000</v>
      </c>
      <c r="S43" s="217">
        <f>C43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1432722</v>
      </c>
      <c r="C45" s="217">
        <v>1432722</v>
      </c>
      <c r="D45" s="217"/>
      <c r="E45" s="217">
        <f t="shared" ref="E45:E47" si="12">B45</f>
        <v>1432722</v>
      </c>
      <c r="F45" s="217"/>
      <c r="G45" s="217"/>
      <c r="H45" s="217"/>
      <c r="I45" s="217"/>
      <c r="J45" s="217"/>
      <c r="K45" s="217"/>
      <c r="L45" s="217"/>
      <c r="M45" s="217"/>
      <c r="N45" s="217"/>
      <c r="O45" s="217"/>
      <c r="P45" s="217"/>
      <c r="Q45" s="217"/>
      <c r="R45" s="877">
        <f t="shared" ref="R45:R53" si="13">SUM(E45:Q45)</f>
        <v>1432722</v>
      </c>
      <c r="S45" s="217">
        <v>675795</v>
      </c>
      <c r="T45" s="217"/>
      <c r="U45" s="213"/>
    </row>
    <row r="46" spans="1:21" s="214" customFormat="1">
      <c r="A46" s="215" t="s">
        <v>156</v>
      </c>
      <c r="B46" s="216">
        <f t="shared" si="11"/>
        <v>293179</v>
      </c>
      <c r="C46" s="217">
        <v>293179</v>
      </c>
      <c r="D46" s="217"/>
      <c r="E46" s="217">
        <f t="shared" si="12"/>
        <v>293179</v>
      </c>
      <c r="F46" s="217"/>
      <c r="G46" s="217"/>
      <c r="H46" s="217"/>
      <c r="I46" s="217"/>
      <c r="J46" s="217"/>
      <c r="K46" s="217"/>
      <c r="L46" s="217"/>
      <c r="M46" s="217"/>
      <c r="N46" s="217"/>
      <c r="O46" s="217"/>
      <c r="P46" s="217"/>
      <c r="Q46" s="217"/>
      <c r="R46" s="877">
        <f t="shared" si="13"/>
        <v>293179</v>
      </c>
      <c r="S46" s="217">
        <v>138289</v>
      </c>
      <c r="T46" s="217"/>
      <c r="U46" s="213"/>
    </row>
    <row r="47" spans="1:21" s="214" customFormat="1">
      <c r="A47" s="297" t="s">
        <v>157</v>
      </c>
      <c r="B47" s="216">
        <f t="shared" si="11"/>
        <v>25000</v>
      </c>
      <c r="C47" s="217">
        <v>25000</v>
      </c>
      <c r="D47" s="217"/>
      <c r="E47" s="217">
        <f t="shared" si="12"/>
        <v>25000</v>
      </c>
      <c r="F47" s="217"/>
      <c r="G47" s="217"/>
      <c r="H47" s="217"/>
      <c r="I47" s="217"/>
      <c r="J47" s="217"/>
      <c r="K47" s="217"/>
      <c r="L47" s="217"/>
      <c r="M47" s="217"/>
      <c r="N47" s="217"/>
      <c r="O47" s="217"/>
      <c r="P47" s="217"/>
      <c r="Q47" s="217"/>
      <c r="R47" s="877">
        <f t="shared" si="13"/>
        <v>25000</v>
      </c>
      <c r="S47" s="217">
        <f t="shared" ref="S47" si="14">C47</f>
        <v>25000</v>
      </c>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7">
        <f t="shared" si="13"/>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7">
        <f t="shared" si="13"/>
        <v>0</v>
      </c>
      <c r="S49" s="217"/>
      <c r="T49" s="217"/>
      <c r="U49" s="213"/>
    </row>
    <row r="50" spans="1:21" s="214" customFormat="1">
      <c r="A50" s="215" t="s">
        <v>161</v>
      </c>
      <c r="B50" s="216">
        <f t="shared" si="11"/>
        <v>25000</v>
      </c>
      <c r="C50" s="217">
        <v>25000</v>
      </c>
      <c r="D50" s="217"/>
      <c r="E50" s="217">
        <f t="shared" ref="E50:E53" si="15">B50</f>
        <v>25000</v>
      </c>
      <c r="F50" s="217"/>
      <c r="G50" s="217"/>
      <c r="H50" s="217"/>
      <c r="I50" s="217"/>
      <c r="J50" s="217"/>
      <c r="K50" s="217"/>
      <c r="L50" s="217"/>
      <c r="M50" s="217"/>
      <c r="N50" s="217"/>
      <c r="O50" s="217"/>
      <c r="P50" s="217"/>
      <c r="Q50" s="217"/>
      <c r="R50" s="877">
        <f t="shared" si="13"/>
        <v>25000</v>
      </c>
      <c r="S50" s="217">
        <f t="shared" ref="S50:S53" si="16">C50</f>
        <v>25000</v>
      </c>
      <c r="T50" s="217"/>
      <c r="U50" s="213"/>
    </row>
    <row r="51" spans="1:21" s="214" customFormat="1">
      <c r="A51" s="440" t="s">
        <v>159</v>
      </c>
      <c r="B51" s="216">
        <f t="shared" si="11"/>
        <v>12000</v>
      </c>
      <c r="C51" s="217">
        <v>12000</v>
      </c>
      <c r="D51" s="217"/>
      <c r="E51" s="217">
        <f t="shared" si="15"/>
        <v>12000</v>
      </c>
      <c r="F51" s="217"/>
      <c r="G51" s="217"/>
      <c r="H51" s="217"/>
      <c r="I51" s="217"/>
      <c r="J51" s="217"/>
      <c r="K51" s="217"/>
      <c r="L51" s="217"/>
      <c r="M51" s="217"/>
      <c r="N51" s="217"/>
      <c r="O51" s="217"/>
      <c r="P51" s="217"/>
      <c r="Q51" s="217"/>
      <c r="R51" s="877">
        <f t="shared" si="13"/>
        <v>12000</v>
      </c>
      <c r="S51" s="217">
        <f t="shared" si="16"/>
        <v>12000</v>
      </c>
      <c r="T51" s="217"/>
      <c r="U51" s="213"/>
    </row>
    <row r="52" spans="1:21" s="214" customFormat="1">
      <c r="A52" s="215" t="s">
        <v>160</v>
      </c>
      <c r="B52" s="216">
        <f t="shared" si="11"/>
        <v>178047</v>
      </c>
      <c r="C52" s="217">
        <v>178047</v>
      </c>
      <c r="D52" s="217"/>
      <c r="E52" s="217">
        <f t="shared" si="15"/>
        <v>178047</v>
      </c>
      <c r="F52" s="217"/>
      <c r="G52" s="217"/>
      <c r="H52" s="217"/>
      <c r="I52" s="217"/>
      <c r="J52" s="217"/>
      <c r="K52" s="217"/>
      <c r="L52" s="217"/>
      <c r="M52" s="217"/>
      <c r="N52" s="217"/>
      <c r="O52" s="217"/>
      <c r="P52" s="217"/>
      <c r="Q52" s="217"/>
      <c r="R52" s="877">
        <f t="shared" si="13"/>
        <v>178047</v>
      </c>
      <c r="S52" s="217">
        <f t="shared" si="16"/>
        <v>178047</v>
      </c>
      <c r="T52" s="217"/>
      <c r="U52" s="213"/>
    </row>
    <row r="53" spans="1:21" s="214" customFormat="1">
      <c r="A53" s="222" t="s">
        <v>35</v>
      </c>
      <c r="B53" s="216">
        <f t="shared" si="11"/>
        <v>18000</v>
      </c>
      <c r="C53" s="217">
        <v>18000</v>
      </c>
      <c r="D53" s="217"/>
      <c r="E53" s="217">
        <f t="shared" si="15"/>
        <v>18000</v>
      </c>
      <c r="F53" s="217"/>
      <c r="G53" s="217"/>
      <c r="H53" s="217"/>
      <c r="I53" s="217"/>
      <c r="J53" s="217"/>
      <c r="K53" s="217"/>
      <c r="L53" s="217"/>
      <c r="M53" s="217"/>
      <c r="N53" s="217"/>
      <c r="O53" s="217"/>
      <c r="P53" s="217"/>
      <c r="Q53" s="217"/>
      <c r="R53" s="877">
        <f t="shared" si="13"/>
        <v>18000</v>
      </c>
      <c r="S53" s="217">
        <f t="shared" si="16"/>
        <v>18000</v>
      </c>
      <c r="T53" s="217"/>
      <c r="U53" s="213"/>
    </row>
    <row r="54" spans="1:21" s="224" customFormat="1" ht="12">
      <c r="A54" s="219" t="s">
        <v>162</v>
      </c>
      <c r="B54" s="220">
        <f>SUM(C54:D54)</f>
        <v>1983948</v>
      </c>
      <c r="C54" s="220">
        <f t="shared" ref="C54:T54" si="17">SUM(C45:C53)</f>
        <v>1983948</v>
      </c>
      <c r="D54" s="220">
        <f t="shared" si="17"/>
        <v>0</v>
      </c>
      <c r="E54" s="220">
        <f t="shared" si="17"/>
        <v>1983948</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2">
        <f t="shared" si="17"/>
        <v>1983948</v>
      </c>
      <c r="S54" s="220">
        <f t="shared" si="17"/>
        <v>1072131</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44000</v>
      </c>
      <c r="C56" s="217">
        <v>44000</v>
      </c>
      <c r="D56" s="217"/>
      <c r="E56" s="217">
        <f t="shared" ref="E56:E57" si="19">B56</f>
        <v>44000</v>
      </c>
      <c r="F56" s="217"/>
      <c r="G56" s="217"/>
      <c r="H56" s="217"/>
      <c r="I56" s="217"/>
      <c r="J56" s="217"/>
      <c r="K56" s="217"/>
      <c r="L56" s="217"/>
      <c r="M56" s="217"/>
      <c r="N56" s="217"/>
      <c r="O56" s="217"/>
      <c r="P56" s="217"/>
      <c r="Q56" s="217"/>
      <c r="R56" s="877">
        <f t="shared" ref="R56:R61" si="20">SUM(E56:Q56)</f>
        <v>44000</v>
      </c>
      <c r="S56" s="218"/>
      <c r="T56" s="218"/>
      <c r="U56" s="213"/>
    </row>
    <row r="57" spans="1:21" s="303" customFormat="1">
      <c r="A57" s="297" t="s">
        <v>157</v>
      </c>
      <c r="B57" s="304">
        <f t="shared" si="18"/>
        <v>10000</v>
      </c>
      <c r="C57" s="301">
        <v>10000</v>
      </c>
      <c r="D57" s="301"/>
      <c r="E57" s="217">
        <f t="shared" si="19"/>
        <v>10000</v>
      </c>
      <c r="F57" s="301"/>
      <c r="G57" s="301"/>
      <c r="H57" s="301"/>
      <c r="I57" s="301"/>
      <c r="J57" s="301"/>
      <c r="K57" s="301"/>
      <c r="L57" s="301"/>
      <c r="M57" s="301"/>
      <c r="N57" s="301"/>
      <c r="O57" s="301"/>
      <c r="P57" s="301"/>
      <c r="Q57" s="301"/>
      <c r="R57" s="877">
        <f t="shared" si="20"/>
        <v>10000</v>
      </c>
      <c r="S57" s="305"/>
      <c r="T57" s="305"/>
      <c r="U57" s="302"/>
    </row>
    <row r="58" spans="1:21" s="214" customFormat="1">
      <c r="A58" s="215" t="s">
        <v>161</v>
      </c>
      <c r="B58" s="216">
        <f t="shared" si="18"/>
        <v>0</v>
      </c>
      <c r="C58" s="217"/>
      <c r="D58" s="217"/>
      <c r="E58" s="217"/>
      <c r="F58" s="217"/>
      <c r="G58" s="217"/>
      <c r="H58" s="217"/>
      <c r="I58" s="217"/>
      <c r="J58" s="217"/>
      <c r="K58" s="217"/>
      <c r="L58" s="217"/>
      <c r="M58" s="217"/>
      <c r="N58" s="217"/>
      <c r="O58" s="217"/>
      <c r="P58" s="217"/>
      <c r="Q58" s="217"/>
      <c r="R58" s="877">
        <f t="shared" si="20"/>
        <v>0</v>
      </c>
      <c r="S58" s="218"/>
      <c r="T58" s="218"/>
      <c r="U58" s="213"/>
    </row>
    <row r="59" spans="1:21" s="214" customFormat="1">
      <c r="A59" s="440" t="s">
        <v>159</v>
      </c>
      <c r="B59" s="216">
        <f t="shared" si="18"/>
        <v>0</v>
      </c>
      <c r="C59" s="217"/>
      <c r="D59" s="217"/>
      <c r="E59" s="217"/>
      <c r="F59" s="217"/>
      <c r="G59" s="217"/>
      <c r="H59" s="217"/>
      <c r="I59" s="217"/>
      <c r="J59" s="217"/>
      <c r="K59" s="217"/>
      <c r="L59" s="217"/>
      <c r="M59" s="217"/>
      <c r="N59" s="217"/>
      <c r="O59" s="217"/>
      <c r="P59" s="217"/>
      <c r="Q59" s="217"/>
      <c r="R59" s="877">
        <f t="shared" si="20"/>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77">
        <f t="shared" si="20"/>
        <v>0</v>
      </c>
      <c r="S60" s="218"/>
      <c r="T60" s="218"/>
      <c r="U60" s="213"/>
    </row>
    <row r="61" spans="1:21" s="214" customFormat="1">
      <c r="A61" s="222" t="s">
        <v>35</v>
      </c>
      <c r="B61" s="216">
        <f t="shared" si="18"/>
        <v>0</v>
      </c>
      <c r="C61" s="217"/>
      <c r="D61" s="217"/>
      <c r="E61" s="217"/>
      <c r="F61" s="217"/>
      <c r="G61" s="217"/>
      <c r="H61" s="217"/>
      <c r="I61" s="217"/>
      <c r="J61" s="217"/>
      <c r="K61" s="217"/>
      <c r="L61" s="217"/>
      <c r="M61" s="217"/>
      <c r="N61" s="217"/>
      <c r="O61" s="217"/>
      <c r="P61" s="217"/>
      <c r="Q61" s="217"/>
      <c r="R61" s="877">
        <f t="shared" si="20"/>
        <v>0</v>
      </c>
      <c r="S61" s="218"/>
      <c r="T61" s="218"/>
      <c r="U61" s="213"/>
    </row>
    <row r="62" spans="1:21" s="214" customFormat="1" ht="13.65" customHeight="1">
      <c r="A62" s="219" t="s">
        <v>309</v>
      </c>
      <c r="B62" s="216">
        <f>SUM(C62:D62)</f>
        <v>54000</v>
      </c>
      <c r="C62" s="216">
        <f t="shared" ref="C62:R62" si="21">SUM(C56:C61)</f>
        <v>54000</v>
      </c>
      <c r="D62" s="216">
        <f t="shared" si="21"/>
        <v>0</v>
      </c>
      <c r="E62" s="216">
        <f t="shared" si="21"/>
        <v>54000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2">
        <f t="shared" si="21"/>
        <v>54000</v>
      </c>
      <c r="S62" s="218"/>
      <c r="T62" s="218"/>
      <c r="U62" s="213"/>
    </row>
    <row r="63" spans="1:21" s="214" customFormat="1">
      <c r="A63" s="225" t="s">
        <v>310</v>
      </c>
      <c r="B63" s="216">
        <f t="shared" ref="B63:R63" si="22">SUM(B8+B11+B13+B14+B15+B26+B27+B38+B42+B43+B54+B62)</f>
        <v>29355410</v>
      </c>
      <c r="C63" s="216">
        <f t="shared" si="22"/>
        <v>29355410</v>
      </c>
      <c r="D63" s="216">
        <f t="shared" si="22"/>
        <v>0</v>
      </c>
      <c r="E63" s="216">
        <f t="shared" si="22"/>
        <v>8057517</v>
      </c>
      <c r="F63" s="216">
        <f t="shared" si="22"/>
        <v>4500000</v>
      </c>
      <c r="G63" s="216">
        <f t="shared" si="22"/>
        <v>13000000</v>
      </c>
      <c r="H63" s="216">
        <f t="shared" si="22"/>
        <v>820000</v>
      </c>
      <c r="I63" s="216">
        <f t="shared" si="22"/>
        <v>820000</v>
      </c>
      <c r="J63" s="216">
        <f t="shared" si="22"/>
        <v>2157893</v>
      </c>
      <c r="K63" s="216">
        <f t="shared" si="22"/>
        <v>0</v>
      </c>
      <c r="L63" s="216">
        <f t="shared" si="22"/>
        <v>0</v>
      </c>
      <c r="M63" s="216">
        <f t="shared" si="22"/>
        <v>0</v>
      </c>
      <c r="N63" s="216">
        <f t="shared" si="22"/>
        <v>0</v>
      </c>
      <c r="O63" s="216">
        <f t="shared" si="22"/>
        <v>0</v>
      </c>
      <c r="P63" s="216">
        <f t="shared" si="22"/>
        <v>0</v>
      </c>
      <c r="Q63" s="216">
        <f t="shared" si="22"/>
        <v>0</v>
      </c>
      <c r="R63" s="532">
        <f t="shared" si="22"/>
        <v>29355410</v>
      </c>
      <c r="S63" s="216">
        <f>SUM(S10+S13+S14+S15+S26+S27+S38+S42+S43+S54)</f>
        <v>27559593</v>
      </c>
      <c r="T63" s="216">
        <f>SUM(T11+T13+T14+T15+T26+T27+T38+T42+T43+T54)</f>
        <v>0</v>
      </c>
      <c r="U63" s="213"/>
    </row>
    <row r="64" spans="1:21" s="214" customFormat="1" ht="22.8">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195000</v>
      </c>
      <c r="C65" s="217">
        <v>195000</v>
      </c>
      <c r="D65" s="217"/>
      <c r="E65" s="217">
        <f>B65</f>
        <v>195000</v>
      </c>
      <c r="F65" s="217"/>
      <c r="G65" s="217"/>
      <c r="H65" s="217"/>
      <c r="I65" s="217"/>
      <c r="J65" s="217"/>
      <c r="K65" s="217"/>
      <c r="L65" s="217"/>
      <c r="M65" s="217"/>
      <c r="N65" s="217"/>
      <c r="O65" s="217"/>
      <c r="P65" s="217"/>
      <c r="Q65" s="217"/>
      <c r="R65" s="877">
        <f>SUM(E65:Q65)</f>
        <v>195000</v>
      </c>
      <c r="S65" s="217">
        <v>172500</v>
      </c>
      <c r="T65" s="217"/>
      <c r="U65" s="213"/>
    </row>
    <row r="66" spans="1:21" s="214" customFormat="1" ht="24" customHeight="1">
      <c r="A66" s="440" t="s">
        <v>1945</v>
      </c>
      <c r="B66" s="216">
        <f t="shared" ref="B66:B69" si="23">SUM(C66+D66)</f>
        <v>0</v>
      </c>
      <c r="C66" s="217"/>
      <c r="D66" s="217"/>
      <c r="E66" s="217"/>
      <c r="F66" s="217"/>
      <c r="G66" s="217"/>
      <c r="H66" s="217"/>
      <c r="I66" s="217"/>
      <c r="J66" s="217"/>
      <c r="K66" s="217"/>
      <c r="L66" s="217"/>
      <c r="M66" s="217"/>
      <c r="N66" s="217"/>
      <c r="O66" s="217"/>
      <c r="P66" s="217"/>
      <c r="Q66" s="217"/>
      <c r="R66" s="877">
        <f t="shared" ref="R66:R68" si="24">SUM(E66:Q66)</f>
        <v>0</v>
      </c>
      <c r="S66" s="217"/>
      <c r="T66" s="217"/>
      <c r="U66" s="213"/>
    </row>
    <row r="67" spans="1:21" s="214" customFormat="1" ht="24" customHeight="1">
      <c r="A67" s="440" t="s">
        <v>1946</v>
      </c>
      <c r="B67" s="216">
        <f t="shared" si="23"/>
        <v>0</v>
      </c>
      <c r="C67" s="217"/>
      <c r="D67" s="217"/>
      <c r="E67" s="217"/>
      <c r="F67" s="217"/>
      <c r="G67" s="217"/>
      <c r="H67" s="217"/>
      <c r="I67" s="217"/>
      <c r="J67" s="217"/>
      <c r="K67" s="217"/>
      <c r="L67" s="217"/>
      <c r="M67" s="217"/>
      <c r="N67" s="217"/>
      <c r="O67" s="217"/>
      <c r="P67" s="217"/>
      <c r="Q67" s="217"/>
      <c r="R67" s="877">
        <f t="shared" si="24"/>
        <v>0</v>
      </c>
      <c r="S67" s="217"/>
      <c r="T67" s="217"/>
      <c r="U67" s="213"/>
    </row>
    <row r="68" spans="1:21" s="214" customFormat="1" ht="12" customHeight="1">
      <c r="A68" s="440" t="s">
        <v>1952</v>
      </c>
      <c r="B68" s="216">
        <f t="shared" si="23"/>
        <v>0</v>
      </c>
      <c r="C68" s="217"/>
      <c r="D68" s="217"/>
      <c r="E68" s="217"/>
      <c r="F68" s="217"/>
      <c r="G68" s="217"/>
      <c r="H68" s="217"/>
      <c r="I68" s="217"/>
      <c r="J68" s="217"/>
      <c r="K68" s="217"/>
      <c r="L68" s="217"/>
      <c r="M68" s="217"/>
      <c r="N68" s="217"/>
      <c r="O68" s="217"/>
      <c r="P68" s="217"/>
      <c r="Q68" s="217"/>
      <c r="R68" s="877">
        <f t="shared" si="24"/>
        <v>0</v>
      </c>
      <c r="S68" s="217"/>
      <c r="T68" s="217"/>
      <c r="U68" s="213"/>
    </row>
    <row r="69" spans="1:21" s="214" customFormat="1">
      <c r="A69" s="222" t="s">
        <v>35</v>
      </c>
      <c r="B69" s="216">
        <f t="shared" si="23"/>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ht="12">
      <c r="A70" s="219" t="s">
        <v>1949</v>
      </c>
      <c r="B70" s="216">
        <f>SUM(C70:D70)</f>
        <v>195000</v>
      </c>
      <c r="C70" s="216">
        <f>SUM(C65:C69)</f>
        <v>195000</v>
      </c>
      <c r="D70" s="216">
        <f>SUM(D65:D69)</f>
        <v>0</v>
      </c>
      <c r="E70" s="216">
        <f t="shared" ref="E70:T70" si="25">SUM(E65:E69)</f>
        <v>195000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195000</v>
      </c>
      <c r="S70" s="220">
        <f t="shared" si="25"/>
        <v>172500</v>
      </c>
      <c r="T70" s="220">
        <f t="shared" si="25"/>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193996</v>
      </c>
      <c r="C75" s="217">
        <v>193996</v>
      </c>
      <c r="D75" s="217"/>
      <c r="E75" s="217">
        <f>B75</f>
        <v>193996</v>
      </c>
      <c r="F75" s="217"/>
      <c r="G75" s="217"/>
      <c r="H75" s="217"/>
      <c r="I75" s="217"/>
      <c r="J75" s="217"/>
      <c r="K75" s="217"/>
      <c r="L75" s="217"/>
      <c r="M75" s="217"/>
      <c r="N75" s="217"/>
      <c r="O75" s="217"/>
      <c r="P75" s="217"/>
      <c r="Q75" s="217"/>
      <c r="R75" s="877">
        <f>SUM(E75:Q75)</f>
        <v>193996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ht="12">
      <c r="A77" s="219" t="s">
        <v>641</v>
      </c>
      <c r="B77" s="216">
        <f>SUM(C77:D77)</f>
        <v>193996</v>
      </c>
      <c r="C77" s="216">
        <f>SUM(C72:C76)</f>
        <v>193996</v>
      </c>
      <c r="D77" s="216">
        <f>SUM(D72:D76)</f>
        <v>0</v>
      </c>
      <c r="E77" s="216">
        <f t="shared" ref="E77:Q77" si="26">SUM(E72:E76)</f>
        <v>193996</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2">
        <f>SUM(R72:R76)</f>
        <v>193996</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1294873</v>
      </c>
      <c r="C79" s="217">
        <v>1294873</v>
      </c>
      <c r="D79" s="217"/>
      <c r="E79" s="217">
        <f t="shared" ref="E79:E80" si="27">B79</f>
        <v>1294873</v>
      </c>
      <c r="F79" s="217"/>
      <c r="G79" s="217"/>
      <c r="H79" s="217"/>
      <c r="I79" s="217"/>
      <c r="J79" s="217"/>
      <c r="K79" s="217"/>
      <c r="L79" s="217"/>
      <c r="M79" s="217"/>
      <c r="N79" s="217"/>
      <c r="O79" s="217"/>
      <c r="P79" s="217"/>
      <c r="Q79" s="217"/>
      <c r="R79" s="877">
        <f>SUM(E79:Q79)</f>
        <v>1294873</v>
      </c>
      <c r="S79" s="217">
        <f t="shared" ref="S79:S80" si="28">C79</f>
        <v>1294873</v>
      </c>
      <c r="T79" s="217"/>
      <c r="U79" s="213"/>
    </row>
    <row r="80" spans="1:21" s="214" customFormat="1">
      <c r="A80" s="440" t="s">
        <v>61</v>
      </c>
      <c r="B80" s="216">
        <f>SUM(C80:D80)</f>
        <v>248919</v>
      </c>
      <c r="C80" s="217">
        <v>248919</v>
      </c>
      <c r="D80" s="217"/>
      <c r="E80" s="217">
        <f t="shared" si="27"/>
        <v>248919</v>
      </c>
      <c r="F80" s="217"/>
      <c r="G80" s="217"/>
      <c r="H80" s="217"/>
      <c r="I80" s="217"/>
      <c r="J80" s="217"/>
      <c r="K80" s="217"/>
      <c r="L80" s="217"/>
      <c r="M80" s="217"/>
      <c r="N80" s="217"/>
      <c r="O80" s="217"/>
      <c r="P80" s="217"/>
      <c r="Q80" s="217"/>
      <c r="R80" s="877">
        <f>SUM(E80:Q80)</f>
        <v>248919</v>
      </c>
      <c r="S80" s="217">
        <f t="shared" si="28"/>
        <v>248919</v>
      </c>
      <c r="T80" s="217"/>
      <c r="U80" s="213"/>
    </row>
    <row r="81" spans="1:21" s="214" customFormat="1" ht="12">
      <c r="A81" s="219" t="s">
        <v>1415</v>
      </c>
      <c r="B81" s="216">
        <f>SUM(C81:D81)</f>
        <v>1543792</v>
      </c>
      <c r="C81" s="857">
        <f>SUM(C79:C80)</f>
        <v>1543792</v>
      </c>
      <c r="D81" s="857">
        <f t="shared" ref="D81:T81" si="29">SUM(D79:D80)</f>
        <v>0</v>
      </c>
      <c r="E81" s="857">
        <f t="shared" si="29"/>
        <v>1543792</v>
      </c>
      <c r="F81" s="857">
        <f t="shared" si="29"/>
        <v>0</v>
      </c>
      <c r="G81" s="857">
        <f t="shared" si="29"/>
        <v>0</v>
      </c>
      <c r="H81" s="857">
        <f t="shared" si="29"/>
        <v>0</v>
      </c>
      <c r="I81" s="857">
        <f t="shared" si="29"/>
        <v>0</v>
      </c>
      <c r="J81" s="857">
        <f t="shared" si="29"/>
        <v>0</v>
      </c>
      <c r="K81" s="857">
        <f t="shared" si="29"/>
        <v>0</v>
      </c>
      <c r="L81" s="857">
        <f t="shared" si="29"/>
        <v>0</v>
      </c>
      <c r="M81" s="857">
        <f t="shared" si="29"/>
        <v>0</v>
      </c>
      <c r="N81" s="857">
        <f t="shared" si="29"/>
        <v>0</v>
      </c>
      <c r="O81" s="857">
        <f t="shared" si="29"/>
        <v>0</v>
      </c>
      <c r="P81" s="857">
        <f t="shared" si="29"/>
        <v>0</v>
      </c>
      <c r="Q81" s="857">
        <f t="shared" si="29"/>
        <v>0</v>
      </c>
      <c r="R81" s="857">
        <f t="shared" si="29"/>
        <v>1543792</v>
      </c>
      <c r="S81" s="857">
        <f t="shared" si="29"/>
        <v>1543792</v>
      </c>
      <c r="T81" s="857">
        <f t="shared" si="2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65" customHeight="1">
      <c r="A83" s="215" t="s">
        <v>824</v>
      </c>
      <c r="B83" s="216">
        <f t="shared" ref="B83:B95" si="30">SUM(C83+D83)</f>
        <v>121936</v>
      </c>
      <c r="C83" s="217">
        <v>121936</v>
      </c>
      <c r="D83" s="217"/>
      <c r="E83" s="217">
        <f t="shared" ref="E83:E86" si="31">B83</f>
        <v>121936</v>
      </c>
      <c r="F83" s="217"/>
      <c r="G83" s="217"/>
      <c r="H83" s="217"/>
      <c r="I83" s="217"/>
      <c r="J83" s="217"/>
      <c r="K83" s="217"/>
      <c r="L83" s="217"/>
      <c r="M83" s="217"/>
      <c r="N83" s="217"/>
      <c r="O83" s="217"/>
      <c r="P83" s="217"/>
      <c r="Q83" s="217"/>
      <c r="R83" s="877">
        <f t="shared" ref="R83:R95" si="32">SUM(E83:Q83)</f>
        <v>121936</v>
      </c>
      <c r="S83" s="218"/>
      <c r="T83" s="218"/>
      <c r="U83" s="213"/>
    </row>
    <row r="84" spans="1:21" s="214" customFormat="1">
      <c r="A84" s="215" t="s">
        <v>825</v>
      </c>
      <c r="B84" s="216">
        <f t="shared" si="30"/>
        <v>15000</v>
      </c>
      <c r="C84" s="217">
        <v>15000</v>
      </c>
      <c r="D84" s="217"/>
      <c r="E84" s="217">
        <f t="shared" si="31"/>
        <v>15000</v>
      </c>
      <c r="F84" s="217"/>
      <c r="G84" s="217"/>
      <c r="H84" s="217"/>
      <c r="I84" s="217"/>
      <c r="J84" s="217"/>
      <c r="K84" s="217"/>
      <c r="L84" s="217"/>
      <c r="M84" s="217"/>
      <c r="N84" s="217"/>
      <c r="O84" s="217"/>
      <c r="P84" s="217"/>
      <c r="Q84" s="217"/>
      <c r="R84" s="877">
        <f t="shared" si="32"/>
        <v>15000</v>
      </c>
      <c r="S84" s="217">
        <f t="shared" ref="S84:S86" si="33">C84</f>
        <v>15000</v>
      </c>
      <c r="T84" s="217"/>
      <c r="U84" s="213"/>
    </row>
    <row r="85" spans="1:21" s="214" customFormat="1">
      <c r="A85" s="215" t="s">
        <v>826</v>
      </c>
      <c r="B85" s="216">
        <f t="shared" si="30"/>
        <v>2460000</v>
      </c>
      <c r="C85" s="217">
        <v>2460000</v>
      </c>
      <c r="D85" s="217"/>
      <c r="E85" s="217">
        <f t="shared" si="31"/>
        <v>2460000</v>
      </c>
      <c r="F85" s="217"/>
      <c r="G85" s="217"/>
      <c r="H85" s="217"/>
      <c r="I85" s="217"/>
      <c r="J85" s="217"/>
      <c r="K85" s="217"/>
      <c r="L85" s="217"/>
      <c r="M85" s="217"/>
      <c r="N85" s="217"/>
      <c r="O85" s="217"/>
      <c r="P85" s="217"/>
      <c r="Q85" s="217"/>
      <c r="R85" s="877">
        <f t="shared" si="32"/>
        <v>2460000</v>
      </c>
      <c r="S85" s="217">
        <f t="shared" si="33"/>
        <v>2460000</v>
      </c>
      <c r="T85" s="217"/>
      <c r="U85" s="213"/>
    </row>
    <row r="86" spans="1:21" s="214" customFormat="1">
      <c r="A86" s="215" t="s">
        <v>827</v>
      </c>
      <c r="B86" s="216">
        <f t="shared" si="30"/>
        <v>262000</v>
      </c>
      <c r="C86" s="217">
        <v>262000</v>
      </c>
      <c r="D86" s="217"/>
      <c r="E86" s="217">
        <f t="shared" si="31"/>
        <v>262000</v>
      </c>
      <c r="F86" s="217"/>
      <c r="G86" s="217"/>
      <c r="H86" s="217"/>
      <c r="I86" s="217"/>
      <c r="J86" s="217"/>
      <c r="K86" s="217"/>
      <c r="L86" s="217"/>
      <c r="M86" s="217"/>
      <c r="N86" s="217"/>
      <c r="O86" s="217"/>
      <c r="P86" s="217"/>
      <c r="Q86" s="217"/>
      <c r="R86" s="877">
        <f t="shared" si="32"/>
        <v>262000</v>
      </c>
      <c r="S86" s="217">
        <f t="shared" si="33"/>
        <v>262000</v>
      </c>
      <c r="T86" s="217"/>
      <c r="U86" s="213"/>
    </row>
    <row r="87" spans="1:21" s="214" customFormat="1">
      <c r="A87" s="215" t="s">
        <v>828</v>
      </c>
      <c r="B87" s="216">
        <f t="shared" si="30"/>
        <v>0</v>
      </c>
      <c r="C87" s="217"/>
      <c r="D87" s="217"/>
      <c r="E87" s="217"/>
      <c r="F87" s="217"/>
      <c r="G87" s="217"/>
      <c r="H87" s="217"/>
      <c r="I87" s="217"/>
      <c r="J87" s="217"/>
      <c r="K87" s="217"/>
      <c r="L87" s="217"/>
      <c r="M87" s="217"/>
      <c r="N87" s="217"/>
      <c r="O87" s="217"/>
      <c r="P87" s="217"/>
      <c r="Q87" s="217"/>
      <c r="R87" s="877">
        <f t="shared" si="32"/>
        <v>0</v>
      </c>
      <c r="S87" s="217"/>
      <c r="T87" s="217"/>
      <c r="U87" s="213"/>
    </row>
    <row r="88" spans="1:21" s="214" customFormat="1">
      <c r="A88" s="215" t="s">
        <v>829</v>
      </c>
      <c r="B88" s="216">
        <f t="shared" si="30"/>
        <v>107433</v>
      </c>
      <c r="C88" s="217">
        <v>107433</v>
      </c>
      <c r="D88" s="217"/>
      <c r="E88" s="217">
        <f t="shared" ref="E88:E94" si="34">B88</f>
        <v>107433</v>
      </c>
      <c r="F88" s="217"/>
      <c r="G88" s="217"/>
      <c r="H88" s="217"/>
      <c r="I88" s="217"/>
      <c r="J88" s="217"/>
      <c r="K88" s="217"/>
      <c r="L88" s="217"/>
      <c r="M88" s="217"/>
      <c r="N88" s="217"/>
      <c r="O88" s="217"/>
      <c r="P88" s="217"/>
      <c r="Q88" s="217"/>
      <c r="R88" s="877">
        <f t="shared" si="32"/>
        <v>107433</v>
      </c>
      <c r="S88" s="218"/>
      <c r="T88" s="218"/>
      <c r="U88" s="213"/>
    </row>
    <row r="89" spans="1:21" s="214" customFormat="1">
      <c r="A89" s="215" t="s">
        <v>830</v>
      </c>
      <c r="B89" s="216">
        <f t="shared" si="30"/>
        <v>80000</v>
      </c>
      <c r="C89" s="217">
        <v>80000</v>
      </c>
      <c r="D89" s="217"/>
      <c r="E89" s="217">
        <f t="shared" si="34"/>
        <v>80000</v>
      </c>
      <c r="F89" s="217"/>
      <c r="G89" s="217"/>
      <c r="H89" s="217"/>
      <c r="I89" s="217"/>
      <c r="J89" s="217"/>
      <c r="K89" s="217"/>
      <c r="L89" s="217"/>
      <c r="M89" s="217"/>
      <c r="N89" s="217"/>
      <c r="O89" s="217"/>
      <c r="P89" s="217"/>
      <c r="Q89" s="217"/>
      <c r="R89" s="877">
        <f t="shared" si="32"/>
        <v>80000</v>
      </c>
      <c r="S89" s="217">
        <f t="shared" ref="S89:S93" si="35">C89</f>
        <v>80000</v>
      </c>
      <c r="T89" s="217"/>
      <c r="U89" s="213"/>
    </row>
    <row r="90" spans="1:21" s="214" customFormat="1">
      <c r="A90" s="215" t="s">
        <v>831</v>
      </c>
      <c r="B90" s="216">
        <f t="shared" si="30"/>
        <v>10000</v>
      </c>
      <c r="C90" s="217">
        <v>10000</v>
      </c>
      <c r="D90" s="217"/>
      <c r="E90" s="217">
        <f t="shared" si="34"/>
        <v>10000</v>
      </c>
      <c r="F90" s="217"/>
      <c r="G90" s="217"/>
      <c r="H90" s="217"/>
      <c r="I90" s="217"/>
      <c r="J90" s="217"/>
      <c r="K90" s="217"/>
      <c r="L90" s="217"/>
      <c r="M90" s="217"/>
      <c r="N90" s="217"/>
      <c r="O90" s="217"/>
      <c r="P90" s="217"/>
      <c r="Q90" s="217"/>
      <c r="R90" s="877">
        <f t="shared" si="32"/>
        <v>10000</v>
      </c>
      <c r="S90" s="217">
        <f t="shared" si="35"/>
        <v>10000</v>
      </c>
      <c r="T90" s="217"/>
      <c r="U90" s="213"/>
    </row>
    <row r="91" spans="1:21" s="214" customFormat="1">
      <c r="A91" s="1710" t="s">
        <v>390</v>
      </c>
      <c r="B91" s="216">
        <f t="shared" si="30"/>
        <v>32000</v>
      </c>
      <c r="C91" s="217">
        <v>32000</v>
      </c>
      <c r="D91" s="217"/>
      <c r="E91" s="217">
        <f t="shared" si="34"/>
        <v>32000</v>
      </c>
      <c r="F91" s="217"/>
      <c r="G91" s="217"/>
      <c r="H91" s="217"/>
      <c r="I91" s="217"/>
      <c r="J91" s="217"/>
      <c r="K91" s="217"/>
      <c r="L91" s="217"/>
      <c r="M91" s="217"/>
      <c r="N91" s="217"/>
      <c r="O91" s="217"/>
      <c r="P91" s="217"/>
      <c r="Q91" s="217"/>
      <c r="R91" s="877">
        <f t="shared" si="32"/>
        <v>32000</v>
      </c>
      <c r="S91" s="217">
        <f t="shared" si="35"/>
        <v>32000</v>
      </c>
      <c r="T91" s="217"/>
      <c r="U91" s="213"/>
    </row>
    <row r="92" spans="1:21" s="214" customFormat="1">
      <c r="A92" s="1709" t="s">
        <v>1417</v>
      </c>
      <c r="B92" s="216">
        <f t="shared" si="30"/>
        <v>15000</v>
      </c>
      <c r="C92" s="217">
        <v>15000</v>
      </c>
      <c r="D92" s="217"/>
      <c r="E92" s="217">
        <f t="shared" si="34"/>
        <v>15000</v>
      </c>
      <c r="F92" s="217"/>
      <c r="G92" s="217"/>
      <c r="H92" s="217"/>
      <c r="I92" s="217"/>
      <c r="J92" s="217"/>
      <c r="K92" s="217"/>
      <c r="L92" s="217"/>
      <c r="M92" s="217"/>
      <c r="N92" s="217"/>
      <c r="O92" s="217"/>
      <c r="P92" s="217"/>
      <c r="Q92" s="217"/>
      <c r="R92" s="877">
        <f t="shared" si="32"/>
        <v>15000</v>
      </c>
      <c r="S92" s="217">
        <f t="shared" si="35"/>
        <v>15000</v>
      </c>
      <c r="T92" s="217"/>
      <c r="U92" s="213"/>
    </row>
    <row r="93" spans="1:21" s="214" customFormat="1">
      <c r="A93" s="1816" t="s">
        <v>2559</v>
      </c>
      <c r="B93" s="216">
        <f t="shared" si="30"/>
        <v>15000</v>
      </c>
      <c r="C93" s="217">
        <v>15000</v>
      </c>
      <c r="D93" s="217"/>
      <c r="E93" s="217">
        <f t="shared" si="34"/>
        <v>15000</v>
      </c>
      <c r="F93" s="217"/>
      <c r="G93" s="217"/>
      <c r="H93" s="217"/>
      <c r="I93" s="217"/>
      <c r="J93" s="217"/>
      <c r="K93" s="217"/>
      <c r="L93" s="217"/>
      <c r="M93" s="217"/>
      <c r="N93" s="217"/>
      <c r="O93" s="217"/>
      <c r="P93" s="217"/>
      <c r="Q93" s="217"/>
      <c r="R93" s="877">
        <f t="shared" si="32"/>
        <v>15000</v>
      </c>
      <c r="S93" s="217">
        <f t="shared" si="35"/>
        <v>15000</v>
      </c>
      <c r="T93" s="217"/>
      <c r="U93" s="213"/>
    </row>
    <row r="94" spans="1:21" s="214" customFormat="1">
      <c r="A94" s="1816" t="s">
        <v>2560</v>
      </c>
      <c r="B94" s="216">
        <f t="shared" si="30"/>
        <v>25000</v>
      </c>
      <c r="C94" s="217">
        <v>25000</v>
      </c>
      <c r="D94" s="217"/>
      <c r="E94" s="217">
        <f t="shared" si="34"/>
        <v>25000</v>
      </c>
      <c r="F94" s="217"/>
      <c r="G94" s="217"/>
      <c r="H94" s="217"/>
      <c r="I94" s="217"/>
      <c r="J94" s="217"/>
      <c r="K94" s="217"/>
      <c r="L94" s="217"/>
      <c r="M94" s="217"/>
      <c r="N94" s="217"/>
      <c r="O94" s="217"/>
      <c r="P94" s="217"/>
      <c r="Q94" s="217"/>
      <c r="R94" s="877">
        <f t="shared" si="32"/>
        <v>25000</v>
      </c>
      <c r="S94" s="217">
        <v>0</v>
      </c>
      <c r="T94" s="217"/>
      <c r="U94" s="213"/>
    </row>
    <row r="95" spans="1:21" s="214" customFormat="1">
      <c r="A95" s="222" t="s">
        <v>35</v>
      </c>
      <c r="B95" s="216">
        <f t="shared" si="30"/>
        <v>0</v>
      </c>
      <c r="C95" s="217"/>
      <c r="D95" s="217"/>
      <c r="E95" s="217"/>
      <c r="F95" s="217"/>
      <c r="G95" s="217"/>
      <c r="H95" s="217"/>
      <c r="I95" s="217"/>
      <c r="J95" s="217"/>
      <c r="K95" s="217"/>
      <c r="L95" s="217"/>
      <c r="M95" s="217"/>
      <c r="N95" s="217"/>
      <c r="O95" s="217"/>
      <c r="P95" s="217"/>
      <c r="Q95" s="217"/>
      <c r="R95" s="877">
        <f t="shared" si="32"/>
        <v>0</v>
      </c>
      <c r="S95" s="217"/>
      <c r="T95" s="217"/>
      <c r="U95" s="213"/>
    </row>
    <row r="96" spans="1:21" s="214" customFormat="1" ht="12">
      <c r="A96" s="219" t="s">
        <v>832</v>
      </c>
      <c r="B96" s="216">
        <f>SUM(C96:D96)</f>
        <v>3143369</v>
      </c>
      <c r="C96" s="216">
        <f t="shared" ref="C96:R96" si="36">SUM(C83:C95)</f>
        <v>3143369</v>
      </c>
      <c r="D96" s="216">
        <f t="shared" si="36"/>
        <v>0</v>
      </c>
      <c r="E96" s="216">
        <f t="shared" si="36"/>
        <v>3143369</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2">
        <f t="shared" si="36"/>
        <v>3143369</v>
      </c>
      <c r="S96" s="220">
        <f>SUM(S84:S87,S89:S95)</f>
        <v>2889000</v>
      </c>
      <c r="T96" s="216">
        <f>SUM(T84:T87,T89:T95)</f>
        <v>0</v>
      </c>
      <c r="U96" s="213"/>
    </row>
    <row r="97" spans="1:21" s="214" customFormat="1" ht="12">
      <c r="A97" s="219" t="s">
        <v>833</v>
      </c>
      <c r="B97" s="216">
        <f>SUM(C97:D97)</f>
        <v>34431567</v>
      </c>
      <c r="C97" s="216">
        <f t="shared" ref="C97:R97" si="37">SUM(C63+C70+C77+C81+C96)</f>
        <v>34431567</v>
      </c>
      <c r="D97" s="216">
        <f t="shared" si="37"/>
        <v>0</v>
      </c>
      <c r="E97" s="216">
        <f t="shared" si="37"/>
        <v>13133674</v>
      </c>
      <c r="F97" s="216">
        <f t="shared" si="37"/>
        <v>4500000</v>
      </c>
      <c r="G97" s="216">
        <f t="shared" si="37"/>
        <v>13000000</v>
      </c>
      <c r="H97" s="216">
        <f t="shared" si="37"/>
        <v>820000</v>
      </c>
      <c r="I97" s="216">
        <f t="shared" si="37"/>
        <v>820000</v>
      </c>
      <c r="J97" s="216">
        <f t="shared" si="37"/>
        <v>2157893</v>
      </c>
      <c r="K97" s="216">
        <f t="shared" si="37"/>
        <v>0</v>
      </c>
      <c r="L97" s="216">
        <f t="shared" si="37"/>
        <v>0</v>
      </c>
      <c r="M97" s="216">
        <f t="shared" si="37"/>
        <v>0</v>
      </c>
      <c r="N97" s="216">
        <f t="shared" si="37"/>
        <v>0</v>
      </c>
      <c r="O97" s="216">
        <f t="shared" si="37"/>
        <v>0</v>
      </c>
      <c r="P97" s="216">
        <f t="shared" si="37"/>
        <v>0</v>
      </c>
      <c r="Q97" s="216">
        <f t="shared" si="37"/>
        <v>0</v>
      </c>
      <c r="R97" s="216">
        <f t="shared" si="37"/>
        <v>34431567</v>
      </c>
      <c r="S97" s="216">
        <f>SUM(S63+S70+S81+S96)</f>
        <v>32164885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2200000</v>
      </c>
      <c r="C99" s="1604">
        <v>2200000</v>
      </c>
      <c r="D99" s="1604"/>
      <c r="E99" s="1604">
        <f>B99-K99</f>
        <v>2174511</v>
      </c>
      <c r="F99" s="217"/>
      <c r="G99" s="217"/>
      <c r="H99" s="217"/>
      <c r="I99" s="217"/>
      <c r="J99" s="217"/>
      <c r="K99" s="217">
        <v>25489</v>
      </c>
      <c r="L99" s="217"/>
      <c r="M99" s="217"/>
      <c r="N99" s="217"/>
      <c r="O99" s="217"/>
      <c r="P99" s="217"/>
      <c r="Q99" s="217"/>
      <c r="R99" s="877">
        <f t="shared" ref="R99:R103" si="38">SUM(E99:Q99)</f>
        <v>2200000</v>
      </c>
      <c r="S99" s="217">
        <f>C99</f>
        <v>2200000</v>
      </c>
      <c r="T99" s="217"/>
      <c r="U99" s="213"/>
    </row>
    <row r="100" spans="1:21" s="214" customFormat="1">
      <c r="A100" s="440" t="s">
        <v>1950</v>
      </c>
      <c r="B100" s="216">
        <f t="shared" ref="B100:B103" si="39">SUM(C100+D100)</f>
        <v>0</v>
      </c>
      <c r="C100" s="217"/>
      <c r="D100" s="217"/>
      <c r="E100" s="217"/>
      <c r="F100" s="217"/>
      <c r="G100" s="217"/>
      <c r="H100" s="217"/>
      <c r="I100" s="217"/>
      <c r="J100" s="217"/>
      <c r="K100" s="217"/>
      <c r="L100" s="217"/>
      <c r="M100" s="217"/>
      <c r="N100" s="217"/>
      <c r="O100" s="217"/>
      <c r="P100" s="217"/>
      <c r="Q100" s="217"/>
      <c r="R100" s="877">
        <f t="shared" si="38"/>
        <v>0</v>
      </c>
      <c r="S100" s="217"/>
      <c r="T100" s="217"/>
      <c r="U100" s="213"/>
    </row>
    <row r="101" spans="1:21" s="214" customFormat="1" ht="12" customHeight="1">
      <c r="A101" s="215" t="s">
        <v>836</v>
      </c>
      <c r="B101" s="216">
        <f t="shared" si="39"/>
        <v>0</v>
      </c>
      <c r="C101" s="217"/>
      <c r="D101" s="217"/>
      <c r="E101" s="217"/>
      <c r="F101" s="217"/>
      <c r="G101" s="217"/>
      <c r="H101" s="217"/>
      <c r="I101" s="217"/>
      <c r="J101" s="217"/>
      <c r="K101" s="217"/>
      <c r="L101" s="217"/>
      <c r="M101" s="217"/>
      <c r="N101" s="217"/>
      <c r="O101" s="217"/>
      <c r="P101" s="217"/>
      <c r="Q101" s="217"/>
      <c r="R101" s="877">
        <f t="shared" si="38"/>
        <v>0</v>
      </c>
      <c r="S101" s="217"/>
      <c r="T101" s="217"/>
      <c r="U101" s="213"/>
    </row>
    <row r="102" spans="1:21" s="214" customFormat="1">
      <c r="A102" s="440" t="s">
        <v>1951</v>
      </c>
      <c r="B102" s="216">
        <f t="shared" si="39"/>
        <v>0</v>
      </c>
      <c r="C102" s="217"/>
      <c r="D102" s="217"/>
      <c r="E102" s="217"/>
      <c r="F102" s="217"/>
      <c r="G102" s="217"/>
      <c r="H102" s="217"/>
      <c r="I102" s="217"/>
      <c r="J102" s="217"/>
      <c r="K102" s="217"/>
      <c r="L102" s="217"/>
      <c r="M102" s="217"/>
      <c r="N102" s="217"/>
      <c r="O102" s="217"/>
      <c r="P102" s="217"/>
      <c r="Q102" s="217"/>
      <c r="R102" s="877">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7">
        <f t="shared" si="38"/>
        <v>0</v>
      </c>
      <c r="S103" s="217"/>
      <c r="T103" s="217"/>
      <c r="U103" s="213"/>
    </row>
    <row r="104" spans="1:21" s="214" customFormat="1" ht="12">
      <c r="A104" s="219" t="s">
        <v>837</v>
      </c>
      <c r="B104" s="216">
        <f>SUM(C104:D104)</f>
        <v>2200000</v>
      </c>
      <c r="C104" s="216">
        <f>SUM(C99:C103)</f>
        <v>2200000</v>
      </c>
      <c r="D104" s="216">
        <f t="shared" ref="D104:T104" si="40">SUM(D99:D103)</f>
        <v>0</v>
      </c>
      <c r="E104" s="216">
        <f t="shared" si="40"/>
        <v>2174511</v>
      </c>
      <c r="F104" s="216">
        <f t="shared" si="40"/>
        <v>0</v>
      </c>
      <c r="G104" s="216">
        <f t="shared" si="40"/>
        <v>0</v>
      </c>
      <c r="H104" s="216">
        <f t="shared" si="40"/>
        <v>0</v>
      </c>
      <c r="I104" s="216">
        <f t="shared" si="40"/>
        <v>0</v>
      </c>
      <c r="J104" s="216">
        <f t="shared" si="40"/>
        <v>0</v>
      </c>
      <c r="K104" s="216">
        <f t="shared" si="40"/>
        <v>25489</v>
      </c>
      <c r="L104" s="216">
        <f t="shared" si="40"/>
        <v>0</v>
      </c>
      <c r="M104" s="216">
        <f t="shared" si="40"/>
        <v>0</v>
      </c>
      <c r="N104" s="216">
        <f t="shared" si="40"/>
        <v>0</v>
      </c>
      <c r="O104" s="216">
        <f t="shared" si="40"/>
        <v>0</v>
      </c>
      <c r="P104" s="216">
        <f t="shared" si="40"/>
        <v>0</v>
      </c>
      <c r="Q104" s="216">
        <f t="shared" si="40"/>
        <v>0</v>
      </c>
      <c r="R104" s="532">
        <f t="shared" si="40"/>
        <v>2200000</v>
      </c>
      <c r="S104" s="220">
        <f t="shared" si="40"/>
        <v>2200000</v>
      </c>
      <c r="T104" s="220">
        <f t="shared" si="40"/>
        <v>0</v>
      </c>
      <c r="U104" s="213"/>
    </row>
    <row r="105" spans="1:21" s="214" customFormat="1" ht="12">
      <c r="A105" s="219" t="s">
        <v>838</v>
      </c>
      <c r="B105" s="220">
        <f>SUM(C105:D105)</f>
        <v>36631567</v>
      </c>
      <c r="C105" s="220">
        <f t="shared" ref="C105:R105" si="41">SUM(C97+C104)</f>
        <v>36631567</v>
      </c>
      <c r="D105" s="220">
        <f t="shared" si="41"/>
        <v>0</v>
      </c>
      <c r="E105" s="220">
        <f t="shared" si="41"/>
        <v>15308185</v>
      </c>
      <c r="F105" s="220">
        <f t="shared" si="41"/>
        <v>4500000</v>
      </c>
      <c r="G105" s="220">
        <f t="shared" si="41"/>
        <v>13000000</v>
      </c>
      <c r="H105" s="220">
        <f t="shared" si="41"/>
        <v>820000</v>
      </c>
      <c r="I105" s="220">
        <f t="shared" si="41"/>
        <v>820000</v>
      </c>
      <c r="J105" s="220">
        <f t="shared" si="41"/>
        <v>2157893</v>
      </c>
      <c r="K105" s="220">
        <f t="shared" si="41"/>
        <v>25489</v>
      </c>
      <c r="L105" s="220">
        <f t="shared" si="41"/>
        <v>0</v>
      </c>
      <c r="M105" s="220">
        <f t="shared" si="41"/>
        <v>0</v>
      </c>
      <c r="N105" s="220">
        <f t="shared" si="41"/>
        <v>0</v>
      </c>
      <c r="O105" s="220">
        <f t="shared" si="41"/>
        <v>0</v>
      </c>
      <c r="P105" s="220">
        <f t="shared" si="41"/>
        <v>0</v>
      </c>
      <c r="Q105" s="220">
        <f t="shared" si="41"/>
        <v>0</v>
      </c>
      <c r="R105" s="532">
        <f t="shared" si="41"/>
        <v>36631567</v>
      </c>
      <c r="S105" s="220">
        <f>S97+S104</f>
        <v>34364885</v>
      </c>
      <c r="T105" s="220">
        <f>T97+T104</f>
        <v>0</v>
      </c>
      <c r="U105" s="213"/>
    </row>
    <row r="106" spans="1:21" ht="12">
      <c r="A106" s="864" t="s">
        <v>1130</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34364885</v>
      </c>
      <c r="T107" s="234">
        <f>T105+T106</f>
        <v>0</v>
      </c>
    </row>
    <row r="108" spans="1:21" s="300" customFormat="1" ht="12">
      <c r="A108" s="233" t="s">
        <v>944</v>
      </c>
      <c r="B108" s="228"/>
      <c r="C108" s="228"/>
      <c r="D108" s="228"/>
      <c r="E108" s="464">
        <f>Application!AO650</f>
        <v>15308185</v>
      </c>
      <c r="F108" s="464">
        <f>Application!AO637</f>
        <v>4500000</v>
      </c>
      <c r="G108" s="464">
        <f>Application!AO638</f>
        <v>13000000</v>
      </c>
      <c r="H108" s="464">
        <f>Application!AO639</f>
        <v>820000</v>
      </c>
      <c r="I108" s="464">
        <f>Application!AO640</f>
        <v>820000</v>
      </c>
      <c r="J108" s="464">
        <f>Application!AO641</f>
        <v>2157893</v>
      </c>
      <c r="K108" s="464">
        <f>Application!AO642</f>
        <v>25489</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1124</v>
      </c>
      <c r="B113" s="228"/>
      <c r="C113" s="228"/>
      <c r="D113" s="228"/>
    </row>
    <row r="114" spans="1:21" ht="12">
      <c r="A114" s="227" t="s">
        <v>1125</v>
      </c>
      <c r="B114" s="228"/>
      <c r="C114" s="228"/>
      <c r="D114" s="228"/>
    </row>
    <row r="115" spans="1:21" ht="12" customHeight="1">
      <c r="A115" s="485"/>
      <c r="B115" s="228"/>
      <c r="C115" s="228"/>
      <c r="D115" s="228"/>
    </row>
    <row r="116" spans="1:21" ht="12">
      <c r="A116" s="535" t="s">
        <v>1132</v>
      </c>
      <c r="B116" s="228"/>
      <c r="C116" s="228"/>
      <c r="D116" s="228"/>
    </row>
    <row r="117" spans="1:21" ht="12">
      <c r="A117" s="535" t="s">
        <v>1434</v>
      </c>
      <c r="B117" s="228"/>
      <c r="C117" s="228"/>
      <c r="D117" s="228"/>
    </row>
    <row r="118" spans="1:21" ht="12">
      <c r="A118" s="535" t="s">
        <v>1131</v>
      </c>
      <c r="B118" s="228"/>
      <c r="C118" s="228"/>
      <c r="D118" s="228"/>
    </row>
    <row r="119" spans="1:21" ht="12">
      <c r="A119" s="535" t="s">
        <v>1133</v>
      </c>
      <c r="B119" s="228"/>
      <c r="C119" s="228"/>
      <c r="D119" s="228"/>
    </row>
    <row r="120" spans="1:21" ht="12" customHeight="1">
      <c r="A120" s="534"/>
      <c r="B120" s="228"/>
      <c r="C120" s="228"/>
      <c r="D120" s="228"/>
    </row>
    <row r="121" spans="1:21" ht="15.6">
      <c r="A121" s="528" t="s">
        <v>1108</v>
      </c>
      <c r="B121" s="228"/>
      <c r="C121" s="228"/>
      <c r="D121" s="228"/>
    </row>
    <row r="122" spans="1:21">
      <c r="A122" s="513" t="s">
        <v>1092</v>
      </c>
      <c r="B122" s="512"/>
      <c r="C122" s="512"/>
      <c r="D122" s="2535" t="s">
        <v>1093</v>
      </c>
      <c r="E122" s="2535"/>
      <c r="F122" s="2535"/>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8" t="s">
        <v>1435</v>
      </c>
      <c r="E123" s="2539"/>
      <c r="F123" s="2539"/>
      <c r="G123" s="2539"/>
      <c r="H123" s="2539"/>
      <c r="I123" s="2539"/>
      <c r="J123" s="2539"/>
      <c r="K123" s="2539"/>
      <c r="L123" s="2539"/>
      <c r="M123" s="2539"/>
      <c r="N123" s="2539"/>
      <c r="O123" s="2539"/>
      <c r="P123" s="2539"/>
      <c r="Q123" s="2539"/>
      <c r="R123" s="2539"/>
      <c r="S123" s="2539"/>
      <c r="T123" s="512"/>
      <c r="U123" s="514"/>
    </row>
    <row r="124" spans="1:21" ht="13.2">
      <c r="A124" s="511" t="s">
        <v>1095</v>
      </c>
      <c r="B124" s="521"/>
      <c r="C124" s="511"/>
      <c r="D124" s="2539"/>
      <c r="E124" s="2539"/>
      <c r="F124" s="2539"/>
      <c r="G124" s="2539"/>
      <c r="H124" s="2539"/>
      <c r="I124" s="2539"/>
      <c r="J124" s="2539"/>
      <c r="K124" s="2539"/>
      <c r="L124" s="2539"/>
      <c r="M124" s="2539"/>
      <c r="N124" s="2539"/>
      <c r="O124" s="2539"/>
      <c r="P124" s="2539"/>
      <c r="Q124" s="2539"/>
      <c r="R124" s="2539"/>
      <c r="S124" s="2539"/>
      <c r="T124" s="512"/>
      <c r="U124" s="514"/>
    </row>
    <row r="125" spans="1:21" ht="13.2">
      <c r="A125" s="511" t="s">
        <v>1096</v>
      </c>
      <c r="B125" s="521"/>
      <c r="C125" s="511"/>
      <c r="D125" s="2539"/>
      <c r="E125" s="2539"/>
      <c r="F125" s="2539"/>
      <c r="G125" s="2539"/>
      <c r="H125" s="2539"/>
      <c r="I125" s="2539"/>
      <c r="J125" s="2539"/>
      <c r="K125" s="2539"/>
      <c r="L125" s="2539"/>
      <c r="M125" s="2539"/>
      <c r="N125" s="2539"/>
      <c r="O125" s="2539"/>
      <c r="P125" s="2539"/>
      <c r="Q125" s="2539"/>
      <c r="R125" s="2539"/>
      <c r="S125" s="2539"/>
      <c r="T125" s="512"/>
      <c r="U125" s="514"/>
    </row>
    <row r="126" spans="1:21" ht="13.2">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1099</v>
      </c>
      <c r="B128" s="521"/>
      <c r="C128" s="511"/>
      <c r="D128" s="2532"/>
      <c r="E128" s="2532"/>
      <c r="F128" s="2532"/>
      <c r="G128" s="2532"/>
      <c r="H128" s="2532"/>
      <c r="I128" s="511"/>
      <c r="J128" s="2533"/>
      <c r="K128" s="2533"/>
      <c r="L128" s="511"/>
      <c r="M128" s="511"/>
      <c r="N128" s="511"/>
      <c r="O128" s="511"/>
      <c r="P128" s="511"/>
      <c r="Q128" s="511"/>
      <c r="R128" s="511"/>
      <c r="S128" s="511"/>
      <c r="T128" s="512"/>
      <c r="U128" s="514"/>
    </row>
    <row r="129" spans="1:21" ht="13.2">
      <c r="A129" s="511" t="s">
        <v>308</v>
      </c>
      <c r="B129" s="521"/>
      <c r="C129" s="511"/>
      <c r="D129" s="2534" t="s">
        <v>1100</v>
      </c>
      <c r="E129" s="2534"/>
      <c r="F129" s="2534"/>
      <c r="G129" s="2534"/>
      <c r="H129" s="2534"/>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1102</v>
      </c>
      <c r="B131" s="522">
        <f>SUM(B123:B129)</f>
        <v>0</v>
      </c>
      <c r="C131" s="511"/>
      <c r="D131" s="2515"/>
      <c r="E131" s="2515"/>
      <c r="F131" s="2515"/>
      <c r="G131" s="2515"/>
      <c r="H131" s="2515"/>
      <c r="I131" s="511"/>
      <c r="J131" s="2515"/>
      <c r="K131" s="2515"/>
      <c r="L131" s="2515"/>
      <c r="M131" s="2515"/>
      <c r="N131" s="511"/>
      <c r="O131" s="511"/>
      <c r="P131" s="511"/>
      <c r="Q131" s="511"/>
      <c r="R131" s="511"/>
      <c r="S131" s="511"/>
      <c r="T131" s="512"/>
      <c r="U131" s="514"/>
    </row>
    <row r="132" spans="1:21" ht="12" customHeight="1">
      <c r="A132" s="525"/>
      <c r="B132" s="511"/>
      <c r="C132" s="511"/>
      <c r="D132" s="2540" t="s">
        <v>1103</v>
      </c>
      <c r="E132" s="2540"/>
      <c r="F132" s="2540"/>
      <c r="G132" s="2540"/>
      <c r="H132" s="2540"/>
      <c r="I132" s="511"/>
      <c r="J132" s="2540" t="s">
        <v>1104</v>
      </c>
      <c r="K132" s="2540"/>
      <c r="L132" s="2540"/>
      <c r="M132" s="254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1"/>
      <c r="B138" s="2542"/>
      <c r="C138" s="2542"/>
      <c r="D138" s="516"/>
      <c r="E138" s="2533"/>
      <c r="F138" s="2533"/>
      <c r="G138" s="511"/>
      <c r="H138" s="511"/>
      <c r="I138" s="511"/>
      <c r="J138" s="511"/>
      <c r="K138" s="511"/>
      <c r="L138" s="511"/>
      <c r="M138" s="511"/>
      <c r="N138" s="511"/>
      <c r="O138" s="511"/>
      <c r="P138" s="511"/>
      <c r="Q138" s="511"/>
      <c r="R138" s="511"/>
      <c r="S138" s="511"/>
      <c r="T138" s="518"/>
      <c r="U138" s="519"/>
    </row>
    <row r="139" spans="1:21" ht="13.2">
      <c r="A139" s="2536" t="s">
        <v>1107</v>
      </c>
      <c r="B139" s="2537"/>
      <c r="C139" s="2537"/>
      <c r="D139" s="516"/>
      <c r="E139" s="511" t="s">
        <v>1101</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51" stopIfTrue="1">
      <formula>T9&gt;C9</formula>
    </cfRule>
  </conditionalFormatting>
  <conditionalFormatting sqref="S10">
    <cfRule type="expression" dxfId="125" priority="250" stopIfTrue="1">
      <formula>(S10+T10)&gt;C10</formula>
    </cfRule>
  </conditionalFormatting>
  <conditionalFormatting sqref="R8">
    <cfRule type="cellIs" dxfId="124" priority="239" stopIfTrue="1" operator="notEqual">
      <formula>$B8</formula>
    </cfRule>
    <cfRule type="cellIs" priority="242" stopIfTrue="1" operator="notEqual">
      <formula>$B8</formula>
    </cfRule>
  </conditionalFormatting>
  <conditionalFormatting sqref="R4:R7 R56:R61 R45:R53 R83:R95 R99:R103">
    <cfRule type="cellIs" dxfId="123" priority="241" stopIfTrue="1" operator="notEqual">
      <formula>$B4</formula>
    </cfRule>
  </conditionalFormatting>
  <conditionalFormatting sqref="R9:R10">
    <cfRule type="cellIs" dxfId="122" priority="240" stopIfTrue="1" operator="notEqual">
      <formula>$B9</formula>
    </cfRule>
  </conditionalFormatting>
  <conditionalFormatting sqref="R11:R12">
    <cfRule type="cellIs" dxfId="121" priority="237" stopIfTrue="1" operator="notEqual">
      <formula>$B11</formula>
    </cfRule>
    <cfRule type="cellIs" priority="238" stopIfTrue="1" operator="notEqual">
      <formula>$B11</formula>
    </cfRule>
  </conditionalFormatting>
  <conditionalFormatting sqref="R13:R15">
    <cfRule type="cellIs" dxfId="120" priority="236" stopIfTrue="1" operator="notEqual">
      <formula>$B13</formula>
    </cfRule>
  </conditionalFormatting>
  <conditionalFormatting sqref="R26">
    <cfRule type="cellIs" dxfId="119" priority="234" stopIfTrue="1" operator="notEqual">
      <formula>$B26</formula>
    </cfRule>
    <cfRule type="cellIs" priority="235" stopIfTrue="1" operator="notEqual">
      <formula>$B26</formula>
    </cfRule>
  </conditionalFormatting>
  <conditionalFormatting sqref="R17:R25">
    <cfRule type="cellIs" dxfId="118" priority="233" stopIfTrue="1" operator="notEqual">
      <formula>$B17</formula>
    </cfRule>
  </conditionalFormatting>
  <conditionalFormatting sqref="R27">
    <cfRule type="cellIs" dxfId="117" priority="232" stopIfTrue="1" operator="notEqual">
      <formula>$B27</formula>
    </cfRule>
  </conditionalFormatting>
  <conditionalFormatting sqref="R38">
    <cfRule type="cellIs" dxfId="116" priority="230" stopIfTrue="1" operator="notEqual">
      <formula>$B38</formula>
    </cfRule>
    <cfRule type="cellIs" priority="231" stopIfTrue="1" operator="notEqual">
      <formula>$B38</formula>
    </cfRule>
  </conditionalFormatting>
  <conditionalFormatting sqref="R29:R37">
    <cfRule type="cellIs" dxfId="115" priority="229" stopIfTrue="1" operator="notEqual">
      <formula>$B29</formula>
    </cfRule>
  </conditionalFormatting>
  <conditionalFormatting sqref="R42">
    <cfRule type="cellIs" dxfId="114" priority="227" stopIfTrue="1" operator="notEqual">
      <formula>$B42</formula>
    </cfRule>
    <cfRule type="cellIs" priority="228" stopIfTrue="1" operator="notEqual">
      <formula>$B42</formula>
    </cfRule>
  </conditionalFormatting>
  <conditionalFormatting sqref="R40:R41">
    <cfRule type="cellIs" dxfId="113" priority="226" stopIfTrue="1" operator="notEqual">
      <formula>$B40</formula>
    </cfRule>
  </conditionalFormatting>
  <conditionalFormatting sqref="R43">
    <cfRule type="cellIs" dxfId="112" priority="225" stopIfTrue="1" operator="notEqual">
      <formula>$B43</formula>
    </cfRule>
  </conditionalFormatting>
  <conditionalFormatting sqref="R54">
    <cfRule type="cellIs" dxfId="111" priority="223" stopIfTrue="1" operator="notEqual">
      <formula>$B54</formula>
    </cfRule>
    <cfRule type="cellIs" priority="224" stopIfTrue="1" operator="notEqual">
      <formula>$B54</formula>
    </cfRule>
  </conditionalFormatting>
  <conditionalFormatting sqref="R62:R63">
    <cfRule type="cellIs" dxfId="110" priority="220" stopIfTrue="1" operator="notEqual">
      <formula>$B62</formula>
    </cfRule>
    <cfRule type="cellIs" priority="221" stopIfTrue="1" operator="notEqual">
      <formula>$B62</formula>
    </cfRule>
  </conditionalFormatting>
  <conditionalFormatting sqref="R70">
    <cfRule type="cellIs" dxfId="109" priority="217" stopIfTrue="1" operator="notEqual">
      <formula>$B70</formula>
    </cfRule>
    <cfRule type="cellIs" priority="218" stopIfTrue="1" operator="notEqual">
      <formula>$B70</formula>
    </cfRule>
  </conditionalFormatting>
  <conditionalFormatting sqref="R65:R69">
    <cfRule type="cellIs" dxfId="108" priority="216" stopIfTrue="1" operator="notEqual">
      <formula>$B65</formula>
    </cfRule>
  </conditionalFormatting>
  <conditionalFormatting sqref="R77">
    <cfRule type="cellIs" dxfId="107" priority="214" stopIfTrue="1" operator="notEqual">
      <formula>$B77</formula>
    </cfRule>
    <cfRule type="cellIs" priority="215" stopIfTrue="1" operator="notEqual">
      <formula>$B77</formula>
    </cfRule>
  </conditionalFormatting>
  <conditionalFormatting sqref="R96">
    <cfRule type="cellIs" dxfId="106" priority="212" stopIfTrue="1" operator="notEqual">
      <formula>$B96</formula>
    </cfRule>
    <cfRule type="cellIs" priority="213" stopIfTrue="1" operator="notEqual">
      <formula>$B96</formula>
    </cfRule>
  </conditionalFormatting>
  <conditionalFormatting sqref="R72:R76">
    <cfRule type="cellIs" dxfId="105" priority="211" stopIfTrue="1" operator="notEqual">
      <formula>$B72</formula>
    </cfRule>
  </conditionalFormatting>
  <conditionalFormatting sqref="R79:R80">
    <cfRule type="cellIs" dxfId="104" priority="210" stopIfTrue="1" operator="notEqual">
      <formula>$B79</formula>
    </cfRule>
  </conditionalFormatting>
  <conditionalFormatting sqref="R104:R105">
    <cfRule type="cellIs" dxfId="103" priority="207" stopIfTrue="1" operator="notEqual">
      <formula>$B104</formula>
    </cfRule>
    <cfRule type="cellIs" priority="208" stopIfTrue="1" operator="notEqual">
      <formula>$B104</formula>
    </cfRule>
  </conditionalFormatting>
  <conditionalFormatting sqref="E105:Q105">
    <cfRule type="cellIs" dxfId="102" priority="205" stopIfTrue="1" operator="notEqual">
      <formula>E$108</formula>
    </cfRule>
  </conditionalFormatting>
  <conditionalFormatting sqref="S13">
    <cfRule type="expression" dxfId="101" priority="202" stopIfTrue="1">
      <formula>(S13+T13)&gt;C13</formula>
    </cfRule>
  </conditionalFormatting>
  <conditionalFormatting sqref="S14">
    <cfRule type="expression" dxfId="100" priority="199" stopIfTrue="1">
      <formula>(S14+T14)&gt;C14</formula>
    </cfRule>
  </conditionalFormatting>
  <conditionalFormatting sqref="S17">
    <cfRule type="expression" dxfId="99" priority="198" stopIfTrue="1">
      <formula>(S17+T17)&gt;C17</formula>
    </cfRule>
  </conditionalFormatting>
  <conditionalFormatting sqref="S18">
    <cfRule type="expression" dxfId="98" priority="190" stopIfTrue="1">
      <formula>(S18+T18)&gt;C18</formula>
    </cfRule>
  </conditionalFormatting>
  <conditionalFormatting sqref="S19">
    <cfRule type="expression" dxfId="97" priority="188" stopIfTrue="1">
      <formula>(S19+T19)&gt;C19</formula>
    </cfRule>
  </conditionalFormatting>
  <conditionalFormatting sqref="S20">
    <cfRule type="expression" dxfId="96" priority="187" stopIfTrue="1">
      <formula>(S20+T20)&gt;C20</formula>
    </cfRule>
  </conditionalFormatting>
  <conditionalFormatting sqref="S21">
    <cfRule type="expression" dxfId="95" priority="186" stopIfTrue="1">
      <formula>(S21+T21)&gt;C21</formula>
    </cfRule>
  </conditionalFormatting>
  <conditionalFormatting sqref="S22">
    <cfRule type="expression" dxfId="94" priority="185" stopIfTrue="1">
      <formula>(S22+T22)&gt;C22</formula>
    </cfRule>
  </conditionalFormatting>
  <conditionalFormatting sqref="S23:S24">
    <cfRule type="expression" dxfId="93" priority="184" stopIfTrue="1">
      <formula>(S23+T23)&gt;C23</formula>
    </cfRule>
  </conditionalFormatting>
  <conditionalFormatting sqref="S25">
    <cfRule type="expression" dxfId="92" priority="183" stopIfTrue="1">
      <formula>(S25+T25)&gt;C25</formula>
    </cfRule>
  </conditionalFormatting>
  <conditionalFormatting sqref="S27">
    <cfRule type="expression" dxfId="91" priority="176" stopIfTrue="1">
      <formula>(S27+T27)&gt;C27</formula>
    </cfRule>
  </conditionalFormatting>
  <conditionalFormatting sqref="S29">
    <cfRule type="expression" dxfId="90" priority="174" stopIfTrue="1">
      <formula>(S29+T29)&gt;C29</formula>
    </cfRule>
  </conditionalFormatting>
  <conditionalFormatting sqref="S34">
    <cfRule type="expression" dxfId="89" priority="168" stopIfTrue="1">
      <formula>(S34+T34)&gt;C34</formula>
    </cfRule>
  </conditionalFormatting>
  <conditionalFormatting sqref="S36">
    <cfRule type="expression" dxfId="88" priority="167" stopIfTrue="1">
      <formula>(S36+T36)&gt;C36</formula>
    </cfRule>
  </conditionalFormatting>
  <conditionalFormatting sqref="S41">
    <cfRule type="expression" dxfId="87" priority="157" stopIfTrue="1">
      <formula>(S41+T41)&gt;C41</formula>
    </cfRule>
  </conditionalFormatting>
  <conditionalFormatting sqref="S48">
    <cfRule type="expression" dxfId="86" priority="145" stopIfTrue="1">
      <formula>(S48+T48)&gt;C48</formula>
    </cfRule>
  </conditionalFormatting>
  <conditionalFormatting sqref="S49">
    <cfRule type="expression" dxfId="85" priority="144" stopIfTrue="1">
      <formula>(S49+T49)&gt;C49</formula>
    </cfRule>
  </conditionalFormatting>
  <conditionalFormatting sqref="S66:S68">
    <cfRule type="expression" dxfId="84" priority="129" stopIfTrue="1">
      <formula>(S66+T66)&gt;C66</formula>
    </cfRule>
  </conditionalFormatting>
  <conditionalFormatting sqref="S69">
    <cfRule type="expression" dxfId="83" priority="128" stopIfTrue="1">
      <formula>(S69+T69)&gt;C69</formula>
    </cfRule>
  </conditionalFormatting>
  <conditionalFormatting sqref="S87">
    <cfRule type="expression" dxfId="82" priority="118" stopIfTrue="1">
      <formula>(S87+T87)&gt;C87</formula>
    </cfRule>
  </conditionalFormatting>
  <conditionalFormatting sqref="S95">
    <cfRule type="expression" dxfId="81" priority="107" stopIfTrue="1">
      <formula>(S95+T95)&gt;C95</formula>
    </cfRule>
  </conditionalFormatting>
  <conditionalFormatting sqref="S100">
    <cfRule type="expression" dxfId="80" priority="94" stopIfTrue="1">
      <formula>(S100+T100)&gt;C100</formula>
    </cfRule>
  </conditionalFormatting>
  <conditionalFormatting sqref="S101">
    <cfRule type="expression" dxfId="79" priority="92" stopIfTrue="1">
      <formula>(S101+T101)&gt;C101</formula>
    </cfRule>
  </conditionalFormatting>
  <conditionalFormatting sqref="S102">
    <cfRule type="expression" dxfId="78" priority="91" stopIfTrue="1">
      <formula>(S102+T102)&gt;C102</formula>
    </cfRule>
  </conditionalFormatting>
  <conditionalFormatting sqref="S103">
    <cfRule type="expression" dxfId="77" priority="90" stopIfTrue="1">
      <formula>(S103+T103)&gt;C103</formula>
    </cfRule>
  </conditionalFormatting>
  <conditionalFormatting sqref="C10">
    <cfRule type="expression" dxfId="76" priority="82">
      <formula>"(S10+T10)&gt;C10 "</formula>
    </cfRule>
  </conditionalFormatting>
  <conditionalFormatting sqref="T10">
    <cfRule type="expression" dxfId="75" priority="80" stopIfTrue="1">
      <formula>(S10+T10)&gt;C10</formula>
    </cfRule>
  </conditionalFormatting>
  <conditionalFormatting sqref="T13">
    <cfRule type="expression" dxfId="74" priority="78" stopIfTrue="1">
      <formula>(S13+T13)&gt;C13</formula>
    </cfRule>
  </conditionalFormatting>
  <conditionalFormatting sqref="T14">
    <cfRule type="expression" dxfId="73" priority="77" stopIfTrue="1">
      <formula>(S14+T14)&gt;C14</formula>
    </cfRule>
  </conditionalFormatting>
  <conditionalFormatting sqref="T17">
    <cfRule type="expression" dxfId="72" priority="76" stopIfTrue="1">
      <formula>(S17+T17)&gt;C17</formula>
    </cfRule>
  </conditionalFormatting>
  <conditionalFormatting sqref="T18">
    <cfRule type="expression" dxfId="71" priority="59" stopIfTrue="1">
      <formula>(S18+T18)&gt;C18</formula>
    </cfRule>
  </conditionalFormatting>
  <conditionalFormatting sqref="T19">
    <cfRule type="expression" dxfId="70" priority="58" stopIfTrue="1">
      <formula>(S19+T19)&gt;C19</formula>
    </cfRule>
  </conditionalFormatting>
  <conditionalFormatting sqref="T20">
    <cfRule type="expression" dxfId="69" priority="57" stopIfTrue="1">
      <formula>(S20+T20)&gt;C20</formula>
    </cfRule>
  </conditionalFormatting>
  <conditionalFormatting sqref="T21">
    <cfRule type="expression" dxfId="68" priority="56" stopIfTrue="1">
      <formula>(S21+T21)&gt;C21</formula>
    </cfRule>
  </conditionalFormatting>
  <conditionalFormatting sqref="T22">
    <cfRule type="expression" dxfId="67" priority="55" stopIfTrue="1">
      <formula>(S22+T22)&gt;C22</formula>
    </cfRule>
  </conditionalFormatting>
  <conditionalFormatting sqref="T23:T24">
    <cfRule type="expression" dxfId="66" priority="54" stopIfTrue="1">
      <formula>(S23+T23)&gt;C23</formula>
    </cfRule>
  </conditionalFormatting>
  <conditionalFormatting sqref="T25">
    <cfRule type="expression" dxfId="65" priority="53" stopIfTrue="1">
      <formula>(S25+T25)&gt;C25</formula>
    </cfRule>
  </conditionalFormatting>
  <conditionalFormatting sqref="T27">
    <cfRule type="expression" dxfId="64" priority="51" stopIfTrue="1">
      <formula>(S27+T27)&gt;C27</formula>
    </cfRule>
  </conditionalFormatting>
  <conditionalFormatting sqref="T29">
    <cfRule type="expression" dxfId="63" priority="50" stopIfTrue="1">
      <formula>(S29+T29)&gt;C29</formula>
    </cfRule>
  </conditionalFormatting>
  <conditionalFormatting sqref="T30">
    <cfRule type="expression" dxfId="62" priority="48" stopIfTrue="1">
      <formula>(S30+T30)&gt;C30</formula>
    </cfRule>
  </conditionalFormatting>
  <conditionalFormatting sqref="T31">
    <cfRule type="expression" dxfId="61" priority="47" stopIfTrue="1">
      <formula>(S31+T31)&gt;C31</formula>
    </cfRule>
  </conditionalFormatting>
  <conditionalFormatting sqref="T32">
    <cfRule type="expression" dxfId="60" priority="46" stopIfTrue="1">
      <formula>(S32+T32)&gt;C32</formula>
    </cfRule>
  </conditionalFormatting>
  <conditionalFormatting sqref="T33">
    <cfRule type="expression" dxfId="59" priority="45" stopIfTrue="1">
      <formula>(S33+T33)&gt;C33</formula>
    </cfRule>
  </conditionalFormatting>
  <conditionalFormatting sqref="T34">
    <cfRule type="expression" dxfId="58" priority="44" stopIfTrue="1">
      <formula>(S34+T34)&gt;C34</formula>
    </cfRule>
  </conditionalFormatting>
  <conditionalFormatting sqref="T35:T36">
    <cfRule type="expression" dxfId="57" priority="43" stopIfTrue="1">
      <formula>(S35+T35)&gt;C35</formula>
    </cfRule>
  </conditionalFormatting>
  <conditionalFormatting sqref="T37">
    <cfRule type="expression" dxfId="56" priority="42" stopIfTrue="1">
      <formula>(S37+T37)&gt;C37</formula>
    </cfRule>
  </conditionalFormatting>
  <conditionalFormatting sqref="T40">
    <cfRule type="expression" dxfId="55" priority="41" stopIfTrue="1">
      <formula>(S40+T40)&gt;C40</formula>
    </cfRule>
  </conditionalFormatting>
  <conditionalFormatting sqref="T41">
    <cfRule type="expression" dxfId="54" priority="40" stopIfTrue="1">
      <formula>(S41+T41)&gt;C41</formula>
    </cfRule>
  </conditionalFormatting>
  <conditionalFormatting sqref="T43">
    <cfRule type="expression" dxfId="53" priority="39" stopIfTrue="1">
      <formula>(S43+T43)&gt;C43</formula>
    </cfRule>
  </conditionalFormatting>
  <conditionalFormatting sqref="T45">
    <cfRule type="expression" dxfId="52" priority="38" stopIfTrue="1">
      <formula>(S45+T45)&gt;C45</formula>
    </cfRule>
  </conditionalFormatting>
  <conditionalFormatting sqref="T46">
    <cfRule type="expression" dxfId="51" priority="37" stopIfTrue="1">
      <formula>(S46+T46)&gt;C46</formula>
    </cfRule>
  </conditionalFormatting>
  <conditionalFormatting sqref="T47">
    <cfRule type="expression" dxfId="50" priority="36" stopIfTrue="1">
      <formula>(S47+T47)&gt;C47</formula>
    </cfRule>
  </conditionalFormatting>
  <conditionalFormatting sqref="T48">
    <cfRule type="expression" dxfId="49" priority="35" stopIfTrue="1">
      <formula>(S48+T48)&gt;C48</formula>
    </cfRule>
  </conditionalFormatting>
  <conditionalFormatting sqref="T49">
    <cfRule type="expression" dxfId="48" priority="34" stopIfTrue="1">
      <formula>(S49+T49)&gt;C49</formula>
    </cfRule>
  </conditionalFormatting>
  <conditionalFormatting sqref="T50">
    <cfRule type="expression" dxfId="47" priority="33" stopIfTrue="1">
      <formula>(S50+T50)&gt;C50</formula>
    </cfRule>
  </conditionalFormatting>
  <conditionalFormatting sqref="T51">
    <cfRule type="expression" dxfId="46" priority="32" stopIfTrue="1">
      <formula>(S51+T51)&gt;C51</formula>
    </cfRule>
  </conditionalFormatting>
  <conditionalFormatting sqref="T52">
    <cfRule type="expression" dxfId="45" priority="31" stopIfTrue="1">
      <formula>(S52+T52)&gt;C52</formula>
    </cfRule>
  </conditionalFormatting>
  <conditionalFormatting sqref="T53">
    <cfRule type="expression" dxfId="44" priority="29" stopIfTrue="1">
      <formula>(S53+T53)&gt;C53</formula>
    </cfRule>
  </conditionalFormatting>
  <conditionalFormatting sqref="T65:T68">
    <cfRule type="expression" dxfId="43" priority="28" stopIfTrue="1">
      <formula>(S65+T65)&gt;C65</formula>
    </cfRule>
  </conditionalFormatting>
  <conditionalFormatting sqref="T69">
    <cfRule type="expression" dxfId="42" priority="27" stopIfTrue="1">
      <formula>(S69+T69)&gt;C69</formula>
    </cfRule>
  </conditionalFormatting>
  <conditionalFormatting sqref="T79">
    <cfRule type="expression" dxfId="41" priority="26" stopIfTrue="1">
      <formula>(S79+T79)&gt;C79</formula>
    </cfRule>
  </conditionalFormatting>
  <conditionalFormatting sqref="T80">
    <cfRule type="expression" dxfId="40" priority="25" stopIfTrue="1">
      <formula>(S80+T80)&gt;C80</formula>
    </cfRule>
  </conditionalFormatting>
  <conditionalFormatting sqref="T84">
    <cfRule type="expression" dxfId="39" priority="24" stopIfTrue="1">
      <formula>(S84+T84)&gt;C84</formula>
    </cfRule>
  </conditionalFormatting>
  <conditionalFormatting sqref="T85">
    <cfRule type="expression" dxfId="38" priority="23" stopIfTrue="1">
      <formula>(S85+T85)&gt;C85</formula>
    </cfRule>
  </conditionalFormatting>
  <conditionalFormatting sqref="T86">
    <cfRule type="expression" dxfId="37" priority="22" stopIfTrue="1">
      <formula>(S86+T86)&gt;C86</formula>
    </cfRule>
  </conditionalFormatting>
  <conditionalFormatting sqref="T87">
    <cfRule type="expression" dxfId="36" priority="21" stopIfTrue="1">
      <formula>(S87+T87)&gt;C87</formula>
    </cfRule>
  </conditionalFormatting>
  <conditionalFormatting sqref="T89">
    <cfRule type="expression" dxfId="35" priority="20" stopIfTrue="1">
      <formula>(S89+T89)&gt;C89</formula>
    </cfRule>
  </conditionalFormatting>
  <conditionalFormatting sqref="T90">
    <cfRule type="expression" dxfId="34" priority="19" stopIfTrue="1">
      <formula>(S90+T90)&gt;C90</formula>
    </cfRule>
  </conditionalFormatting>
  <conditionalFormatting sqref="T91">
    <cfRule type="expression" dxfId="33" priority="18" stopIfTrue="1">
      <formula>(S91+T91)&gt;C91</formula>
    </cfRule>
  </conditionalFormatting>
  <conditionalFormatting sqref="T92">
    <cfRule type="expression" dxfId="32" priority="17" stopIfTrue="1">
      <formula>(S92+T92)&gt;C92</formula>
    </cfRule>
  </conditionalFormatting>
  <conditionalFormatting sqref="T93">
    <cfRule type="expression" dxfId="31" priority="16" stopIfTrue="1">
      <formula>(S93+T93)&gt;C93</formula>
    </cfRule>
  </conditionalFormatting>
  <conditionalFormatting sqref="T94">
    <cfRule type="expression" dxfId="30" priority="15" stopIfTrue="1">
      <formula>(S94+T94)&gt;C94</formula>
    </cfRule>
  </conditionalFormatting>
  <conditionalFormatting sqref="T95">
    <cfRule type="expression" dxfId="29" priority="14" stopIfTrue="1">
      <formula>(S95+T95)&gt;C95</formula>
    </cfRule>
  </conditionalFormatting>
  <conditionalFormatting sqref="T99">
    <cfRule type="expression" dxfId="28" priority="11" stopIfTrue="1">
      <formula>(S99+T99)&gt;C99</formula>
    </cfRule>
  </conditionalFormatting>
  <conditionalFormatting sqref="T100">
    <cfRule type="expression" dxfId="27" priority="10" stopIfTrue="1">
      <formula>(S100+T100)&gt;C100</formula>
    </cfRule>
  </conditionalFormatting>
  <conditionalFormatting sqref="T101">
    <cfRule type="expression" dxfId="26" priority="8" stopIfTrue="1">
      <formula>(S101+T101)&gt;C101</formula>
    </cfRule>
  </conditionalFormatting>
  <conditionalFormatting sqref="T102">
    <cfRule type="expression" dxfId="25" priority="7" stopIfTrue="1">
      <formula>(S102+T102)&gt;C102</formula>
    </cfRule>
  </conditionalFormatting>
  <conditionalFormatting sqref="T103">
    <cfRule type="expression" dxfId="24" priority="6" stopIfTrue="1">
      <formula>(S103+T103)&gt;C103</formula>
    </cfRule>
  </conditionalFormatting>
  <conditionalFormatting sqref="S37 S35 S30:S33">
    <cfRule type="expression" dxfId="23" priority="5" stopIfTrue="1">
      <formula>(S30+T30)&gt;C30</formula>
    </cfRule>
  </conditionalFormatting>
  <conditionalFormatting sqref="S50:S53 S45:S47 S43 S40">
    <cfRule type="expression" dxfId="22" priority="4" stopIfTrue="1">
      <formula>(S40+T40)&gt;C40</formula>
    </cfRule>
  </conditionalFormatting>
  <conditionalFormatting sqref="S65">
    <cfRule type="expression" dxfId="21" priority="3" stopIfTrue="1">
      <formula>(S65+T65)&gt;C65</formula>
    </cfRule>
  </conditionalFormatting>
  <conditionalFormatting sqref="S89:S94 S84:S86 S79:S80">
    <cfRule type="expression" dxfId="20" priority="2" stopIfTrue="1">
      <formula>(S79+T79)&gt;C79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abSelected="1" topLeftCell="A7" zoomScaleNormal="100" zoomScaleSheetLayoutView="100" workbookViewId="0">
      <selection activeCell="E10" sqref="E10"/>
    </sheetView>
  </sheetViews>
  <sheetFormatPr defaultColWidth="0" defaultRowHeight="12" zeroHeight="1"/>
  <cols>
    <col min="1" max="1" width="32.77734375" style="608" customWidth="1"/>
    <col min="2" max="3" width="12.109375" style="601" customWidth="1"/>
    <col min="4" max="6" width="12.88671875" style="601" customWidth="1"/>
    <col min="7" max="9" width="12.109375" style="601" customWidth="1"/>
    <col min="10" max="10" width="12.109375" style="602" customWidth="1"/>
    <col min="11" max="11" width="8.88671875" style="603" hidden="1" customWidth="1"/>
    <col min="12" max="21" width="8.88671875" style="601" hidden="1" customWidth="1"/>
    <col min="22" max="23" width="0" style="601" hidden="1"/>
    <col min="24" max="256" width="8.88671875" style="601" hidden="1"/>
    <col min="257" max="257" width="32.77734375" style="601" hidden="1" customWidth="1"/>
    <col min="258" max="259" width="12.109375" style="601" hidden="1" customWidth="1"/>
    <col min="260" max="260" width="12.88671875" style="601" hidden="1" customWidth="1"/>
    <col min="261" max="266" width="12.109375" style="601" hidden="1" customWidth="1"/>
    <col min="267" max="277" width="8.88671875" style="601" hidden="1" customWidth="1"/>
    <col min="278" max="512" width="8.88671875" style="601" hidden="1"/>
    <col min="513" max="513" width="32.77734375" style="601" hidden="1" customWidth="1"/>
    <col min="514" max="515" width="12.109375" style="601" hidden="1" customWidth="1"/>
    <col min="516" max="516" width="12.88671875" style="601" hidden="1" customWidth="1"/>
    <col min="517" max="522" width="12.109375" style="601" hidden="1" customWidth="1"/>
    <col min="523" max="533" width="8.88671875" style="601" hidden="1" customWidth="1"/>
    <col min="534" max="768" width="8.88671875" style="601" hidden="1"/>
    <col min="769" max="769" width="32.77734375" style="601" hidden="1" customWidth="1"/>
    <col min="770" max="771" width="12.109375" style="601" hidden="1" customWidth="1"/>
    <col min="772" max="772" width="12.88671875" style="601" hidden="1" customWidth="1"/>
    <col min="773" max="778" width="12.109375" style="601" hidden="1" customWidth="1"/>
    <col min="779" max="789" width="8.88671875" style="601" hidden="1" customWidth="1"/>
    <col min="790" max="1024" width="8.88671875" style="601" hidden="1"/>
    <col min="1025" max="1025" width="32.77734375" style="601" hidden="1" customWidth="1"/>
    <col min="1026" max="1027" width="12.109375" style="601" hidden="1" customWidth="1"/>
    <col min="1028" max="1028" width="12.88671875" style="601" hidden="1" customWidth="1"/>
    <col min="1029" max="1034" width="12.109375" style="601" hidden="1" customWidth="1"/>
    <col min="1035" max="1045" width="8.88671875" style="601" hidden="1" customWidth="1"/>
    <col min="1046" max="1280" width="8.88671875" style="601" hidden="1"/>
    <col min="1281" max="1281" width="32.77734375" style="601" hidden="1" customWidth="1"/>
    <col min="1282" max="1283" width="12.109375" style="601" hidden="1" customWidth="1"/>
    <col min="1284" max="1284" width="12.88671875" style="601" hidden="1" customWidth="1"/>
    <col min="1285" max="1290" width="12.109375" style="601" hidden="1" customWidth="1"/>
    <col min="1291" max="1301" width="8.88671875" style="601" hidden="1" customWidth="1"/>
    <col min="1302" max="1536" width="8.88671875" style="601" hidden="1"/>
    <col min="1537" max="1537" width="32.77734375" style="601" hidden="1" customWidth="1"/>
    <col min="1538" max="1539" width="12.109375" style="601" hidden="1" customWidth="1"/>
    <col min="1540" max="1540" width="12.88671875" style="601" hidden="1" customWidth="1"/>
    <col min="1541" max="1546" width="12.109375" style="601" hidden="1" customWidth="1"/>
    <col min="1547" max="1557" width="8.88671875" style="601" hidden="1" customWidth="1"/>
    <col min="1558" max="1792" width="8.88671875" style="601" hidden="1"/>
    <col min="1793" max="1793" width="32.77734375" style="601" hidden="1" customWidth="1"/>
    <col min="1794" max="1795" width="12.109375" style="601" hidden="1" customWidth="1"/>
    <col min="1796" max="1796" width="12.88671875" style="601" hidden="1" customWidth="1"/>
    <col min="1797" max="1802" width="12.109375" style="601" hidden="1" customWidth="1"/>
    <col min="1803" max="1813" width="8.88671875" style="601" hidden="1" customWidth="1"/>
    <col min="1814" max="2048" width="8.88671875" style="601" hidden="1"/>
    <col min="2049" max="2049" width="32.77734375" style="601" hidden="1" customWidth="1"/>
    <col min="2050" max="2051" width="12.109375" style="601" hidden="1" customWidth="1"/>
    <col min="2052" max="2052" width="12.88671875" style="601" hidden="1" customWidth="1"/>
    <col min="2053" max="2058" width="12.109375" style="601" hidden="1" customWidth="1"/>
    <col min="2059" max="2069" width="8.88671875" style="601" hidden="1" customWidth="1"/>
    <col min="2070" max="2304" width="8.88671875" style="601" hidden="1"/>
    <col min="2305" max="2305" width="32.77734375" style="601" hidden="1" customWidth="1"/>
    <col min="2306" max="2307" width="12.109375" style="601" hidden="1" customWidth="1"/>
    <col min="2308" max="2308" width="12.88671875" style="601" hidden="1" customWidth="1"/>
    <col min="2309" max="2314" width="12.109375" style="601" hidden="1" customWidth="1"/>
    <col min="2315" max="2325" width="8.88671875" style="601" hidden="1" customWidth="1"/>
    <col min="2326" max="2560" width="8.88671875" style="601" hidden="1"/>
    <col min="2561" max="2561" width="32.77734375" style="601" hidden="1" customWidth="1"/>
    <col min="2562" max="2563" width="12.109375" style="601" hidden="1" customWidth="1"/>
    <col min="2564" max="2564" width="12.88671875" style="601" hidden="1" customWidth="1"/>
    <col min="2565" max="2570" width="12.109375" style="601" hidden="1" customWidth="1"/>
    <col min="2571" max="2581" width="8.88671875" style="601" hidden="1" customWidth="1"/>
    <col min="2582" max="2816" width="8.88671875" style="601" hidden="1"/>
    <col min="2817" max="2817" width="32.77734375" style="601" hidden="1" customWidth="1"/>
    <col min="2818" max="2819" width="12.109375" style="601" hidden="1" customWidth="1"/>
    <col min="2820" max="2820" width="12.88671875" style="601" hidden="1" customWidth="1"/>
    <col min="2821" max="2826" width="12.109375" style="601" hidden="1" customWidth="1"/>
    <col min="2827" max="2837" width="8.88671875" style="601" hidden="1" customWidth="1"/>
    <col min="2838" max="3072" width="8.88671875" style="601" hidden="1"/>
    <col min="3073" max="3073" width="32.77734375" style="601" hidden="1" customWidth="1"/>
    <col min="3074" max="3075" width="12.109375" style="601" hidden="1" customWidth="1"/>
    <col min="3076" max="3076" width="12.88671875" style="601" hidden="1" customWidth="1"/>
    <col min="3077" max="3082" width="12.109375" style="601" hidden="1" customWidth="1"/>
    <col min="3083" max="3093" width="8.88671875" style="601" hidden="1" customWidth="1"/>
    <col min="3094" max="3328" width="8.88671875" style="601" hidden="1"/>
    <col min="3329" max="3329" width="32.77734375" style="601" hidden="1" customWidth="1"/>
    <col min="3330" max="3331" width="12.109375" style="601" hidden="1" customWidth="1"/>
    <col min="3332" max="3332" width="12.88671875" style="601" hidden="1" customWidth="1"/>
    <col min="3333" max="3338" width="12.109375" style="601" hidden="1" customWidth="1"/>
    <col min="3339" max="3349" width="8.88671875" style="601" hidden="1" customWidth="1"/>
    <col min="3350" max="3584" width="8.88671875" style="601" hidden="1"/>
    <col min="3585" max="3585" width="32.77734375" style="601" hidden="1" customWidth="1"/>
    <col min="3586" max="3587" width="12.109375" style="601" hidden="1" customWidth="1"/>
    <col min="3588" max="3588" width="12.88671875" style="601" hidden="1" customWidth="1"/>
    <col min="3589" max="3594" width="12.109375" style="601" hidden="1" customWidth="1"/>
    <col min="3595" max="3605" width="8.88671875" style="601" hidden="1" customWidth="1"/>
    <col min="3606" max="3840" width="8.88671875" style="601" hidden="1"/>
    <col min="3841" max="3841" width="32.77734375" style="601" hidden="1" customWidth="1"/>
    <col min="3842" max="3843" width="12.109375" style="601" hidden="1" customWidth="1"/>
    <col min="3844" max="3844" width="12.88671875" style="601" hidden="1" customWidth="1"/>
    <col min="3845" max="3850" width="12.109375" style="601" hidden="1" customWidth="1"/>
    <col min="3851" max="3861" width="8.88671875" style="601" hidden="1" customWidth="1"/>
    <col min="3862" max="4096" width="8.88671875" style="601" hidden="1"/>
    <col min="4097" max="4097" width="32.77734375" style="601" hidden="1" customWidth="1"/>
    <col min="4098" max="4099" width="12.109375" style="601" hidden="1" customWidth="1"/>
    <col min="4100" max="4100" width="12.88671875" style="601" hidden="1" customWidth="1"/>
    <col min="4101" max="4106" width="12.109375" style="601" hidden="1" customWidth="1"/>
    <col min="4107" max="4117" width="8.88671875" style="601" hidden="1" customWidth="1"/>
    <col min="4118" max="4352" width="8.88671875" style="601" hidden="1"/>
    <col min="4353" max="4353" width="32.77734375" style="601" hidden="1" customWidth="1"/>
    <col min="4354" max="4355" width="12.109375" style="601" hidden="1" customWidth="1"/>
    <col min="4356" max="4356" width="12.88671875" style="601" hidden="1" customWidth="1"/>
    <col min="4357" max="4362" width="12.109375" style="601" hidden="1" customWidth="1"/>
    <col min="4363" max="4373" width="8.88671875" style="601" hidden="1" customWidth="1"/>
    <col min="4374" max="4608" width="8.88671875" style="601" hidden="1"/>
    <col min="4609" max="4609" width="32.77734375" style="601" hidden="1" customWidth="1"/>
    <col min="4610" max="4611" width="12.109375" style="601" hidden="1" customWidth="1"/>
    <col min="4612" max="4612" width="12.88671875" style="601" hidden="1" customWidth="1"/>
    <col min="4613" max="4618" width="12.109375" style="601" hidden="1" customWidth="1"/>
    <col min="4619" max="4629" width="8.88671875" style="601" hidden="1" customWidth="1"/>
    <col min="4630" max="4864" width="8.88671875" style="601" hidden="1"/>
    <col min="4865" max="4865" width="32.77734375" style="601" hidden="1" customWidth="1"/>
    <col min="4866" max="4867" width="12.109375" style="601" hidden="1" customWidth="1"/>
    <col min="4868" max="4868" width="12.88671875" style="601" hidden="1" customWidth="1"/>
    <col min="4869" max="4874" width="12.109375" style="601" hidden="1" customWidth="1"/>
    <col min="4875" max="4885" width="8.88671875" style="601" hidden="1" customWidth="1"/>
    <col min="4886" max="5120" width="8.88671875" style="601" hidden="1"/>
    <col min="5121" max="5121" width="32.77734375" style="601" hidden="1" customWidth="1"/>
    <col min="5122" max="5123" width="12.109375" style="601" hidden="1" customWidth="1"/>
    <col min="5124" max="5124" width="12.88671875" style="601" hidden="1" customWidth="1"/>
    <col min="5125" max="5130" width="12.109375" style="601" hidden="1" customWidth="1"/>
    <col min="5131" max="5141" width="8.88671875" style="601" hidden="1" customWidth="1"/>
    <col min="5142" max="5376" width="8.88671875" style="601" hidden="1"/>
    <col min="5377" max="5377" width="32.77734375" style="601" hidden="1" customWidth="1"/>
    <col min="5378" max="5379" width="12.109375" style="601" hidden="1" customWidth="1"/>
    <col min="5380" max="5380" width="12.88671875" style="601" hidden="1" customWidth="1"/>
    <col min="5381" max="5386" width="12.109375" style="601" hidden="1" customWidth="1"/>
    <col min="5387" max="5397" width="8.88671875" style="601" hidden="1" customWidth="1"/>
    <col min="5398" max="5632" width="8.88671875" style="601" hidden="1"/>
    <col min="5633" max="5633" width="32.77734375" style="601" hidden="1" customWidth="1"/>
    <col min="5634" max="5635" width="12.109375" style="601" hidden="1" customWidth="1"/>
    <col min="5636" max="5636" width="12.88671875" style="601" hidden="1" customWidth="1"/>
    <col min="5637" max="5642" width="12.109375" style="601" hidden="1" customWidth="1"/>
    <col min="5643" max="5653" width="8.88671875" style="601" hidden="1" customWidth="1"/>
    <col min="5654" max="5888" width="8.88671875" style="601" hidden="1"/>
    <col min="5889" max="5889" width="32.77734375" style="601" hidden="1" customWidth="1"/>
    <col min="5890" max="5891" width="12.109375" style="601" hidden="1" customWidth="1"/>
    <col min="5892" max="5892" width="12.88671875" style="601" hidden="1" customWidth="1"/>
    <col min="5893" max="5898" width="12.109375" style="601" hidden="1" customWidth="1"/>
    <col min="5899" max="5909" width="8.88671875" style="601" hidden="1" customWidth="1"/>
    <col min="5910" max="6144" width="8.88671875" style="601" hidden="1"/>
    <col min="6145" max="6145" width="32.77734375" style="601" hidden="1" customWidth="1"/>
    <col min="6146" max="6147" width="12.109375" style="601" hidden="1" customWidth="1"/>
    <col min="6148" max="6148" width="12.88671875" style="601" hidden="1" customWidth="1"/>
    <col min="6149" max="6154" width="12.109375" style="601" hidden="1" customWidth="1"/>
    <col min="6155" max="6165" width="8.88671875" style="601" hidden="1" customWidth="1"/>
    <col min="6166" max="6400" width="8.88671875" style="601" hidden="1"/>
    <col min="6401" max="6401" width="32.77734375" style="601" hidden="1" customWidth="1"/>
    <col min="6402" max="6403" width="12.109375" style="601" hidden="1" customWidth="1"/>
    <col min="6404" max="6404" width="12.88671875" style="601" hidden="1" customWidth="1"/>
    <col min="6405" max="6410" width="12.109375" style="601" hidden="1" customWidth="1"/>
    <col min="6411" max="6421" width="8.88671875" style="601" hidden="1" customWidth="1"/>
    <col min="6422" max="6656" width="8.88671875" style="601" hidden="1"/>
    <col min="6657" max="6657" width="32.77734375" style="601" hidden="1" customWidth="1"/>
    <col min="6658" max="6659" width="12.109375" style="601" hidden="1" customWidth="1"/>
    <col min="6660" max="6660" width="12.88671875" style="601" hidden="1" customWidth="1"/>
    <col min="6661" max="6666" width="12.109375" style="601" hidden="1" customWidth="1"/>
    <col min="6667" max="6677" width="8.88671875" style="601" hidden="1" customWidth="1"/>
    <col min="6678" max="6912" width="8.88671875" style="601" hidden="1"/>
    <col min="6913" max="6913" width="32.77734375" style="601" hidden="1" customWidth="1"/>
    <col min="6914" max="6915" width="12.109375" style="601" hidden="1" customWidth="1"/>
    <col min="6916" max="6916" width="12.88671875" style="601" hidden="1" customWidth="1"/>
    <col min="6917" max="6922" width="12.109375" style="601" hidden="1" customWidth="1"/>
    <col min="6923" max="6933" width="8.88671875" style="601" hidden="1" customWidth="1"/>
    <col min="6934" max="7168" width="8.88671875" style="601" hidden="1"/>
    <col min="7169" max="7169" width="32.77734375" style="601" hidden="1" customWidth="1"/>
    <col min="7170" max="7171" width="12.109375" style="601" hidden="1" customWidth="1"/>
    <col min="7172" max="7172" width="12.88671875" style="601" hidden="1" customWidth="1"/>
    <col min="7173" max="7178" width="12.109375" style="601" hidden="1" customWidth="1"/>
    <col min="7179" max="7189" width="8.88671875" style="601" hidden="1" customWidth="1"/>
    <col min="7190" max="7424" width="8.88671875" style="601" hidden="1"/>
    <col min="7425" max="7425" width="32.77734375" style="601" hidden="1" customWidth="1"/>
    <col min="7426" max="7427" width="12.109375" style="601" hidden="1" customWidth="1"/>
    <col min="7428" max="7428" width="12.88671875" style="601" hidden="1" customWidth="1"/>
    <col min="7429" max="7434" width="12.109375" style="601" hidden="1" customWidth="1"/>
    <col min="7435" max="7445" width="8.88671875" style="601" hidden="1" customWidth="1"/>
    <col min="7446" max="7680" width="8.88671875" style="601" hidden="1"/>
    <col min="7681" max="7681" width="32.77734375" style="601" hidden="1" customWidth="1"/>
    <col min="7682" max="7683" width="12.109375" style="601" hidden="1" customWidth="1"/>
    <col min="7684" max="7684" width="12.88671875" style="601" hidden="1" customWidth="1"/>
    <col min="7685" max="7690" width="12.109375" style="601" hidden="1" customWidth="1"/>
    <col min="7691" max="7701" width="8.88671875" style="601" hidden="1" customWidth="1"/>
    <col min="7702" max="7936" width="8.88671875" style="601" hidden="1"/>
    <col min="7937" max="7937" width="32.77734375" style="601" hidden="1" customWidth="1"/>
    <col min="7938" max="7939" width="12.109375" style="601" hidden="1" customWidth="1"/>
    <col min="7940" max="7940" width="12.88671875" style="601" hidden="1" customWidth="1"/>
    <col min="7941" max="7946" width="12.109375" style="601" hidden="1" customWidth="1"/>
    <col min="7947" max="7957" width="8.88671875" style="601" hidden="1" customWidth="1"/>
    <col min="7958" max="8192" width="8.88671875" style="601" hidden="1"/>
    <col min="8193" max="8193" width="32.77734375" style="601" hidden="1" customWidth="1"/>
    <col min="8194" max="8195" width="12.109375" style="601" hidden="1" customWidth="1"/>
    <col min="8196" max="8196" width="12.88671875" style="601" hidden="1" customWidth="1"/>
    <col min="8197" max="8202" width="12.109375" style="601" hidden="1" customWidth="1"/>
    <col min="8203" max="8213" width="8.88671875" style="601" hidden="1" customWidth="1"/>
    <col min="8214" max="8448" width="8.88671875" style="601" hidden="1"/>
    <col min="8449" max="8449" width="32.77734375" style="601" hidden="1" customWidth="1"/>
    <col min="8450" max="8451" width="12.109375" style="601" hidden="1" customWidth="1"/>
    <col min="8452" max="8452" width="12.88671875" style="601" hidden="1" customWidth="1"/>
    <col min="8453" max="8458" width="12.109375" style="601" hidden="1" customWidth="1"/>
    <col min="8459" max="8469" width="8.88671875" style="601" hidden="1" customWidth="1"/>
    <col min="8470" max="8704" width="8.88671875" style="601" hidden="1"/>
    <col min="8705" max="8705" width="32.77734375" style="601" hidden="1" customWidth="1"/>
    <col min="8706" max="8707" width="12.109375" style="601" hidden="1" customWidth="1"/>
    <col min="8708" max="8708" width="12.88671875" style="601" hidden="1" customWidth="1"/>
    <col min="8709" max="8714" width="12.109375" style="601" hidden="1" customWidth="1"/>
    <col min="8715" max="8725" width="8.88671875" style="601" hidden="1" customWidth="1"/>
    <col min="8726" max="8960" width="8.88671875" style="601" hidden="1"/>
    <col min="8961" max="8961" width="32.77734375" style="601" hidden="1" customWidth="1"/>
    <col min="8962" max="8963" width="12.109375" style="601" hidden="1" customWidth="1"/>
    <col min="8964" max="8964" width="12.88671875" style="601" hidden="1" customWidth="1"/>
    <col min="8965" max="8970" width="12.109375" style="601" hidden="1" customWidth="1"/>
    <col min="8971" max="8981" width="8.88671875" style="601" hidden="1" customWidth="1"/>
    <col min="8982" max="9216" width="8.88671875" style="601" hidden="1"/>
    <col min="9217" max="9217" width="32.77734375" style="601" hidden="1" customWidth="1"/>
    <col min="9218" max="9219" width="12.109375" style="601" hidden="1" customWidth="1"/>
    <col min="9220" max="9220" width="12.88671875" style="601" hidden="1" customWidth="1"/>
    <col min="9221" max="9226" width="12.109375" style="601" hidden="1" customWidth="1"/>
    <col min="9227" max="9237" width="8.88671875" style="601" hidden="1" customWidth="1"/>
    <col min="9238" max="9472" width="8.88671875" style="601" hidden="1"/>
    <col min="9473" max="9473" width="32.77734375" style="601" hidden="1" customWidth="1"/>
    <col min="9474" max="9475" width="12.109375" style="601" hidden="1" customWidth="1"/>
    <col min="9476" max="9476" width="12.88671875" style="601" hidden="1" customWidth="1"/>
    <col min="9477" max="9482" width="12.109375" style="601" hidden="1" customWidth="1"/>
    <col min="9483" max="9493" width="8.88671875" style="601" hidden="1" customWidth="1"/>
    <col min="9494" max="9728" width="8.88671875" style="601" hidden="1"/>
    <col min="9729" max="9729" width="32.77734375" style="601" hidden="1" customWidth="1"/>
    <col min="9730" max="9731" width="12.109375" style="601" hidden="1" customWidth="1"/>
    <col min="9732" max="9732" width="12.88671875" style="601" hidden="1" customWidth="1"/>
    <col min="9733" max="9738" width="12.109375" style="601" hidden="1" customWidth="1"/>
    <col min="9739" max="9749" width="8.88671875" style="601" hidden="1" customWidth="1"/>
    <col min="9750" max="9984" width="8.88671875" style="601" hidden="1"/>
    <col min="9985" max="9985" width="32.77734375" style="601" hidden="1" customWidth="1"/>
    <col min="9986" max="9987" width="12.109375" style="601" hidden="1" customWidth="1"/>
    <col min="9988" max="9988" width="12.88671875" style="601" hidden="1" customWidth="1"/>
    <col min="9989" max="9994" width="12.109375" style="601" hidden="1" customWidth="1"/>
    <col min="9995" max="10005" width="8.88671875" style="601" hidden="1" customWidth="1"/>
    <col min="10006" max="10240" width="8.88671875" style="601" hidden="1"/>
    <col min="10241" max="10241" width="32.77734375" style="601" hidden="1" customWidth="1"/>
    <col min="10242" max="10243" width="12.109375" style="601" hidden="1" customWidth="1"/>
    <col min="10244" max="10244" width="12.88671875" style="601" hidden="1" customWidth="1"/>
    <col min="10245" max="10250" width="12.109375" style="601" hidden="1" customWidth="1"/>
    <col min="10251" max="10261" width="8.88671875" style="601" hidden="1" customWidth="1"/>
    <col min="10262" max="10496" width="8.88671875" style="601" hidden="1"/>
    <col min="10497" max="10497" width="32.77734375" style="601" hidden="1" customWidth="1"/>
    <col min="10498" max="10499" width="12.109375" style="601" hidden="1" customWidth="1"/>
    <col min="10500" max="10500" width="12.88671875" style="601" hidden="1" customWidth="1"/>
    <col min="10501" max="10506" width="12.109375" style="601" hidden="1" customWidth="1"/>
    <col min="10507" max="10517" width="8.88671875" style="601" hidden="1" customWidth="1"/>
    <col min="10518" max="10752" width="8.88671875" style="601" hidden="1"/>
    <col min="10753" max="10753" width="32.77734375" style="601" hidden="1" customWidth="1"/>
    <col min="10754" max="10755" width="12.109375" style="601" hidden="1" customWidth="1"/>
    <col min="10756" max="10756" width="12.88671875" style="601" hidden="1" customWidth="1"/>
    <col min="10757" max="10762" width="12.109375" style="601" hidden="1" customWidth="1"/>
    <col min="10763" max="10773" width="8.88671875" style="601" hidden="1" customWidth="1"/>
    <col min="10774" max="11008" width="8.88671875" style="601" hidden="1"/>
    <col min="11009" max="11009" width="32.77734375" style="601" hidden="1" customWidth="1"/>
    <col min="11010" max="11011" width="12.109375" style="601" hidden="1" customWidth="1"/>
    <col min="11012" max="11012" width="12.88671875" style="601" hidden="1" customWidth="1"/>
    <col min="11013" max="11018" width="12.109375" style="601" hidden="1" customWidth="1"/>
    <col min="11019" max="11029" width="8.88671875" style="601" hidden="1" customWidth="1"/>
    <col min="11030" max="11264" width="8.88671875" style="601" hidden="1"/>
    <col min="11265" max="11265" width="32.77734375" style="601" hidden="1" customWidth="1"/>
    <col min="11266" max="11267" width="12.109375" style="601" hidden="1" customWidth="1"/>
    <col min="11268" max="11268" width="12.88671875" style="601" hidden="1" customWidth="1"/>
    <col min="11269" max="11274" width="12.109375" style="601" hidden="1" customWidth="1"/>
    <col min="11275" max="11285" width="8.88671875" style="601" hidden="1" customWidth="1"/>
    <col min="11286" max="11520" width="8.88671875" style="601" hidden="1"/>
    <col min="11521" max="11521" width="32.77734375" style="601" hidden="1" customWidth="1"/>
    <col min="11522" max="11523" width="12.109375" style="601" hidden="1" customWidth="1"/>
    <col min="11524" max="11524" width="12.88671875" style="601" hidden="1" customWidth="1"/>
    <col min="11525" max="11530" width="12.109375" style="601" hidden="1" customWidth="1"/>
    <col min="11531" max="11541" width="8.88671875" style="601" hidden="1" customWidth="1"/>
    <col min="11542" max="11776" width="8.88671875" style="601" hidden="1"/>
    <col min="11777" max="11777" width="32.77734375" style="601" hidden="1" customWidth="1"/>
    <col min="11778" max="11779" width="12.109375" style="601" hidden="1" customWidth="1"/>
    <col min="11780" max="11780" width="12.88671875" style="601" hidden="1" customWidth="1"/>
    <col min="11781" max="11786" width="12.109375" style="601" hidden="1" customWidth="1"/>
    <col min="11787" max="11797" width="8.88671875" style="601" hidden="1" customWidth="1"/>
    <col min="11798" max="12032" width="8.88671875" style="601" hidden="1"/>
    <col min="12033" max="12033" width="32.77734375" style="601" hidden="1" customWidth="1"/>
    <col min="12034" max="12035" width="12.109375" style="601" hidden="1" customWidth="1"/>
    <col min="12036" max="12036" width="12.88671875" style="601" hidden="1" customWidth="1"/>
    <col min="12037" max="12042" width="12.109375" style="601" hidden="1" customWidth="1"/>
    <col min="12043" max="12053" width="8.88671875" style="601" hidden="1" customWidth="1"/>
    <col min="12054" max="12288" width="8.88671875" style="601" hidden="1"/>
    <col min="12289" max="12289" width="32.77734375" style="601" hidden="1" customWidth="1"/>
    <col min="12290" max="12291" width="12.109375" style="601" hidden="1" customWidth="1"/>
    <col min="12292" max="12292" width="12.88671875" style="601" hidden="1" customWidth="1"/>
    <col min="12293" max="12298" width="12.109375" style="601" hidden="1" customWidth="1"/>
    <col min="12299" max="12309" width="8.88671875" style="601" hidden="1" customWidth="1"/>
    <col min="12310" max="12544" width="8.88671875" style="601" hidden="1"/>
    <col min="12545" max="12545" width="32.77734375" style="601" hidden="1" customWidth="1"/>
    <col min="12546" max="12547" width="12.109375" style="601" hidden="1" customWidth="1"/>
    <col min="12548" max="12548" width="12.88671875" style="601" hidden="1" customWidth="1"/>
    <col min="12549" max="12554" width="12.109375" style="601" hidden="1" customWidth="1"/>
    <col min="12555" max="12565" width="8.88671875" style="601" hidden="1" customWidth="1"/>
    <col min="12566" max="12800" width="8.88671875" style="601" hidden="1"/>
    <col min="12801" max="12801" width="32.77734375" style="601" hidden="1" customWidth="1"/>
    <col min="12802" max="12803" width="12.109375" style="601" hidden="1" customWidth="1"/>
    <col min="12804" max="12804" width="12.88671875" style="601" hidden="1" customWidth="1"/>
    <col min="12805" max="12810" width="12.109375" style="601" hidden="1" customWidth="1"/>
    <col min="12811" max="12821" width="8.88671875" style="601" hidden="1" customWidth="1"/>
    <col min="12822" max="13056" width="8.88671875" style="601" hidden="1"/>
    <col min="13057" max="13057" width="32.77734375" style="601" hidden="1" customWidth="1"/>
    <col min="13058" max="13059" width="12.109375" style="601" hidden="1" customWidth="1"/>
    <col min="13060" max="13060" width="12.88671875" style="601" hidden="1" customWidth="1"/>
    <col min="13061" max="13066" width="12.109375" style="601" hidden="1" customWidth="1"/>
    <col min="13067" max="13077" width="8.88671875" style="601" hidden="1" customWidth="1"/>
    <col min="13078" max="13312" width="8.88671875" style="601" hidden="1"/>
    <col min="13313" max="13313" width="32.77734375" style="601" hidden="1" customWidth="1"/>
    <col min="13314" max="13315" width="12.109375" style="601" hidden="1" customWidth="1"/>
    <col min="13316" max="13316" width="12.88671875" style="601" hidden="1" customWidth="1"/>
    <col min="13317" max="13322" width="12.109375" style="601" hidden="1" customWidth="1"/>
    <col min="13323" max="13333" width="8.88671875" style="601" hidden="1" customWidth="1"/>
    <col min="13334" max="13568" width="8.88671875" style="601" hidden="1"/>
    <col min="13569" max="13569" width="32.77734375" style="601" hidden="1" customWidth="1"/>
    <col min="13570" max="13571" width="12.109375" style="601" hidden="1" customWidth="1"/>
    <col min="13572" max="13572" width="12.88671875" style="601" hidden="1" customWidth="1"/>
    <col min="13573" max="13578" width="12.109375" style="601" hidden="1" customWidth="1"/>
    <col min="13579" max="13589" width="8.88671875" style="601" hidden="1" customWidth="1"/>
    <col min="13590" max="13824" width="8.88671875" style="601" hidden="1"/>
    <col min="13825" max="13825" width="32.77734375" style="601" hidden="1" customWidth="1"/>
    <col min="13826" max="13827" width="12.109375" style="601" hidden="1" customWidth="1"/>
    <col min="13828" max="13828" width="12.88671875" style="601" hidden="1" customWidth="1"/>
    <col min="13829" max="13834" width="12.109375" style="601" hidden="1" customWidth="1"/>
    <col min="13835" max="13845" width="8.88671875" style="601" hidden="1" customWidth="1"/>
    <col min="13846" max="14080" width="8.88671875" style="601" hidden="1"/>
    <col min="14081" max="14081" width="32.77734375" style="601" hidden="1" customWidth="1"/>
    <col min="14082" max="14083" width="12.109375" style="601" hidden="1" customWidth="1"/>
    <col min="14084" max="14084" width="12.88671875" style="601" hidden="1" customWidth="1"/>
    <col min="14085" max="14090" width="12.109375" style="601" hidden="1" customWidth="1"/>
    <col min="14091" max="14101" width="8.88671875" style="601" hidden="1" customWidth="1"/>
    <col min="14102" max="14336" width="8.88671875" style="601" hidden="1"/>
    <col min="14337" max="14337" width="32.77734375" style="601" hidden="1" customWidth="1"/>
    <col min="14338" max="14339" width="12.109375" style="601" hidden="1" customWidth="1"/>
    <col min="14340" max="14340" width="12.88671875" style="601" hidden="1" customWidth="1"/>
    <col min="14341" max="14346" width="12.109375" style="601" hidden="1" customWidth="1"/>
    <col min="14347" max="14357" width="8.88671875" style="601" hidden="1" customWidth="1"/>
    <col min="14358" max="14592" width="8.88671875" style="601" hidden="1"/>
    <col min="14593" max="14593" width="32.77734375" style="601" hidden="1" customWidth="1"/>
    <col min="14594" max="14595" width="12.109375" style="601" hidden="1" customWidth="1"/>
    <col min="14596" max="14596" width="12.88671875" style="601" hidden="1" customWidth="1"/>
    <col min="14597" max="14602" width="12.109375" style="601" hidden="1" customWidth="1"/>
    <col min="14603" max="14613" width="8.88671875" style="601" hidden="1" customWidth="1"/>
    <col min="14614" max="14848" width="8.88671875" style="601" hidden="1"/>
    <col min="14849" max="14849" width="32.77734375" style="601" hidden="1" customWidth="1"/>
    <col min="14850" max="14851" width="12.109375" style="601" hidden="1" customWidth="1"/>
    <col min="14852" max="14852" width="12.88671875" style="601" hidden="1" customWidth="1"/>
    <col min="14853" max="14858" width="12.109375" style="601" hidden="1" customWidth="1"/>
    <col min="14859" max="14869" width="8.88671875" style="601" hidden="1" customWidth="1"/>
    <col min="14870" max="15104" width="8.88671875" style="601" hidden="1"/>
    <col min="15105" max="15105" width="32.77734375" style="601" hidden="1" customWidth="1"/>
    <col min="15106" max="15107" width="12.109375" style="601" hidden="1" customWidth="1"/>
    <col min="15108" max="15108" width="12.88671875" style="601" hidden="1" customWidth="1"/>
    <col min="15109" max="15114" width="12.109375" style="601" hidden="1" customWidth="1"/>
    <col min="15115" max="15125" width="8.88671875" style="601" hidden="1" customWidth="1"/>
    <col min="15126" max="15360" width="8.88671875" style="601" hidden="1"/>
    <col min="15361" max="15361" width="32.77734375" style="601" hidden="1" customWidth="1"/>
    <col min="15362" max="15363" width="12.109375" style="601" hidden="1" customWidth="1"/>
    <col min="15364" max="15364" width="12.88671875" style="601" hidden="1" customWidth="1"/>
    <col min="15365" max="15370" width="12.109375" style="601" hidden="1" customWidth="1"/>
    <col min="15371" max="15381" width="8.88671875" style="601" hidden="1" customWidth="1"/>
    <col min="15382" max="15616" width="8.88671875" style="601" hidden="1"/>
    <col min="15617" max="15617" width="32.77734375" style="601" hidden="1" customWidth="1"/>
    <col min="15618" max="15619" width="12.109375" style="601" hidden="1" customWidth="1"/>
    <col min="15620" max="15620" width="12.88671875" style="601" hidden="1" customWidth="1"/>
    <col min="15621" max="15626" width="12.109375" style="601" hidden="1" customWidth="1"/>
    <col min="15627" max="15637" width="8.88671875" style="601" hidden="1" customWidth="1"/>
    <col min="15638" max="15872" width="8.88671875" style="601" hidden="1"/>
    <col min="15873" max="15873" width="32.77734375" style="601" hidden="1" customWidth="1"/>
    <col min="15874" max="15875" width="12.109375" style="601" hidden="1" customWidth="1"/>
    <col min="15876" max="15876" width="12.88671875" style="601" hidden="1" customWidth="1"/>
    <col min="15877" max="15882" width="12.109375" style="601" hidden="1" customWidth="1"/>
    <col min="15883" max="15893" width="8.88671875" style="601" hidden="1" customWidth="1"/>
    <col min="15894" max="16128" width="8.88671875" style="601" hidden="1"/>
    <col min="16129" max="16129" width="32.77734375" style="601" hidden="1" customWidth="1"/>
    <col min="16130" max="16131" width="12.109375" style="601" hidden="1" customWidth="1"/>
    <col min="16132" max="16132" width="12.88671875" style="601" hidden="1" customWidth="1"/>
    <col min="16133" max="16138" width="12.109375" style="601" hidden="1" customWidth="1"/>
    <col min="16139" max="16149" width="8.88671875" style="601" hidden="1" customWidth="1"/>
    <col min="16150" max="16384" width="8.88671875" style="601" hidden="1"/>
  </cols>
  <sheetData>
    <row r="1" spans="1:11" s="558" customFormat="1" ht="13.2">
      <c r="A1" s="2549" t="s">
        <v>1438</v>
      </c>
      <c r="B1" s="2550"/>
      <c r="C1" s="2550"/>
      <c r="D1" s="2550"/>
      <c r="E1" s="2550"/>
      <c r="F1" s="2550"/>
      <c r="G1" s="2550"/>
      <c r="H1" s="2550"/>
      <c r="I1" s="2550"/>
      <c r="J1" s="2551"/>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820000</v>
      </c>
      <c r="C4" s="564"/>
      <c r="D4" s="564">
        <v>820000</v>
      </c>
      <c r="E4" s="565"/>
      <c r="F4" s="565"/>
      <c r="G4" s="565"/>
      <c r="H4" s="565"/>
      <c r="I4" s="565"/>
      <c r="J4" s="565"/>
      <c r="K4" s="561"/>
    </row>
    <row r="5" spans="1:11" s="562" customFormat="1" ht="11.4">
      <c r="A5" s="566" t="s">
        <v>29</v>
      </c>
      <c r="B5" s="563">
        <f>'Sources and Uses Budget'!C5</f>
        <v>0</v>
      </c>
      <c r="C5" s="564"/>
      <c r="D5" s="564"/>
      <c r="E5" s="565"/>
      <c r="F5" s="565"/>
      <c r="G5" s="565"/>
      <c r="H5" s="565"/>
      <c r="I5" s="565"/>
      <c r="J5" s="565"/>
      <c r="K5" s="561"/>
    </row>
    <row r="6" spans="1:11" s="562" customFormat="1" ht="11.4">
      <c r="A6" s="566" t="s">
        <v>30</v>
      </c>
      <c r="B6" s="563">
        <f>'Sources and Uses Budget'!C6</f>
        <v>10000</v>
      </c>
      <c r="C6" s="564"/>
      <c r="D6" s="564">
        <v>10000</v>
      </c>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628</v>
      </c>
      <c r="B8" s="563">
        <f>'Sources and Uses Budget'!C8</f>
        <v>830000</v>
      </c>
      <c r="C8" s="563">
        <f>SUM(C4:C7)</f>
        <v>0</v>
      </c>
      <c r="D8" s="563">
        <f>SUM(D4:D7)</f>
        <v>830000</v>
      </c>
      <c r="E8" s="565"/>
      <c r="F8" s="565"/>
      <c r="G8" s="565"/>
      <c r="H8" s="565"/>
      <c r="I8" s="565"/>
      <c r="J8" s="565"/>
      <c r="K8" s="561"/>
    </row>
    <row r="9" spans="1:11" s="562" customFormat="1" ht="11.4">
      <c r="A9" s="566" t="s">
        <v>629</v>
      </c>
      <c r="B9" s="563">
        <f>'Sources and Uses Budget'!C9</f>
        <v>0</v>
      </c>
      <c r="C9" s="564"/>
      <c r="D9" s="564"/>
      <c r="E9" s="565"/>
      <c r="F9" s="565"/>
      <c r="G9" s="565"/>
      <c r="H9" s="563">
        <f>'Sources and Uses Budget'!T9</f>
        <v>0</v>
      </c>
      <c r="I9" s="564"/>
      <c r="J9" s="564"/>
      <c r="K9" s="561"/>
    </row>
    <row r="10" spans="1:11" s="562" customFormat="1" ht="11.4">
      <c r="A10" s="566" t="s">
        <v>630</v>
      </c>
      <c r="B10" s="563">
        <f>'Sources and Uses Budget'!C10</f>
        <v>2362893</v>
      </c>
      <c r="C10" s="564"/>
      <c r="D10" s="564">
        <v>2362893</v>
      </c>
      <c r="E10" s="563">
        <f>'Sources and Uses Budget'!S10</f>
        <v>2362893</v>
      </c>
      <c r="F10" s="564"/>
      <c r="G10" s="564">
        <f>B10</f>
        <v>2362893</v>
      </c>
      <c r="H10" s="563">
        <f>'Sources and Uses Budget'!T10</f>
        <v>0</v>
      </c>
      <c r="I10" s="564"/>
      <c r="J10" s="564"/>
      <c r="K10" s="561"/>
    </row>
    <row r="11" spans="1:11" s="562" customFormat="1">
      <c r="A11" s="567" t="s">
        <v>631</v>
      </c>
      <c r="B11" s="563">
        <f>'Sources and Uses Budget'!C11</f>
        <v>2362893</v>
      </c>
      <c r="C11" s="563">
        <f>SUM(C9:C10)</f>
        <v>0</v>
      </c>
      <c r="D11" s="563">
        <f>SUM(D9:D10)</f>
        <v>2362893</v>
      </c>
      <c r="E11" s="565"/>
      <c r="F11" s="565"/>
      <c r="G11" s="565"/>
      <c r="H11" s="563">
        <f>'Sources and Uses Budget'!T11</f>
        <v>0</v>
      </c>
      <c r="I11" s="563">
        <f>SUM(I9:I10)</f>
        <v>0</v>
      </c>
      <c r="J11" s="563">
        <f>SUM(J9:J10)</f>
        <v>0</v>
      </c>
      <c r="K11" s="561"/>
    </row>
    <row r="12" spans="1:11" s="562" customFormat="1">
      <c r="A12" s="567" t="s">
        <v>89</v>
      </c>
      <c r="B12" s="563">
        <f>'Sources and Uses Budget'!C12</f>
        <v>3192893</v>
      </c>
      <c r="C12" s="563">
        <f>SUM(C8+C11)</f>
        <v>0</v>
      </c>
      <c r="D12" s="563">
        <f>SUM(D8+D11)</f>
        <v>3192893</v>
      </c>
      <c r="E12" s="565"/>
      <c r="F12" s="565"/>
      <c r="G12" s="565"/>
      <c r="H12" s="565"/>
      <c r="I12" s="565"/>
      <c r="J12" s="565"/>
      <c r="K12" s="561"/>
    </row>
    <row r="13" spans="1:11" s="562" customFormat="1" ht="11.4">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2.8">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632</v>
      </c>
      <c r="B16" s="560"/>
      <c r="C16" s="560"/>
      <c r="D16" s="560"/>
      <c r="E16" s="560"/>
      <c r="F16" s="560"/>
      <c r="G16" s="560"/>
      <c r="H16" s="560"/>
      <c r="I16" s="560"/>
      <c r="J16" s="560"/>
      <c r="K16" s="561"/>
    </row>
    <row r="17" spans="1:11" s="562" customFormat="1" ht="11.4">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633</v>
      </c>
      <c r="B29" s="563">
        <f>'Sources and Uses Budget'!C29</f>
        <v>1136772</v>
      </c>
      <c r="C29" s="564"/>
      <c r="D29" s="564">
        <f>B29</f>
        <v>1136772</v>
      </c>
      <c r="E29" s="563">
        <f>'Sources and Uses Budget'!S29</f>
        <v>1136772</v>
      </c>
      <c r="F29" s="564"/>
      <c r="G29" s="564">
        <f>B29</f>
        <v>1136772</v>
      </c>
      <c r="H29" s="563">
        <f>'Sources and Uses Budget'!T29</f>
        <v>0</v>
      </c>
      <c r="I29" s="564"/>
      <c r="J29" s="564"/>
      <c r="K29" s="561"/>
    </row>
    <row r="30" spans="1:11" s="562" customFormat="1" ht="11.4">
      <c r="A30" s="215" t="s">
        <v>634</v>
      </c>
      <c r="B30" s="563">
        <f>'Sources and Uses Budget'!C30</f>
        <v>19243400</v>
      </c>
      <c r="C30" s="564"/>
      <c r="D30" s="564">
        <f t="shared" ref="D30:D33" si="0">B30</f>
        <v>19243400</v>
      </c>
      <c r="E30" s="563">
        <f>'Sources and Uses Budget'!S30</f>
        <v>19243400</v>
      </c>
      <c r="F30" s="564"/>
      <c r="G30" s="564">
        <f t="shared" ref="G30:G33" si="1">B30</f>
        <v>19243400</v>
      </c>
      <c r="H30" s="563">
        <f>'Sources and Uses Budget'!T30</f>
        <v>0</v>
      </c>
      <c r="I30" s="564"/>
      <c r="J30" s="564"/>
      <c r="K30" s="561"/>
    </row>
    <row r="31" spans="1:11" s="562" customFormat="1" ht="11.4">
      <c r="A31" s="215" t="s">
        <v>635</v>
      </c>
      <c r="B31" s="563">
        <f>'Sources and Uses Budget'!C31</f>
        <v>1235110</v>
      </c>
      <c r="C31" s="564"/>
      <c r="D31" s="564">
        <f t="shared" si="0"/>
        <v>1235110</v>
      </c>
      <c r="E31" s="563">
        <f>'Sources and Uses Budget'!S31</f>
        <v>1235110</v>
      </c>
      <c r="F31" s="564"/>
      <c r="G31" s="564">
        <f t="shared" si="1"/>
        <v>1235110</v>
      </c>
      <c r="H31" s="563">
        <f>'Sources and Uses Budget'!T31</f>
        <v>0</v>
      </c>
      <c r="I31" s="564"/>
      <c r="J31" s="564"/>
      <c r="K31" s="561"/>
    </row>
    <row r="32" spans="1:11" s="562" customFormat="1" ht="11.4">
      <c r="A32" s="215" t="s">
        <v>142</v>
      </c>
      <c r="B32" s="563">
        <f>'Sources and Uses Budget'!C32</f>
        <v>411703</v>
      </c>
      <c r="C32" s="564"/>
      <c r="D32" s="564">
        <f t="shared" si="0"/>
        <v>411703</v>
      </c>
      <c r="E32" s="563">
        <f>'Sources and Uses Budget'!S32</f>
        <v>411703</v>
      </c>
      <c r="F32" s="564"/>
      <c r="G32" s="564">
        <f t="shared" si="1"/>
        <v>411703</v>
      </c>
      <c r="H32" s="563">
        <f>'Sources and Uses Budget'!T32</f>
        <v>0</v>
      </c>
      <c r="I32" s="564"/>
      <c r="J32" s="564"/>
      <c r="K32" s="561"/>
    </row>
    <row r="33" spans="1:11" s="562" customFormat="1" ht="11.4">
      <c r="A33" s="215" t="s">
        <v>143</v>
      </c>
      <c r="B33" s="563">
        <f>'Sources and Uses Budget'!C33</f>
        <v>1235110</v>
      </c>
      <c r="C33" s="564"/>
      <c r="D33" s="564">
        <f t="shared" si="0"/>
        <v>1235110</v>
      </c>
      <c r="E33" s="563">
        <f>'Sources and Uses Budget'!S33</f>
        <v>1235110</v>
      </c>
      <c r="F33" s="564"/>
      <c r="G33" s="564">
        <f t="shared" si="1"/>
        <v>1235110</v>
      </c>
      <c r="H33" s="563">
        <f>'Sources and Uses Budget'!T33</f>
        <v>0</v>
      </c>
      <c r="I33" s="564"/>
      <c r="J33" s="564"/>
      <c r="K33" s="561"/>
    </row>
    <row r="34" spans="1:11" s="562" customFormat="1" ht="11.4">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ht="11.4">
      <c r="A35" s="215" t="s">
        <v>145</v>
      </c>
      <c r="B35" s="563">
        <f>'Sources and Uses Budget'!C35</f>
        <v>170573</v>
      </c>
      <c r="C35" s="564"/>
      <c r="D35" s="564">
        <f>B35</f>
        <v>170573</v>
      </c>
      <c r="E35" s="563">
        <f>'Sources and Uses Budget'!S35</f>
        <v>170573</v>
      </c>
      <c r="F35" s="564"/>
      <c r="G35" s="564">
        <f>B35</f>
        <v>170573</v>
      </c>
      <c r="H35" s="563">
        <f>'Sources and Uses Budget'!T35</f>
        <v>0</v>
      </c>
      <c r="I35" s="564"/>
      <c r="J35" s="564"/>
      <c r="K35" s="561"/>
    </row>
    <row r="36" spans="1:11" s="562" customFormat="1" ht="11.4">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ht="11.4">
      <c r="A37" s="569" t="str">
        <f>'Sources and Uses Budget'!$A37</f>
        <v>Other: (Specify)</v>
      </c>
      <c r="B37" s="563">
        <f>'Sources and Uses Budget'!C37</f>
        <v>101901</v>
      </c>
      <c r="C37" s="564"/>
      <c r="D37" s="564">
        <f>B37</f>
        <v>101901</v>
      </c>
      <c r="E37" s="563">
        <f>'Sources and Uses Budget'!S37</f>
        <v>101901</v>
      </c>
      <c r="F37" s="564"/>
      <c r="G37" s="564">
        <f>B37</f>
        <v>101901</v>
      </c>
      <c r="H37" s="563">
        <f>'Sources and Uses Budget'!T37</f>
        <v>0</v>
      </c>
      <c r="I37" s="564"/>
      <c r="J37" s="564"/>
      <c r="K37" s="561"/>
    </row>
    <row r="38" spans="1:11" s="562" customFormat="1">
      <c r="A38" s="571" t="s">
        <v>148</v>
      </c>
      <c r="B38" s="563">
        <f>'Sources and Uses Budget'!C38</f>
        <v>23534569</v>
      </c>
      <c r="C38" s="563">
        <f>SUM(C29:C37)</f>
        <v>0</v>
      </c>
      <c r="D38" s="563">
        <f>SUM(D29:D37)</f>
        <v>23534569</v>
      </c>
      <c r="E38" s="563">
        <f>'Sources and Uses Budget'!S38</f>
        <v>23534569</v>
      </c>
      <c r="F38" s="570">
        <f>SUM(F29:F37)</f>
        <v>0</v>
      </c>
      <c r="G38" s="570">
        <f>SUM(G29:G37)</f>
        <v>23534569</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450000</v>
      </c>
      <c r="C40" s="564"/>
      <c r="D40" s="564">
        <f>B40</f>
        <v>450000</v>
      </c>
      <c r="E40" s="563">
        <f>'Sources and Uses Budget'!S40</f>
        <v>450000</v>
      </c>
      <c r="F40" s="564"/>
      <c r="G40" s="564">
        <f>B40</f>
        <v>450000</v>
      </c>
      <c r="H40" s="563">
        <f>'Sources and Uses Budget'!T40</f>
        <v>0</v>
      </c>
      <c r="I40" s="564"/>
      <c r="J40" s="564"/>
      <c r="K40" s="561"/>
    </row>
    <row r="41" spans="1:11" s="562" customFormat="1" ht="11.4">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450000</v>
      </c>
      <c r="C42" s="563">
        <f>SUM(C39:C41)</f>
        <v>0</v>
      </c>
      <c r="D42" s="563">
        <f>SUM(D39:D41)</f>
        <v>450000</v>
      </c>
      <c r="E42" s="563">
        <f>'Sources and Uses Budget'!S42</f>
        <v>450000</v>
      </c>
      <c r="F42" s="570">
        <f>SUM(F40:F41)</f>
        <v>0</v>
      </c>
      <c r="G42" s="570">
        <f>SUM(G40:G41)</f>
        <v>450000</v>
      </c>
      <c r="H42" s="563">
        <f>'Sources and Uses Budget'!T42</f>
        <v>0</v>
      </c>
      <c r="I42" s="570">
        <f>SUM(I40:I41)</f>
        <v>0</v>
      </c>
      <c r="J42" s="570">
        <f>SUM(J40:J41)</f>
        <v>0</v>
      </c>
      <c r="K42" s="561"/>
    </row>
    <row r="43" spans="1:11" s="562" customFormat="1">
      <c r="A43" s="567" t="s">
        <v>153</v>
      </c>
      <c r="B43" s="563">
        <f>'Sources and Uses Budget'!C43</f>
        <v>140000</v>
      </c>
      <c r="C43" s="564"/>
      <c r="D43" s="564">
        <f>B43</f>
        <v>140000</v>
      </c>
      <c r="E43" s="563">
        <f>'Sources and Uses Budget'!S43</f>
        <v>140000</v>
      </c>
      <c r="F43" s="564"/>
      <c r="G43" s="564">
        <f>B43</f>
        <v>140000</v>
      </c>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1432722</v>
      </c>
      <c r="C45" s="564"/>
      <c r="D45" s="564">
        <f t="shared" ref="D45:D47" si="2">B45</f>
        <v>1432722</v>
      </c>
      <c r="E45" s="563">
        <f>'Sources and Uses Budget'!S45</f>
        <v>675795</v>
      </c>
      <c r="F45" s="564"/>
      <c r="G45" s="564">
        <v>675795</v>
      </c>
      <c r="H45" s="563">
        <f>'Sources and Uses Budget'!T45</f>
        <v>0</v>
      </c>
      <c r="I45" s="564"/>
      <c r="J45" s="564"/>
      <c r="K45" s="561"/>
    </row>
    <row r="46" spans="1:11" s="562" customFormat="1" ht="11.4">
      <c r="A46" s="566" t="s">
        <v>156</v>
      </c>
      <c r="B46" s="563">
        <f>'Sources and Uses Budget'!C46</f>
        <v>293179</v>
      </c>
      <c r="C46" s="564"/>
      <c r="D46" s="564">
        <f t="shared" si="2"/>
        <v>293179</v>
      </c>
      <c r="E46" s="563">
        <f>'Sources and Uses Budget'!S46</f>
        <v>138289</v>
      </c>
      <c r="F46" s="564"/>
      <c r="G46" s="564">
        <v>138289</v>
      </c>
      <c r="H46" s="563">
        <f>'Sources and Uses Budget'!T46</f>
        <v>0</v>
      </c>
      <c r="I46" s="564"/>
      <c r="J46" s="564"/>
      <c r="K46" s="561"/>
    </row>
    <row r="47" spans="1:11" s="562" customFormat="1" ht="12" customHeight="1">
      <c r="A47" s="566" t="s">
        <v>157</v>
      </c>
      <c r="B47" s="563">
        <f>'Sources and Uses Budget'!C47</f>
        <v>25000</v>
      </c>
      <c r="C47" s="564"/>
      <c r="D47" s="564">
        <f t="shared" si="2"/>
        <v>25000</v>
      </c>
      <c r="E47" s="563">
        <f>'Sources and Uses Budget'!S47</f>
        <v>25000</v>
      </c>
      <c r="F47" s="564"/>
      <c r="G47" s="564">
        <f>B47</f>
        <v>25000</v>
      </c>
      <c r="H47" s="563">
        <f>'Sources and Uses Budget'!T47</f>
        <v>0</v>
      </c>
      <c r="I47" s="564"/>
      <c r="J47" s="564"/>
      <c r="K47" s="561"/>
    </row>
    <row r="48" spans="1:11" s="562" customFormat="1" ht="11.4">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ht="11.4">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ht="11.4">
      <c r="A50" s="566" t="s">
        <v>161</v>
      </c>
      <c r="B50" s="563">
        <f>'Sources and Uses Budget'!C50</f>
        <v>25000</v>
      </c>
      <c r="C50" s="564"/>
      <c r="D50" s="564">
        <f t="shared" ref="D50:D53" si="3">B50</f>
        <v>25000</v>
      </c>
      <c r="E50" s="563">
        <f>'Sources and Uses Budget'!S50</f>
        <v>25000</v>
      </c>
      <c r="F50" s="564"/>
      <c r="G50" s="564">
        <f t="shared" ref="G50:G53" si="4">B50</f>
        <v>25000</v>
      </c>
      <c r="H50" s="563">
        <f>'Sources and Uses Budget'!T50</f>
        <v>0</v>
      </c>
      <c r="I50" s="564"/>
      <c r="J50" s="564"/>
      <c r="K50" s="561"/>
    </row>
    <row r="51" spans="1:11" s="562" customFormat="1" ht="11.4">
      <c r="A51" s="566" t="s">
        <v>159</v>
      </c>
      <c r="B51" s="563">
        <f>'Sources and Uses Budget'!C51</f>
        <v>12000</v>
      </c>
      <c r="C51" s="564"/>
      <c r="D51" s="564">
        <f t="shared" si="3"/>
        <v>12000</v>
      </c>
      <c r="E51" s="563">
        <f>'Sources and Uses Budget'!S51</f>
        <v>12000</v>
      </c>
      <c r="F51" s="564"/>
      <c r="G51" s="564">
        <f t="shared" si="4"/>
        <v>12000</v>
      </c>
      <c r="H51" s="563">
        <f>'Sources and Uses Budget'!T51</f>
        <v>0</v>
      </c>
      <c r="I51" s="564"/>
      <c r="J51" s="564"/>
      <c r="K51" s="561"/>
    </row>
    <row r="52" spans="1:11" s="562" customFormat="1" ht="11.4">
      <c r="A52" s="566" t="s">
        <v>160</v>
      </c>
      <c r="B52" s="563">
        <f>'Sources and Uses Budget'!C52</f>
        <v>178047</v>
      </c>
      <c r="C52" s="564"/>
      <c r="D52" s="564">
        <f t="shared" si="3"/>
        <v>178047</v>
      </c>
      <c r="E52" s="563">
        <f>'Sources and Uses Budget'!S52</f>
        <v>178047</v>
      </c>
      <c r="F52" s="564"/>
      <c r="G52" s="564">
        <f t="shared" si="4"/>
        <v>178047</v>
      </c>
      <c r="H52" s="563">
        <f>'Sources and Uses Budget'!T52</f>
        <v>0</v>
      </c>
      <c r="I52" s="564"/>
      <c r="J52" s="564"/>
      <c r="K52" s="561"/>
    </row>
    <row r="53" spans="1:11" s="562" customFormat="1" ht="11.4">
      <c r="A53" s="569" t="str">
        <f>'Sources and Uses Budget'!$A53</f>
        <v>Other: (Specify)</v>
      </c>
      <c r="B53" s="563">
        <f>'Sources and Uses Budget'!C53</f>
        <v>18000</v>
      </c>
      <c r="C53" s="564"/>
      <c r="D53" s="564">
        <f t="shared" si="3"/>
        <v>18000</v>
      </c>
      <c r="E53" s="563">
        <f>'Sources and Uses Budget'!S53</f>
        <v>18000</v>
      </c>
      <c r="F53" s="564"/>
      <c r="G53" s="564">
        <f t="shared" si="4"/>
        <v>18000</v>
      </c>
      <c r="H53" s="563">
        <f>'Sources and Uses Budget'!T53</f>
        <v>0</v>
      </c>
      <c r="I53" s="564"/>
      <c r="J53" s="564"/>
      <c r="K53" s="561"/>
    </row>
    <row r="54" spans="1:11" s="573" customFormat="1">
      <c r="A54" s="567" t="s">
        <v>162</v>
      </c>
      <c r="B54" s="563">
        <f>'Sources and Uses Budget'!C54</f>
        <v>1983948</v>
      </c>
      <c r="C54" s="570">
        <f>SUM(C45:C53)</f>
        <v>0</v>
      </c>
      <c r="D54" s="570">
        <f>SUM(D45:D53)</f>
        <v>1983948</v>
      </c>
      <c r="E54" s="563">
        <f>'Sources and Uses Budget'!S54</f>
        <v>1072131</v>
      </c>
      <c r="F54" s="570">
        <f>SUM(F45:F53)</f>
        <v>0</v>
      </c>
      <c r="G54" s="570">
        <f>SUM(G45:G53)</f>
        <v>1072131</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44000</v>
      </c>
      <c r="C56" s="564"/>
      <c r="D56" s="564">
        <f t="shared" ref="D56:D57" si="5">B56</f>
        <v>44000</v>
      </c>
      <c r="E56" s="565"/>
      <c r="F56" s="565"/>
      <c r="G56" s="565"/>
      <c r="H56" s="565"/>
      <c r="I56" s="565"/>
      <c r="J56" s="565"/>
      <c r="K56" s="561"/>
    </row>
    <row r="57" spans="1:11" s="562" customFormat="1" ht="12" customHeight="1">
      <c r="A57" s="566" t="s">
        <v>157</v>
      </c>
      <c r="B57" s="563">
        <f>'Sources and Uses Budget'!C57</f>
        <v>10000</v>
      </c>
      <c r="C57" s="564"/>
      <c r="D57" s="564">
        <f t="shared" si="5"/>
        <v>10000</v>
      </c>
      <c r="E57" s="565"/>
      <c r="F57" s="565"/>
      <c r="G57" s="565"/>
      <c r="H57" s="565"/>
      <c r="I57" s="565"/>
      <c r="J57" s="565"/>
      <c r="K57" s="561"/>
    </row>
    <row r="58" spans="1:11" s="562" customFormat="1" ht="11.4">
      <c r="A58" s="566" t="s">
        <v>161</v>
      </c>
      <c r="B58" s="563">
        <f>'Sources and Uses Budget'!C58</f>
        <v>0</v>
      </c>
      <c r="C58" s="564"/>
      <c r="D58" s="564"/>
      <c r="E58" s="565"/>
      <c r="F58" s="565"/>
      <c r="G58" s="565"/>
      <c r="H58" s="565"/>
      <c r="I58" s="565"/>
      <c r="J58" s="565"/>
      <c r="K58" s="561"/>
    </row>
    <row r="59" spans="1:11" s="562" customFormat="1" ht="11.4">
      <c r="A59" s="566" t="s">
        <v>159</v>
      </c>
      <c r="B59" s="563">
        <f>'Sources and Uses Budget'!C59</f>
        <v>0</v>
      </c>
      <c r="C59" s="564"/>
      <c r="D59" s="564"/>
      <c r="E59" s="565"/>
      <c r="F59" s="565"/>
      <c r="G59" s="565"/>
      <c r="H59" s="565"/>
      <c r="I59" s="565"/>
      <c r="J59" s="565"/>
      <c r="K59" s="561"/>
    </row>
    <row r="60" spans="1:11" s="562" customFormat="1" ht="11.4">
      <c r="A60" s="566" t="s">
        <v>160</v>
      </c>
      <c r="B60" s="563">
        <f>'Sources and Uses Budget'!C60</f>
        <v>0</v>
      </c>
      <c r="C60" s="564"/>
      <c r="D60" s="564"/>
      <c r="E60" s="565"/>
      <c r="F60" s="565"/>
      <c r="G60" s="565"/>
      <c r="H60" s="565"/>
      <c r="I60" s="565"/>
      <c r="J60" s="565"/>
      <c r="K60" s="561"/>
    </row>
    <row r="61" spans="1:11" s="562" customFormat="1" ht="11.4">
      <c r="A61" s="569" t="str">
        <f>'Sources and Uses Budget'!$A61</f>
        <v>Other: (Specify)</v>
      </c>
      <c r="B61" s="563">
        <f>'Sources and Uses Budget'!C61</f>
        <v>0</v>
      </c>
      <c r="C61" s="564"/>
      <c r="D61" s="564"/>
      <c r="E61" s="565"/>
      <c r="F61" s="565"/>
      <c r="G61" s="565"/>
      <c r="H61" s="565"/>
      <c r="I61" s="565"/>
      <c r="J61" s="565"/>
      <c r="K61" s="561"/>
    </row>
    <row r="62" spans="1:11" s="562" customFormat="1" ht="13.65" customHeight="1">
      <c r="A62" s="567" t="s">
        <v>309</v>
      </c>
      <c r="B62" s="563">
        <f>'Sources and Uses Budget'!C62</f>
        <v>54000</v>
      </c>
      <c r="C62" s="563">
        <f>SUM(C56:C61)</f>
        <v>0</v>
      </c>
      <c r="D62" s="563">
        <f>SUM(D56:D61)</f>
        <v>54000</v>
      </c>
      <c r="E62" s="565"/>
      <c r="F62" s="565"/>
      <c r="G62" s="565"/>
      <c r="H62" s="565"/>
      <c r="I62" s="565"/>
      <c r="J62" s="565"/>
      <c r="K62" s="561"/>
    </row>
    <row r="63" spans="1:11" s="562" customFormat="1" ht="11.4">
      <c r="A63" s="574" t="s">
        <v>310</v>
      </c>
      <c r="B63" s="563">
        <f>'Sources and Uses Budget'!C63</f>
        <v>29355410</v>
      </c>
      <c r="C63" s="563">
        <f>SUM(C8+C11+C13+C14+C15+C26+C27+C38+C42+C43+C54+C62)</f>
        <v>0</v>
      </c>
      <c r="D63" s="563">
        <f>SUM(D8+D11+D13+D14+D15+D26+D27+D38+D42+D43+D54+D62)</f>
        <v>29355410</v>
      </c>
      <c r="E63" s="563">
        <f>'Sources and Uses Budget'!S63</f>
        <v>27559593</v>
      </c>
      <c r="F63" s="563">
        <f>SUM(F10+F13+F14+F15+F26+F27+F38+F42+F43+F54)</f>
        <v>0</v>
      </c>
      <c r="G63" s="563">
        <f>SUM(G10+G13+G14+G15+G26+G27+G38+G42+G43+G54)</f>
        <v>27559593</v>
      </c>
      <c r="H63" s="563">
        <f>'Sources and Uses Budget'!T63</f>
        <v>0</v>
      </c>
      <c r="I63" s="563">
        <f>SUM(I11+I13+I14+I15+I26+I27+I38+I42+I43+I54)</f>
        <v>0</v>
      </c>
      <c r="J63" s="563">
        <f>SUM(J11+J13+J14+J15+J26+J27+J38+J42+J43+J54)</f>
        <v>0</v>
      </c>
      <c r="K63" s="561"/>
    </row>
    <row r="64" spans="1:11" s="562" customFormat="1" ht="22.8">
      <c r="A64" s="211" t="s">
        <v>1948</v>
      </c>
      <c r="B64" s="560"/>
      <c r="C64" s="560"/>
      <c r="D64" s="560"/>
      <c r="E64" s="560"/>
      <c r="F64" s="560"/>
      <c r="G64" s="560"/>
      <c r="H64" s="560"/>
      <c r="I64" s="560"/>
      <c r="J64" s="560"/>
      <c r="K64" s="561"/>
    </row>
    <row r="65" spans="1:11" s="562" customFormat="1" ht="11.4">
      <c r="A65" s="215" t="s">
        <v>176</v>
      </c>
      <c r="B65" s="563">
        <f>'Sources and Uses Budget'!C65</f>
        <v>195000</v>
      </c>
      <c r="C65" s="564"/>
      <c r="D65" s="564">
        <f>B65</f>
        <v>195000</v>
      </c>
      <c r="E65" s="563">
        <f>'Sources and Uses Budget'!S65</f>
        <v>172500</v>
      </c>
      <c r="F65" s="564"/>
      <c r="G65" s="564">
        <v>172500</v>
      </c>
      <c r="H65" s="563">
        <f>'Sources and Uses Budget'!T65</f>
        <v>0</v>
      </c>
      <c r="I65" s="564"/>
      <c r="J65" s="564"/>
      <c r="K65" s="561"/>
    </row>
    <row r="66" spans="1:11" s="562" customFormat="1" ht="22.8">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2.8">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ht="11.4">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ht="11.4">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195000</v>
      </c>
      <c r="C70" s="563">
        <f>SUM(C64:C69)</f>
        <v>0</v>
      </c>
      <c r="D70" s="563">
        <f>SUM(D64:D69)</f>
        <v>195000</v>
      </c>
      <c r="E70" s="563">
        <f>'Sources and Uses Budget'!S70</f>
        <v>172500</v>
      </c>
      <c r="F70" s="570">
        <f>SUM(F65:F69)</f>
        <v>0</v>
      </c>
      <c r="G70" s="570">
        <f>SUM(G65:G69)</f>
        <v>172500</v>
      </c>
      <c r="H70" s="563">
        <f>'Sources and Uses Budget'!T70</f>
        <v>0</v>
      </c>
      <c r="I70" s="570">
        <f>SUM(I65:I69)</f>
        <v>0</v>
      </c>
      <c r="J70" s="570">
        <f>SUM(J65:J69)</f>
        <v>0</v>
      </c>
      <c r="K70" s="561"/>
    </row>
    <row r="71" spans="1:11" s="562" customFormat="1" ht="11.4">
      <c r="A71" s="559" t="s">
        <v>637</v>
      </c>
      <c r="B71" s="560"/>
      <c r="C71" s="560"/>
      <c r="D71" s="560"/>
      <c r="E71" s="560"/>
      <c r="F71" s="560"/>
      <c r="G71" s="560"/>
      <c r="H71" s="560"/>
      <c r="I71" s="560"/>
      <c r="J71" s="560"/>
      <c r="K71" s="561"/>
    </row>
    <row r="72" spans="1:11" s="562" customFormat="1" ht="11.4">
      <c r="A72" s="566" t="s">
        <v>638</v>
      </c>
      <c r="B72" s="563">
        <f>'Sources and Uses Budget'!C72</f>
        <v>0</v>
      </c>
      <c r="C72" s="564"/>
      <c r="D72" s="564"/>
      <c r="E72" s="565"/>
      <c r="F72" s="565"/>
      <c r="G72" s="565"/>
      <c r="H72" s="565"/>
      <c r="I72" s="565"/>
      <c r="J72" s="565"/>
      <c r="K72" s="561"/>
    </row>
    <row r="73" spans="1:11" s="562" customFormat="1" ht="11.4">
      <c r="A73" s="566" t="s">
        <v>639</v>
      </c>
      <c r="B73" s="563">
        <f>'Sources and Uses Budget'!C73</f>
        <v>0</v>
      </c>
      <c r="C73" s="564"/>
      <c r="D73" s="564"/>
      <c r="E73" s="565"/>
      <c r="F73" s="565"/>
      <c r="G73" s="565"/>
      <c r="H73" s="565"/>
      <c r="I73" s="565"/>
      <c r="J73" s="565"/>
      <c r="K73" s="561"/>
    </row>
    <row r="74" spans="1:11" s="562" customFormat="1" ht="11.4">
      <c r="A74" s="737" t="s">
        <v>1083</v>
      </c>
      <c r="B74" s="563">
        <f>'Sources and Uses Budget'!C74</f>
        <v>0</v>
      </c>
      <c r="C74" s="564"/>
      <c r="D74" s="564"/>
      <c r="E74" s="565"/>
      <c r="F74" s="565"/>
      <c r="G74" s="565"/>
      <c r="H74" s="565"/>
      <c r="I74" s="565"/>
      <c r="J74" s="565"/>
      <c r="K74" s="561"/>
    </row>
    <row r="75" spans="1:11" s="562" customFormat="1" ht="11.4">
      <c r="A75" s="566" t="s">
        <v>640</v>
      </c>
      <c r="B75" s="563">
        <f>'Sources and Uses Budget'!C75</f>
        <v>193996</v>
      </c>
      <c r="C75" s="564"/>
      <c r="D75" s="564">
        <f>B75</f>
        <v>193996</v>
      </c>
      <c r="E75" s="565"/>
      <c r="F75" s="565"/>
      <c r="G75" s="565"/>
      <c r="H75" s="565"/>
      <c r="I75" s="565"/>
      <c r="J75" s="565"/>
      <c r="K75" s="561"/>
    </row>
    <row r="76" spans="1:11" s="562" customFormat="1" ht="11.4">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193996</v>
      </c>
      <c r="C77" s="563">
        <f>SUM(C72:C76)</f>
        <v>0</v>
      </c>
      <c r="D77" s="563">
        <f>SUM(D72:D76)</f>
        <v>193996</v>
      </c>
      <c r="E77" s="565"/>
      <c r="F77" s="565"/>
      <c r="G77" s="565"/>
      <c r="H77" s="565"/>
      <c r="I77" s="565"/>
      <c r="J77" s="565"/>
      <c r="K77" s="561"/>
    </row>
    <row r="78" spans="1:11" s="562" customFormat="1" ht="11.4">
      <c r="A78" s="559" t="s">
        <v>1416</v>
      </c>
      <c r="B78" s="560"/>
      <c r="C78" s="560"/>
      <c r="D78" s="560"/>
      <c r="E78" s="560"/>
      <c r="F78" s="560"/>
      <c r="G78" s="560"/>
      <c r="H78" s="560"/>
      <c r="I78" s="560"/>
      <c r="J78" s="560"/>
      <c r="K78" s="561"/>
    </row>
    <row r="79" spans="1:11" s="562" customFormat="1" ht="11.4">
      <c r="A79" s="566" t="s">
        <v>1418</v>
      </c>
      <c r="B79" s="563">
        <f>'Sources and Uses Budget'!C79</f>
        <v>1294873</v>
      </c>
      <c r="C79" s="564"/>
      <c r="D79" s="564">
        <f t="shared" ref="D79:D80" si="6">B79</f>
        <v>1294873</v>
      </c>
      <c r="E79" s="563">
        <f>'Sources and Uses Budget'!S79</f>
        <v>1294873</v>
      </c>
      <c r="F79" s="564"/>
      <c r="G79" s="564">
        <f t="shared" ref="G79:G80" si="7">B79</f>
        <v>1294873</v>
      </c>
      <c r="H79" s="563">
        <f>'Sources and Uses Budget'!T79</f>
        <v>0</v>
      </c>
      <c r="I79" s="564"/>
      <c r="J79" s="564"/>
      <c r="K79" s="561"/>
    </row>
    <row r="80" spans="1:11" s="562" customFormat="1" ht="11.4">
      <c r="A80" s="566" t="s">
        <v>61</v>
      </c>
      <c r="B80" s="563">
        <f>'Sources and Uses Budget'!C80</f>
        <v>248919</v>
      </c>
      <c r="C80" s="564"/>
      <c r="D80" s="564">
        <f t="shared" si="6"/>
        <v>248919</v>
      </c>
      <c r="E80" s="563">
        <f>'Sources and Uses Budget'!S80</f>
        <v>248919</v>
      </c>
      <c r="F80" s="564"/>
      <c r="G80" s="564">
        <f t="shared" si="7"/>
        <v>248919</v>
      </c>
      <c r="H80" s="563">
        <f>'Sources and Uses Budget'!T80</f>
        <v>0</v>
      </c>
      <c r="I80" s="564"/>
      <c r="J80" s="564"/>
      <c r="K80" s="561"/>
    </row>
    <row r="81" spans="1:11" s="562" customFormat="1">
      <c r="A81" s="567" t="s">
        <v>1415</v>
      </c>
      <c r="B81" s="563">
        <f>'Sources and Uses Budget'!C81</f>
        <v>1543792</v>
      </c>
      <c r="C81" s="563">
        <f>SUM(C79:C80)</f>
        <v>0</v>
      </c>
      <c r="D81" s="563">
        <f>SUM(D79:D80)</f>
        <v>1543792</v>
      </c>
      <c r="E81" s="563">
        <f>'Sources and Uses Budget'!S81</f>
        <v>1543792</v>
      </c>
      <c r="F81" s="563">
        <f>SUM(F79:F80)</f>
        <v>0</v>
      </c>
      <c r="G81" s="563">
        <f>SUM(G79:G80)</f>
        <v>1543792</v>
      </c>
      <c r="H81" s="563">
        <f>'Sources and Uses Budget'!T81</f>
        <v>0</v>
      </c>
      <c r="I81" s="563">
        <f>SUM(I79:I80)</f>
        <v>0</v>
      </c>
      <c r="J81" s="563">
        <f>SUM(J79:J80)</f>
        <v>0</v>
      </c>
      <c r="K81" s="561"/>
    </row>
    <row r="82" spans="1:11" s="562" customFormat="1" ht="11.4">
      <c r="A82" s="559" t="s">
        <v>823</v>
      </c>
      <c r="B82" s="560"/>
      <c r="C82" s="560"/>
      <c r="D82" s="560"/>
      <c r="E82" s="560"/>
      <c r="F82" s="560"/>
      <c r="G82" s="560"/>
      <c r="H82" s="560"/>
      <c r="I82" s="560"/>
      <c r="J82" s="560"/>
      <c r="K82" s="561"/>
    </row>
    <row r="83" spans="1:11" s="562" customFormat="1" ht="13.65" customHeight="1">
      <c r="A83" s="215" t="s">
        <v>824</v>
      </c>
      <c r="B83" s="563">
        <f>'Sources and Uses Budget'!C83</f>
        <v>121936</v>
      </c>
      <c r="C83" s="564"/>
      <c r="D83" s="564">
        <f t="shared" ref="D83:D86" si="8">B83</f>
        <v>121936</v>
      </c>
      <c r="E83" s="565"/>
      <c r="F83" s="565"/>
      <c r="G83" s="565"/>
      <c r="H83" s="565"/>
      <c r="I83" s="565"/>
      <c r="J83" s="565"/>
      <c r="K83" s="561"/>
    </row>
    <row r="84" spans="1:11" s="562" customFormat="1" ht="11.4">
      <c r="A84" s="215" t="s">
        <v>825</v>
      </c>
      <c r="B84" s="563">
        <f>'Sources and Uses Budget'!C84</f>
        <v>15000</v>
      </c>
      <c r="C84" s="564"/>
      <c r="D84" s="564">
        <f t="shared" si="8"/>
        <v>15000</v>
      </c>
      <c r="E84" s="563">
        <f>'Sources and Uses Budget'!S84</f>
        <v>15000</v>
      </c>
      <c r="F84" s="564"/>
      <c r="G84" s="564">
        <f t="shared" ref="G84:G86" si="9">B84</f>
        <v>15000</v>
      </c>
      <c r="H84" s="563">
        <f>'Sources and Uses Budget'!T84</f>
        <v>0</v>
      </c>
      <c r="I84" s="564"/>
      <c r="J84" s="564"/>
      <c r="K84" s="561"/>
    </row>
    <row r="85" spans="1:11" s="562" customFormat="1" ht="11.4">
      <c r="A85" s="215" t="s">
        <v>826</v>
      </c>
      <c r="B85" s="563">
        <f>'Sources and Uses Budget'!C85</f>
        <v>2460000</v>
      </c>
      <c r="C85" s="564"/>
      <c r="D85" s="564">
        <f t="shared" si="8"/>
        <v>2460000</v>
      </c>
      <c r="E85" s="563">
        <f>'Sources and Uses Budget'!S85</f>
        <v>2460000</v>
      </c>
      <c r="F85" s="564"/>
      <c r="G85" s="564">
        <f t="shared" si="9"/>
        <v>2460000</v>
      </c>
      <c r="H85" s="563">
        <f>'Sources and Uses Budget'!T85</f>
        <v>0</v>
      </c>
      <c r="I85" s="564"/>
      <c r="J85" s="564"/>
      <c r="K85" s="561"/>
    </row>
    <row r="86" spans="1:11" s="562" customFormat="1" ht="11.4">
      <c r="A86" s="215" t="s">
        <v>827</v>
      </c>
      <c r="B86" s="563">
        <f>'Sources and Uses Budget'!C86</f>
        <v>262000</v>
      </c>
      <c r="C86" s="564"/>
      <c r="D86" s="564">
        <f t="shared" si="8"/>
        <v>262000</v>
      </c>
      <c r="E86" s="563">
        <f>'Sources and Uses Budget'!S86</f>
        <v>262000</v>
      </c>
      <c r="F86" s="564"/>
      <c r="G86" s="564">
        <f t="shared" si="9"/>
        <v>262000</v>
      </c>
      <c r="H86" s="563">
        <f>'Sources and Uses Budget'!T86</f>
        <v>0</v>
      </c>
      <c r="I86" s="564"/>
      <c r="J86" s="564"/>
      <c r="K86" s="561"/>
    </row>
    <row r="87" spans="1:11" s="562" customFormat="1" ht="11.4">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ht="11.4">
      <c r="A88" s="215" t="s">
        <v>829</v>
      </c>
      <c r="B88" s="563">
        <f>'Sources and Uses Budget'!C88</f>
        <v>107433</v>
      </c>
      <c r="C88" s="564"/>
      <c r="D88" s="564">
        <f t="shared" ref="D88:D94" si="10">B88</f>
        <v>107433</v>
      </c>
      <c r="E88" s="565"/>
      <c r="F88" s="565"/>
      <c r="G88" s="565"/>
      <c r="H88" s="565"/>
      <c r="I88" s="565"/>
      <c r="J88" s="565"/>
      <c r="K88" s="561"/>
    </row>
    <row r="89" spans="1:11" s="562" customFormat="1" ht="11.4">
      <c r="A89" s="215" t="s">
        <v>830</v>
      </c>
      <c r="B89" s="563">
        <f>'Sources and Uses Budget'!C89</f>
        <v>80000</v>
      </c>
      <c r="C89" s="564"/>
      <c r="D89" s="564">
        <f t="shared" si="10"/>
        <v>80000</v>
      </c>
      <c r="E89" s="563">
        <f>'Sources and Uses Budget'!S89</f>
        <v>80000</v>
      </c>
      <c r="F89" s="564"/>
      <c r="G89" s="564">
        <f>B89</f>
        <v>80000</v>
      </c>
      <c r="H89" s="563">
        <f>'Sources and Uses Budget'!T89</f>
        <v>0</v>
      </c>
      <c r="I89" s="564"/>
      <c r="J89" s="564"/>
      <c r="K89" s="561"/>
    </row>
    <row r="90" spans="1:11" s="562" customFormat="1" ht="11.4">
      <c r="A90" s="215" t="s">
        <v>831</v>
      </c>
      <c r="B90" s="563">
        <f>'Sources and Uses Budget'!C90</f>
        <v>10000</v>
      </c>
      <c r="C90" s="564"/>
      <c r="D90" s="564">
        <f t="shared" si="10"/>
        <v>10000</v>
      </c>
      <c r="E90" s="563">
        <f>'Sources and Uses Budget'!S90</f>
        <v>10000</v>
      </c>
      <c r="F90" s="564"/>
      <c r="G90" s="564">
        <f t="shared" ref="G90:G93" si="11">B90</f>
        <v>10000</v>
      </c>
      <c r="H90" s="563">
        <f>'Sources and Uses Budget'!T90</f>
        <v>0</v>
      </c>
      <c r="I90" s="564"/>
      <c r="J90" s="564"/>
      <c r="K90" s="561"/>
    </row>
    <row r="91" spans="1:11" s="562" customFormat="1" ht="11.4">
      <c r="A91" s="226" t="s">
        <v>390</v>
      </c>
      <c r="B91" s="563">
        <f>'Sources and Uses Budget'!C91</f>
        <v>32000</v>
      </c>
      <c r="C91" s="564"/>
      <c r="D91" s="564">
        <f t="shared" si="10"/>
        <v>32000</v>
      </c>
      <c r="E91" s="563">
        <f>'Sources and Uses Budget'!S91</f>
        <v>32000</v>
      </c>
      <c r="F91" s="564"/>
      <c r="G91" s="564">
        <f t="shared" si="11"/>
        <v>32000</v>
      </c>
      <c r="H91" s="563">
        <f>'Sources and Uses Budget'!T91</f>
        <v>0</v>
      </c>
      <c r="I91" s="564"/>
      <c r="J91" s="564"/>
      <c r="K91" s="561"/>
    </row>
    <row r="92" spans="1:11" s="562" customFormat="1" ht="11.4">
      <c r="A92" s="856" t="s">
        <v>1417</v>
      </c>
      <c r="B92" s="563">
        <f>'Sources and Uses Budget'!C92</f>
        <v>15000</v>
      </c>
      <c r="C92" s="564"/>
      <c r="D92" s="564">
        <f t="shared" si="10"/>
        <v>15000</v>
      </c>
      <c r="E92" s="563">
        <f>'Sources and Uses Budget'!S92</f>
        <v>15000</v>
      </c>
      <c r="F92" s="564"/>
      <c r="G92" s="564">
        <f t="shared" si="11"/>
        <v>15000</v>
      </c>
      <c r="H92" s="563">
        <f>'Sources and Uses Budget'!T92</f>
        <v>0</v>
      </c>
      <c r="I92" s="564"/>
      <c r="J92" s="564"/>
      <c r="K92" s="561"/>
    </row>
    <row r="93" spans="1:11" s="562" customFormat="1" ht="11.4">
      <c r="A93" s="569" t="str">
        <f>'Sources and Uses Budget'!$A93</f>
        <v>Other: Final Cost Audit</v>
      </c>
      <c r="B93" s="563">
        <f>'Sources and Uses Budget'!C93</f>
        <v>15000</v>
      </c>
      <c r="C93" s="564"/>
      <c r="D93" s="564">
        <f t="shared" si="10"/>
        <v>15000</v>
      </c>
      <c r="E93" s="563">
        <f>'Sources and Uses Budget'!S93</f>
        <v>15000</v>
      </c>
      <c r="F93" s="564"/>
      <c r="G93" s="564">
        <f t="shared" si="11"/>
        <v>15000</v>
      </c>
      <c r="H93" s="563">
        <f>'Sources and Uses Budget'!T93</f>
        <v>0</v>
      </c>
      <c r="I93" s="564"/>
      <c r="J93" s="564"/>
      <c r="K93" s="561"/>
    </row>
    <row r="94" spans="1:11" s="562" customFormat="1" ht="11.4">
      <c r="A94" s="569" t="str">
        <f>'Sources and Uses Budget'!$A94</f>
        <v>Other: Service Fee</v>
      </c>
      <c r="B94" s="563">
        <f>'Sources and Uses Budget'!C94</f>
        <v>25000</v>
      </c>
      <c r="C94" s="564"/>
      <c r="D94" s="564">
        <f t="shared" si="10"/>
        <v>25000</v>
      </c>
      <c r="E94" s="563">
        <f>'Sources and Uses Budget'!S94</f>
        <v>0</v>
      </c>
      <c r="F94" s="564"/>
      <c r="G94" s="564">
        <v>0</v>
      </c>
      <c r="H94" s="563">
        <f>'Sources and Uses Budget'!T94</f>
        <v>0</v>
      </c>
      <c r="I94" s="564"/>
      <c r="J94" s="564"/>
      <c r="K94" s="561"/>
    </row>
    <row r="95" spans="1:11" s="562" customFormat="1" ht="11.4">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3143369</v>
      </c>
      <c r="C96" s="563">
        <f>SUM(C83:C95)</f>
        <v>0</v>
      </c>
      <c r="D96" s="563">
        <f>SUM(D83:D95)</f>
        <v>3143369</v>
      </c>
      <c r="E96" s="563">
        <f>'Sources and Uses Budget'!S96</f>
        <v>2889000</v>
      </c>
      <c r="F96" s="570">
        <f>SUM(F84:F87,F89:F95)</f>
        <v>0</v>
      </c>
      <c r="G96" s="570">
        <f>SUM(G84:G87,G89:G95)</f>
        <v>2889000</v>
      </c>
      <c r="H96" s="563">
        <f>'Sources and Uses Budget'!T96</f>
        <v>0</v>
      </c>
      <c r="I96" s="563">
        <f>SUM(I84:I87,I89:I95)</f>
        <v>0</v>
      </c>
      <c r="J96" s="563">
        <f>SUM(J84:J87,J89:J95)</f>
        <v>0</v>
      </c>
      <c r="K96" s="561"/>
    </row>
    <row r="97" spans="1:11" s="562" customFormat="1">
      <c r="A97" s="567" t="s">
        <v>1139</v>
      </c>
      <c r="B97" s="563">
        <f>'Sources and Uses Budget'!C97</f>
        <v>34431567</v>
      </c>
      <c r="C97" s="563">
        <f>SUM(C63+C70+C77+C81+C96)</f>
        <v>0</v>
      </c>
      <c r="D97" s="563">
        <f>SUM(D63+D70+D77+D81+D96)</f>
        <v>34431567</v>
      </c>
      <c r="E97" s="563">
        <f>'Sources and Uses Budget'!S97</f>
        <v>32164885</v>
      </c>
      <c r="F97" s="570">
        <f>SUM(+F63+F70+F81+F96)</f>
        <v>0</v>
      </c>
      <c r="G97" s="570">
        <f>SUM(+G63+G70+G81+G96)</f>
        <v>32164885</v>
      </c>
      <c r="H97" s="563">
        <f>'Sources and Uses Budget'!T97</f>
        <v>0</v>
      </c>
      <c r="I97" s="570">
        <f>SUM(I63+I70+I81+I96)</f>
        <v>0</v>
      </c>
      <c r="J97" s="570">
        <f>SUM(J63+J70+J81+J96)</f>
        <v>0</v>
      </c>
      <c r="K97" s="561"/>
    </row>
    <row r="98" spans="1:11" s="562" customFormat="1" ht="11.4">
      <c r="A98" s="559" t="s">
        <v>834</v>
      </c>
      <c r="B98" s="560"/>
      <c r="C98" s="560"/>
      <c r="D98" s="560"/>
      <c r="E98" s="560"/>
      <c r="F98" s="560"/>
      <c r="G98" s="560"/>
      <c r="H98" s="560"/>
      <c r="I98" s="560"/>
      <c r="J98" s="560"/>
      <c r="K98" s="561"/>
    </row>
    <row r="99" spans="1:11" s="562" customFormat="1" ht="11.4">
      <c r="A99" s="215" t="s">
        <v>835</v>
      </c>
      <c r="B99" s="563">
        <f>'Sources and Uses Budget'!C99</f>
        <v>2200000</v>
      </c>
      <c r="C99" s="564"/>
      <c r="D99" s="564">
        <f>B99</f>
        <v>2200000</v>
      </c>
      <c r="E99" s="563">
        <f>'Sources and Uses Budget'!S99</f>
        <v>2200000</v>
      </c>
      <c r="F99" s="564"/>
      <c r="G99" s="564">
        <f>B99</f>
        <v>2200000</v>
      </c>
      <c r="H99" s="563">
        <f>'Sources and Uses Budget'!T99</f>
        <v>0</v>
      </c>
      <c r="I99" s="564"/>
      <c r="J99" s="564"/>
      <c r="K99" s="561"/>
    </row>
    <row r="100" spans="1:11" s="562" customFormat="1" ht="11.4">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2200000</v>
      </c>
      <c r="C104" s="563">
        <f>SUM(C99:C103)</f>
        <v>0</v>
      </c>
      <c r="D104" s="563">
        <f>SUM(D99:D103)</f>
        <v>2200000</v>
      </c>
      <c r="E104" s="563">
        <f>'Sources and Uses Budget'!S104</f>
        <v>2200000</v>
      </c>
      <c r="F104" s="570">
        <f>SUM(F99:F103)</f>
        <v>0</v>
      </c>
      <c r="G104" s="570">
        <f>SUM(G99:G103)</f>
        <v>2200000</v>
      </c>
      <c r="H104" s="563">
        <f>'Sources and Uses Budget'!T104</f>
        <v>0</v>
      </c>
      <c r="I104" s="570">
        <f>SUM(I99:I103)</f>
        <v>0</v>
      </c>
      <c r="J104" s="570">
        <f>SUM(J99:J103)</f>
        <v>0</v>
      </c>
      <c r="K104" s="561"/>
    </row>
    <row r="105" spans="1:11" s="562" customFormat="1">
      <c r="A105" s="567" t="s">
        <v>1140</v>
      </c>
      <c r="B105" s="563">
        <f>'Sources and Uses Budget'!C105</f>
        <v>36631567</v>
      </c>
      <c r="C105" s="570">
        <f>SUM(C97+C104)</f>
        <v>0</v>
      </c>
      <c r="D105" s="570">
        <f>SUM(D97+D104)</f>
        <v>36631567</v>
      </c>
      <c r="E105" s="563">
        <f>'Sources and Uses Budget'!S105</f>
        <v>34364885</v>
      </c>
      <c r="F105" s="570">
        <f>F97+F104</f>
        <v>0</v>
      </c>
      <c r="G105" s="570">
        <f>G97+G104</f>
        <v>34364885</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34364885</v>
      </c>
      <c r="F107" s="579">
        <f>F105+F106</f>
        <v>0</v>
      </c>
      <c r="G107" s="579">
        <f>G105+G106</f>
        <v>34364885</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543"/>
      <c r="E124" s="2544"/>
      <c r="F124" s="2544"/>
      <c r="G124" s="2544"/>
      <c r="H124" s="2544"/>
      <c r="I124" s="2544"/>
      <c r="J124" s="581"/>
      <c r="K124" s="561"/>
    </row>
    <row r="125" spans="1:11" s="562" customFormat="1" ht="13.2">
      <c r="A125" s="592"/>
      <c r="B125" s="591"/>
      <c r="C125" s="592"/>
      <c r="D125" s="2544"/>
      <c r="E125" s="2544"/>
      <c r="F125" s="2544"/>
      <c r="G125" s="2544"/>
      <c r="H125" s="2544"/>
      <c r="I125" s="2544"/>
      <c r="J125" s="581"/>
      <c r="K125" s="561"/>
    </row>
    <row r="126" spans="1:11" s="562" customFormat="1" ht="13.2">
      <c r="A126" s="592"/>
      <c r="B126" s="591"/>
      <c r="C126" s="592"/>
      <c r="D126" s="2544"/>
      <c r="E126" s="2544"/>
      <c r="F126" s="2544"/>
      <c r="G126" s="2544"/>
      <c r="H126" s="2544"/>
      <c r="I126" s="2544"/>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545"/>
      <c r="B139" s="2546"/>
      <c r="C139" s="2546"/>
      <c r="D139" s="604"/>
      <c r="E139" s="592"/>
      <c r="F139" s="592"/>
      <c r="G139" s="592"/>
    </row>
    <row r="140" spans="1:11" ht="12" customHeight="1">
      <c r="A140" s="2547"/>
      <c r="B140" s="2548"/>
      <c r="C140" s="254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7734375" defaultRowHeight="15.75" customHeight="1"/>
  <cols>
    <col min="1" max="37" width="2.77734375" style="1760"/>
    <col min="38" max="38" width="3" style="1760" customWidth="1"/>
    <col min="39" max="64" width="2.77734375" style="1760"/>
    <col min="65" max="65" width="6.109375" style="1760" bestFit="1" customWidth="1"/>
    <col min="66" max="70" width="5.5546875" style="1760" bestFit="1" customWidth="1"/>
    <col min="71" max="71" width="6.109375" style="1760" bestFit="1" customWidth="1"/>
    <col min="72" max="76" width="5.5546875" style="1760" bestFit="1" customWidth="1"/>
    <col min="77" max="77" width="6.109375" style="1760" bestFit="1" customWidth="1"/>
    <col min="78" max="78" width="5.5546875" style="1760" bestFit="1" customWidth="1"/>
    <col min="79" max="16384" width="2.77734375" style="1760"/>
  </cols>
  <sheetData>
    <row r="1" spans="1:65" ht="15.75" customHeight="1">
      <c r="A1" s="2982" t="s">
        <v>1983</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65" ht="15.75" customHeight="1">
      <c r="A2" s="2985" t="s">
        <v>1984</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3" t="str">
        <f>IF(Application!H18="","",Application!H18)</f>
        <v>Middletown Apartments</v>
      </c>
      <c r="M4" s="2914"/>
      <c r="N4" s="2914"/>
      <c r="O4" s="2914"/>
      <c r="P4" s="2914"/>
      <c r="Q4" s="2914"/>
      <c r="R4" s="2914"/>
      <c r="S4" s="2914"/>
      <c r="T4" s="2914"/>
      <c r="U4" s="2914"/>
      <c r="V4" s="2914"/>
      <c r="W4" s="2914"/>
      <c r="X4" s="2914"/>
      <c r="Y4" s="2914"/>
      <c r="Z4" s="2914"/>
      <c r="AA4" s="2914"/>
      <c r="AB4" s="2914"/>
      <c r="AC4" s="2915"/>
      <c r="AD4" s="1763"/>
      <c r="AE4" s="1763"/>
      <c r="AF4" s="2614" t="s">
        <v>1985</v>
      </c>
      <c r="AG4" s="2615"/>
      <c r="AH4" s="2615"/>
      <c r="AI4" s="2615"/>
      <c r="AJ4" s="2615"/>
      <c r="AK4" s="2615"/>
      <c r="AL4" s="2615"/>
      <c r="AM4" s="2615"/>
      <c r="AN4" s="2615"/>
      <c r="AO4" s="2615"/>
      <c r="AP4" s="2988">
        <v>44562</v>
      </c>
      <c r="AQ4" s="2961"/>
      <c r="AR4" s="2961"/>
      <c r="AS4" s="2961"/>
      <c r="AT4" s="2961"/>
      <c r="AU4" s="29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0" t="s">
        <v>1986</v>
      </c>
      <c r="AG5" s="2671"/>
      <c r="AH5" s="2671"/>
      <c r="AI5" s="2671"/>
      <c r="AJ5" s="2671"/>
      <c r="AK5" s="2671"/>
      <c r="AL5" s="2671"/>
      <c r="AM5" s="2671"/>
      <c r="AN5" s="2671"/>
      <c r="AO5" s="2671"/>
      <c r="AP5" s="2988">
        <v>44562</v>
      </c>
      <c r="AQ5" s="2961"/>
      <c r="AR5" s="2961"/>
      <c r="AS5" s="2961"/>
      <c r="AT5" s="2961"/>
      <c r="AU5" s="2962"/>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67" t="str">
        <f>IF(Application!H16="","",Application!H16)</f>
        <v>Middletown Apartments, LP</v>
      </c>
      <c r="M6" s="2968"/>
      <c r="N6" s="2968"/>
      <c r="O6" s="2968"/>
      <c r="P6" s="2968"/>
      <c r="Q6" s="2968"/>
      <c r="R6" s="2968"/>
      <c r="S6" s="2968"/>
      <c r="T6" s="2968"/>
      <c r="U6" s="2968"/>
      <c r="V6" s="2968"/>
      <c r="W6" s="2968"/>
      <c r="X6" s="2968"/>
      <c r="Y6" s="2968"/>
      <c r="Z6" s="2968"/>
      <c r="AA6" s="2968"/>
      <c r="AB6" s="2968"/>
      <c r="AC6" s="296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0" t="str">
        <f>Application!T196</f>
        <v>No</v>
      </c>
      <c r="AC8" s="2971"/>
      <c r="AD8" s="297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1990</v>
      </c>
      <c r="C10" s="1765"/>
      <c r="D10" s="1765"/>
      <c r="E10" s="1765"/>
      <c r="F10" s="1765"/>
      <c r="G10" s="1765"/>
      <c r="H10" s="1765"/>
      <c r="I10" s="1765"/>
      <c r="J10" s="1765"/>
      <c r="K10" s="1765"/>
      <c r="L10" s="1765"/>
      <c r="M10" s="1763"/>
      <c r="N10" s="2973">
        <f>Application!AO637</f>
        <v>4500000</v>
      </c>
      <c r="O10" s="2974"/>
      <c r="P10" s="2974"/>
      <c r="Q10" s="2974"/>
      <c r="R10" s="2974"/>
      <c r="S10" s="2974"/>
      <c r="T10" s="2975"/>
      <c r="U10" s="1763"/>
      <c r="V10" s="1763"/>
      <c r="W10" s="1763"/>
      <c r="X10" s="2655" t="s">
        <v>1991</v>
      </c>
      <c r="Y10" s="2656"/>
      <c r="Z10" s="2656"/>
      <c r="AA10" s="2656"/>
      <c r="AB10" s="2656"/>
      <c r="AC10" s="2656"/>
      <c r="AD10" s="2656"/>
      <c r="AE10" s="2656"/>
      <c r="AF10" s="2656"/>
      <c r="AG10" s="2656"/>
      <c r="AH10" s="2656"/>
      <c r="AI10" s="2656"/>
      <c r="AJ10" s="2656"/>
      <c r="AK10" s="2657"/>
      <c r="AL10" s="2992">
        <f>Application!W471</f>
        <v>0</v>
      </c>
      <c r="AM10" s="2971"/>
      <c r="AN10" s="2971"/>
      <c r="AO10" s="2971"/>
      <c r="AP10" s="2972"/>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1992</v>
      </c>
      <c r="C11" s="1765"/>
      <c r="D11" s="1765"/>
      <c r="E11" s="1765"/>
      <c r="F11" s="1765"/>
      <c r="G11" s="1765"/>
      <c r="H11" s="1765"/>
      <c r="I11" s="1765"/>
      <c r="J11" s="1765"/>
      <c r="K11" s="1765"/>
      <c r="L11" s="1765"/>
      <c r="M11" s="1763"/>
      <c r="N11" s="2976">
        <f>Application!AA925</f>
        <v>0</v>
      </c>
      <c r="O11" s="2977"/>
      <c r="P11" s="2977"/>
      <c r="Q11" s="2977"/>
      <c r="R11" s="2977"/>
      <c r="S11" s="2977"/>
      <c r="T11" s="2978"/>
      <c r="U11" s="1763"/>
      <c r="V11" s="1763"/>
      <c r="W11" s="1763"/>
      <c r="X11" s="2979" t="s">
        <v>1993</v>
      </c>
      <c r="Y11" s="2980"/>
      <c r="Z11" s="2980"/>
      <c r="AA11" s="2980"/>
      <c r="AB11" s="2980"/>
      <c r="AC11" s="2980"/>
      <c r="AD11" s="2980"/>
      <c r="AE11" s="2980"/>
      <c r="AF11" s="2980"/>
      <c r="AG11" s="2980"/>
      <c r="AH11" s="2980"/>
      <c r="AI11" s="2980"/>
      <c r="AJ11" s="2980"/>
      <c r="AK11" s="2981"/>
      <c r="AL11" s="2989">
        <v>44562</v>
      </c>
      <c r="AM11" s="2990"/>
      <c r="AN11" s="2990"/>
      <c r="AO11" s="2990"/>
      <c r="AP11" s="2991"/>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5" t="s">
        <v>1994</v>
      </c>
      <c r="Y12" s="2656"/>
      <c r="Z12" s="2656"/>
      <c r="AA12" s="2656"/>
      <c r="AB12" s="2656"/>
      <c r="AC12" s="2656"/>
      <c r="AD12" s="2656"/>
      <c r="AE12" s="2656"/>
      <c r="AF12" s="2656"/>
      <c r="AG12" s="2656"/>
      <c r="AH12" s="2656"/>
      <c r="AI12" s="2656"/>
      <c r="AJ12" s="2656"/>
      <c r="AK12" s="2657"/>
      <c r="AL12" s="2989">
        <v>44562</v>
      </c>
      <c r="AM12" s="2990"/>
      <c r="AN12" s="2990"/>
      <c r="AO12" s="2990"/>
      <c r="AP12" s="2991"/>
      <c r="AQ12" s="1766"/>
      <c r="AR12" s="1766"/>
      <c r="AS12" s="1766"/>
      <c r="AT12" s="1766"/>
      <c r="AU12" s="1766"/>
      <c r="AV12" s="1763"/>
      <c r="AW12" s="1763"/>
      <c r="AX12" s="1763"/>
      <c r="AY12" s="1763"/>
      <c r="AZ12" s="1763"/>
      <c r="BA12" s="1763"/>
      <c r="BB12" s="1763"/>
      <c r="BC12" s="1763"/>
      <c r="BD12" s="1763"/>
      <c r="BE12" s="1769"/>
    </row>
    <row r="13" spans="1:65" ht="15" thickBot="1">
      <c r="A13" s="1763"/>
      <c r="B13" s="2655" t="s">
        <v>1995</v>
      </c>
      <c r="C13" s="2656"/>
      <c r="D13" s="2656"/>
      <c r="E13" s="2656"/>
      <c r="F13" s="2656"/>
      <c r="G13" s="2656"/>
      <c r="H13" s="2656"/>
      <c r="I13" s="2656"/>
      <c r="J13" s="2656"/>
      <c r="K13" s="2656"/>
      <c r="L13" s="2656"/>
      <c r="M13" s="2656"/>
      <c r="N13" s="2656"/>
      <c r="O13" s="2656"/>
      <c r="P13" s="2657"/>
      <c r="Q13" s="2960" t="s">
        <v>1989</v>
      </c>
      <c r="R13" s="2961"/>
      <c r="S13" s="2961"/>
      <c r="T13" s="29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4">
      <c r="A15" s="1763"/>
      <c r="B15" s="2963" t="s">
        <v>1996</v>
      </c>
      <c r="C15" s="2963"/>
      <c r="D15" s="2963"/>
      <c r="E15" s="2963"/>
      <c r="F15" s="2963"/>
      <c r="G15" s="2963"/>
      <c r="H15" s="2963"/>
      <c r="I15" s="2963"/>
      <c r="J15" s="2963"/>
      <c r="K15" s="2963"/>
      <c r="L15" s="2964"/>
      <c r="M15" s="2614" t="s">
        <v>1997</v>
      </c>
      <c r="N15" s="2615"/>
      <c r="O15" s="2615"/>
      <c r="P15" s="2615"/>
      <c r="Q15" s="2615"/>
      <c r="R15" s="2615"/>
      <c r="S15" s="2965" t="str">
        <f>IF(Application!AB214="","",Application!AB214)</f>
        <v/>
      </c>
      <c r="T15" s="2965"/>
      <c r="U15" s="2965"/>
      <c r="V15" s="2965"/>
      <c r="W15" s="296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4">
      <c r="A17" s="1763"/>
      <c r="B17" s="2699" t="s">
        <v>1998</v>
      </c>
      <c r="C17" s="2700"/>
      <c r="D17" s="2700"/>
      <c r="E17" s="2700"/>
      <c r="F17" s="2700"/>
      <c r="G17" s="2700"/>
      <c r="H17" s="2700"/>
      <c r="I17" s="2700"/>
      <c r="J17" s="2700"/>
      <c r="K17" s="270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AO17" s="2700"/>
      <c r="AP17" s="2700"/>
      <c r="AQ17" s="2700"/>
      <c r="AR17" s="2700"/>
      <c r="AS17" s="2700"/>
      <c r="AT17" s="2700"/>
      <c r="AU17" s="2700"/>
      <c r="AV17" s="2700"/>
      <c r="AW17" s="2700"/>
      <c r="AX17" s="2700"/>
      <c r="AY17" s="2701"/>
      <c r="AZ17" s="1763"/>
      <c r="BA17" s="1763"/>
      <c r="BB17" s="1763"/>
      <c r="BC17" s="1763"/>
      <c r="BD17" s="1763"/>
      <c r="BE17" s="1769"/>
      <c r="BF17" s="1761"/>
    </row>
    <row r="18" spans="1:58" ht="15.75" customHeight="1">
      <c r="A18" s="1763"/>
      <c r="B18" s="2953" t="s">
        <v>1999</v>
      </c>
      <c r="C18" s="2954"/>
      <c r="D18" s="2954"/>
      <c r="E18" s="2954"/>
      <c r="F18" s="2954"/>
      <c r="G18" s="2954"/>
      <c r="H18" s="2954"/>
      <c r="I18" s="2955"/>
      <c r="J18" s="2956" t="s">
        <v>1872</v>
      </c>
      <c r="K18" s="2957"/>
      <c r="L18" s="2957"/>
      <c r="M18" s="2957"/>
      <c r="N18" s="2957"/>
      <c r="O18" s="2958"/>
      <c r="P18" s="2956" t="s">
        <v>333</v>
      </c>
      <c r="Q18" s="2957"/>
      <c r="R18" s="2957"/>
      <c r="S18" s="2957"/>
      <c r="T18" s="2957"/>
      <c r="U18" s="2958"/>
      <c r="V18" s="2956" t="s">
        <v>334</v>
      </c>
      <c r="W18" s="2957"/>
      <c r="X18" s="2957"/>
      <c r="Y18" s="2957"/>
      <c r="Z18" s="2957"/>
      <c r="AA18" s="2958"/>
      <c r="AB18" s="2956" t="s">
        <v>168</v>
      </c>
      <c r="AC18" s="2957"/>
      <c r="AD18" s="2957"/>
      <c r="AE18" s="2957"/>
      <c r="AF18" s="2957"/>
      <c r="AG18" s="2958"/>
      <c r="AH18" s="2956" t="s">
        <v>169</v>
      </c>
      <c r="AI18" s="2957"/>
      <c r="AJ18" s="2957"/>
      <c r="AK18" s="2957"/>
      <c r="AL18" s="2957"/>
      <c r="AM18" s="2958"/>
      <c r="AN18" s="2956" t="s">
        <v>170</v>
      </c>
      <c r="AO18" s="2957"/>
      <c r="AP18" s="2957"/>
      <c r="AQ18" s="2957"/>
      <c r="AR18" s="2957"/>
      <c r="AS18" s="2958"/>
      <c r="AT18" s="2956" t="s">
        <v>2000</v>
      </c>
      <c r="AU18" s="2957"/>
      <c r="AV18" s="2957"/>
      <c r="AW18" s="2957"/>
      <c r="AX18" s="2957"/>
      <c r="AY18" s="2959"/>
      <c r="AZ18" s="1763"/>
      <c r="BA18" s="1763"/>
      <c r="BB18" s="1763"/>
      <c r="BC18" s="1763"/>
      <c r="BD18" s="1763"/>
      <c r="BE18" s="1769"/>
    </row>
    <row r="19" spans="1:58" ht="14.4">
      <c r="A19" s="1763"/>
      <c r="B19" s="2951">
        <v>0.2</v>
      </c>
      <c r="C19" s="2952"/>
      <c r="D19" s="2952"/>
      <c r="E19" s="2952"/>
      <c r="F19" s="2952"/>
      <c r="G19" s="2952"/>
      <c r="H19" s="2952"/>
      <c r="I19" s="2952"/>
      <c r="J19" s="2942">
        <f>SUM(P19:AS19)</f>
        <v>0</v>
      </c>
      <c r="K19" s="2943"/>
      <c r="L19" s="2943"/>
      <c r="M19" s="2943"/>
      <c r="N19" s="2943"/>
      <c r="O19" s="2944"/>
      <c r="P19" s="2942" cm="1">
        <f t="array" ref="P19">SUMPRODUCT((Application!$B$728:$B$752 = 'CalHFA Addendum'!P$18)*(Application!$AH$728:$AH$752 = 'CalHFA Addendum'!$B19),Application!$G$728:$G$752)</f>
        <v>0</v>
      </c>
      <c r="Q19" s="2943"/>
      <c r="R19" s="2943"/>
      <c r="S19" s="2943"/>
      <c r="T19" s="2943"/>
      <c r="U19" s="2944"/>
      <c r="V19" s="2942" cm="1">
        <f t="array" ref="V19">SUMPRODUCT((Application!$B$728:$B$752 = 'CalHFA Addendum'!V$18)*(Application!$AH$728:$AH$752 = 'CalHFA Addendum'!$B19),Application!$G$728:$G$752)</f>
        <v>0</v>
      </c>
      <c r="W19" s="2943"/>
      <c r="X19" s="2943"/>
      <c r="Y19" s="2943"/>
      <c r="Z19" s="2943"/>
      <c r="AA19" s="2944"/>
      <c r="AB19" s="2942" cm="1">
        <f t="array" ref="AB19">SUMPRODUCT((Application!$B$728:$B$752 = 'CalHFA Addendum'!AB$18)*(Application!$AH$728:$AH$752 = 'CalHFA Addendum'!$B19),Application!$G$728:$G$752)</f>
        <v>0</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8" si="0">J19/$J$29</f>
        <v>0</v>
      </c>
      <c r="AU19" s="2946"/>
      <c r="AV19" s="2946"/>
      <c r="AW19" s="2946"/>
      <c r="AX19" s="2946"/>
      <c r="AY19" s="2947"/>
      <c r="AZ19" s="1770"/>
      <c r="BA19" s="1763"/>
      <c r="BB19" s="1763"/>
      <c r="BC19" s="1763"/>
      <c r="BD19" s="1763"/>
      <c r="BE19" s="1769"/>
    </row>
    <row r="20" spans="1:58" ht="15" customHeight="1">
      <c r="A20" s="1763"/>
      <c r="B20" s="2951">
        <v>0.3</v>
      </c>
      <c r="C20" s="2952"/>
      <c r="D20" s="2952"/>
      <c r="E20" s="2952"/>
      <c r="F20" s="2952"/>
      <c r="G20" s="2952"/>
      <c r="H20" s="2952"/>
      <c r="I20" s="2952"/>
      <c r="J20" s="2942">
        <f t="shared" ref="J20:J28" si="1">SUM(P20:AS20)</f>
        <v>19</v>
      </c>
      <c r="K20" s="2943"/>
      <c r="L20" s="2943"/>
      <c r="M20" s="2943"/>
      <c r="N20" s="2943"/>
      <c r="O20" s="2944"/>
      <c r="P20" s="2942" cm="1">
        <f t="array" ref="P20">SUMPRODUCT((Application!$B$728:$B$752 = 'CalHFA Addendum'!P$18)*(Application!$AH$728:$AH$752 = 'CalHFA Addendum'!$B20),Application!$G$728:$G$752)</f>
        <v>0</v>
      </c>
      <c r="Q20" s="2943"/>
      <c r="R20" s="2943"/>
      <c r="S20" s="2943"/>
      <c r="T20" s="2943"/>
      <c r="U20" s="2944"/>
      <c r="V20" s="2942" cm="1">
        <f t="array" ref="V20">SUMPRODUCT((Application!$B$728:$B$752 = 'CalHFA Addendum'!V$18)*(Application!$AH$728:$AH$752 = 'CalHFA Addendum'!$B20),Application!$G$728:$G$752)</f>
        <v>4</v>
      </c>
      <c r="W20" s="2943"/>
      <c r="X20" s="2943"/>
      <c r="Y20" s="2943"/>
      <c r="Z20" s="2943"/>
      <c r="AA20" s="2944"/>
      <c r="AB20" s="2942" cm="1">
        <f t="array" ref="AB20">SUMPRODUCT((Application!$B$728:$B$752 = 'CalHFA Addendum'!AB$18)*(Application!$AH$728:$AH$752 = 'CalHFA Addendum'!$B20),Application!$G$728:$G$752)</f>
        <v>10</v>
      </c>
      <c r="AC20" s="2943"/>
      <c r="AD20" s="2943"/>
      <c r="AE20" s="2943"/>
      <c r="AF20" s="2943"/>
      <c r="AG20" s="2944"/>
      <c r="AH20" s="2942" cm="1">
        <f t="array" ref="AH20">SUMPRODUCT((Application!$B$728:$B$752 = 'CalHFA Addendum'!AH$18)*(Application!$AH$728:$AH$752 = 'CalHFA Addendum'!$B20),Application!$G$728:$G$752)</f>
        <v>5</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0.23170731707317074</v>
      </c>
      <c r="AU20" s="2946"/>
      <c r="AV20" s="2946"/>
      <c r="AW20" s="2946"/>
      <c r="AX20" s="2946"/>
      <c r="AY20" s="2947"/>
      <c r="AZ20" s="1763"/>
      <c r="BA20" s="1763"/>
      <c r="BB20" s="1763"/>
      <c r="BC20" s="1763"/>
      <c r="BD20" s="1763"/>
      <c r="BE20" s="1769"/>
    </row>
    <row r="21" spans="1:58" ht="14.4">
      <c r="A21" s="1763"/>
      <c r="B21" s="2951">
        <v>0.4</v>
      </c>
      <c r="C21" s="2952"/>
      <c r="D21" s="2952"/>
      <c r="E21" s="2952"/>
      <c r="F21" s="2952"/>
      <c r="G21" s="2952"/>
      <c r="H21" s="2952"/>
      <c r="I21" s="2952"/>
      <c r="J21" s="2942">
        <f t="shared" si="1"/>
        <v>23</v>
      </c>
      <c r="K21" s="2943"/>
      <c r="L21" s="2943"/>
      <c r="M21" s="2943"/>
      <c r="N21" s="2943"/>
      <c r="O21" s="2944"/>
      <c r="P21" s="2942" cm="1">
        <f t="array" ref="P21">SUMPRODUCT((Application!$B$728:$B$752 = 'CalHFA Addendum'!P$18)*(Application!$AH$728:$AH$752 = 'CalHFA Addendum'!$B21),Application!$G$728:$G$752)</f>
        <v>0</v>
      </c>
      <c r="Q21" s="2943"/>
      <c r="R21" s="2943"/>
      <c r="S21" s="2943"/>
      <c r="T21" s="2943"/>
      <c r="U21" s="2944"/>
      <c r="V21" s="2942" cm="1">
        <f t="array" ref="V21">SUMPRODUCT((Application!$B$728:$B$752 = 'CalHFA Addendum'!V$18)*(Application!$AH$728:$AH$752 = 'CalHFA Addendum'!$B21),Application!$G$728:$G$752)</f>
        <v>4</v>
      </c>
      <c r="W21" s="2943"/>
      <c r="X21" s="2943"/>
      <c r="Y21" s="2943"/>
      <c r="Z21" s="2943"/>
      <c r="AA21" s="2944"/>
      <c r="AB21" s="2942" cm="1">
        <f t="array" ref="AB21">SUMPRODUCT((Application!$B$728:$B$752 = 'CalHFA Addendum'!AB$18)*(Application!$AH$728:$AH$752 = 'CalHFA Addendum'!$B21),Application!$G$728:$G$752)</f>
        <v>12</v>
      </c>
      <c r="AC21" s="2943"/>
      <c r="AD21" s="2943"/>
      <c r="AE21" s="2943"/>
      <c r="AF21" s="2943"/>
      <c r="AG21" s="2944"/>
      <c r="AH21" s="2942" cm="1">
        <f t="array" ref="AH21">SUMPRODUCT((Application!$B$728:$B$752 = 'CalHFA Addendum'!AH$18)*(Application!$AH$728:$AH$752 = 'CalHFA Addendum'!$B21),Application!$G$728:$G$752)</f>
        <v>7</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0.28048780487804881</v>
      </c>
      <c r="AU21" s="2946"/>
      <c r="AV21" s="2946"/>
      <c r="AW21" s="2946"/>
      <c r="AX21" s="2946"/>
      <c r="AY21" s="2947"/>
      <c r="AZ21" s="1763"/>
      <c r="BA21" s="1763"/>
      <c r="BB21" s="1763"/>
      <c r="BC21" s="1763"/>
      <c r="BD21" s="1763"/>
      <c r="BE21" s="1769"/>
    </row>
    <row r="22" spans="1:58" ht="14.4">
      <c r="A22" s="1763"/>
      <c r="B22" s="2951">
        <v>0.5</v>
      </c>
      <c r="C22" s="2952"/>
      <c r="D22" s="2952"/>
      <c r="E22" s="2952"/>
      <c r="F22" s="2952"/>
      <c r="G22" s="2952"/>
      <c r="H22" s="2952"/>
      <c r="I22" s="2952"/>
      <c r="J22" s="2942">
        <f t="shared" si="1"/>
        <v>19</v>
      </c>
      <c r="K22" s="2943"/>
      <c r="L22" s="2943"/>
      <c r="M22" s="2943"/>
      <c r="N22" s="2943"/>
      <c r="O22" s="2944"/>
      <c r="P22" s="2942" cm="1">
        <f t="array" ref="P22">SUMPRODUCT((Application!$B$728:$B$752 = 'CalHFA Addendum'!P$18)*(Application!$AH$728:$AH$752 = 'CalHFA Addendum'!$B22),Application!$G$728:$G$752)</f>
        <v>0</v>
      </c>
      <c r="Q22" s="2943"/>
      <c r="R22" s="2943"/>
      <c r="S22" s="2943"/>
      <c r="T22" s="2943"/>
      <c r="U22" s="2944"/>
      <c r="V22" s="2942" cm="1">
        <f t="array" ref="V22">SUMPRODUCT((Application!$B$728:$B$752 = 'CalHFA Addendum'!V$18)*(Application!$AH$728:$AH$752 = 'CalHFA Addendum'!$B22),Application!$G$728:$G$752)</f>
        <v>0</v>
      </c>
      <c r="W22" s="2943"/>
      <c r="X22" s="2943"/>
      <c r="Y22" s="2943"/>
      <c r="Z22" s="2943"/>
      <c r="AA22" s="2944"/>
      <c r="AB22" s="2942" cm="1">
        <f t="array" ref="AB22">SUMPRODUCT((Application!$B$728:$B$752 = 'CalHFA Addendum'!AB$18)*(Application!$AH$728:$AH$752 = 'CalHFA Addendum'!$B22),Application!$G$728:$G$752)</f>
        <v>11</v>
      </c>
      <c r="AC22" s="2943"/>
      <c r="AD22" s="2943"/>
      <c r="AE22" s="2943"/>
      <c r="AF22" s="2943"/>
      <c r="AG22" s="2944"/>
      <c r="AH22" s="2942" cm="1">
        <f t="array" ref="AH22">SUMPRODUCT((Application!$B$728:$B$752 = 'CalHFA Addendum'!AH$18)*(Application!$AH$728:$AH$752 = 'CalHFA Addendum'!$B22),Application!$G$728:$G$752)</f>
        <v>8</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0.23170731707317074</v>
      </c>
      <c r="AU22" s="2946"/>
      <c r="AV22" s="2946"/>
      <c r="AW22" s="2946"/>
      <c r="AX22" s="2946"/>
      <c r="AY22" s="2947"/>
      <c r="AZ22" s="1763"/>
      <c r="BA22" s="1763"/>
      <c r="BB22" s="1763"/>
      <c r="BC22" s="1763"/>
      <c r="BD22" s="1763"/>
      <c r="BE22" s="1769"/>
    </row>
    <row r="23" spans="1:58" ht="14.4">
      <c r="A23" s="1763"/>
      <c r="B23" s="2951">
        <v>0.6</v>
      </c>
      <c r="C23" s="2952"/>
      <c r="D23" s="2952"/>
      <c r="E23" s="2952"/>
      <c r="F23" s="2952"/>
      <c r="G23" s="2952"/>
      <c r="H23" s="2952"/>
      <c r="I23" s="2952"/>
      <c r="J23" s="2942">
        <f t="shared" si="1"/>
        <v>20</v>
      </c>
      <c r="K23" s="2943"/>
      <c r="L23" s="2943"/>
      <c r="M23" s="2943"/>
      <c r="N23" s="2943"/>
      <c r="O23" s="2944"/>
      <c r="P23" s="2942" cm="1">
        <f t="array" ref="P23">SUMPRODUCT((Application!$B$728:$B$752 = 'CalHFA Addendum'!P$18)*(Application!$AH$728:$AH$752 = 'CalHFA Addendum'!$B23),Application!$G$728:$G$752)</f>
        <v>0</v>
      </c>
      <c r="Q23" s="2943"/>
      <c r="R23" s="2943"/>
      <c r="S23" s="2943"/>
      <c r="T23" s="2943"/>
      <c r="U23" s="2944"/>
      <c r="V23" s="2942" cm="1">
        <f t="array" ref="V23">SUMPRODUCT((Application!$B$728:$B$752 = 'CalHFA Addendum'!V$18)*(Application!$AH$728:$AH$752 = 'CalHFA Addendum'!$B23),Application!$G$728:$G$752)</f>
        <v>4</v>
      </c>
      <c r="W23" s="2943"/>
      <c r="X23" s="2943"/>
      <c r="Y23" s="2943"/>
      <c r="Z23" s="2943"/>
      <c r="AA23" s="2944"/>
      <c r="AB23" s="2942" cm="1">
        <f t="array" ref="AB23">SUMPRODUCT((Application!$B$728:$B$752 = 'CalHFA Addendum'!AB$18)*(Application!$AH$728:$AH$752 = 'CalHFA Addendum'!$B23),Application!$G$728:$G$752)</f>
        <v>8</v>
      </c>
      <c r="AC23" s="2943"/>
      <c r="AD23" s="2943"/>
      <c r="AE23" s="2943"/>
      <c r="AF23" s="2943"/>
      <c r="AG23" s="2944"/>
      <c r="AH23" s="2942" cm="1">
        <f t="array" ref="AH23">SUMPRODUCT((Application!$B$728:$B$752 = 'CalHFA Addendum'!AH$18)*(Application!$AH$728:$AH$752 = 'CalHFA Addendum'!$B23),Application!$G$728:$G$752)</f>
        <v>8</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0.24390243902439024</v>
      </c>
      <c r="AU23" s="2946"/>
      <c r="AV23" s="2946"/>
      <c r="AW23" s="2946"/>
      <c r="AX23" s="2946"/>
      <c r="AY23" s="2947"/>
      <c r="AZ23" s="1763"/>
      <c r="BA23" s="1763"/>
      <c r="BB23" s="1763"/>
      <c r="BC23" s="1763"/>
      <c r="BD23" s="1763"/>
      <c r="BE23" s="1769"/>
    </row>
    <row r="24" spans="1:58" ht="14.4">
      <c r="A24" s="1763"/>
      <c r="B24" s="2951">
        <v>0.7</v>
      </c>
      <c r="C24" s="2952"/>
      <c r="D24" s="2952"/>
      <c r="E24" s="2952"/>
      <c r="F24" s="2952"/>
      <c r="G24" s="2952"/>
      <c r="H24" s="2952"/>
      <c r="I24" s="2952"/>
      <c r="J24" s="2942">
        <f t="shared" si="1"/>
        <v>0</v>
      </c>
      <c r="K24" s="2943"/>
      <c r="L24" s="2943"/>
      <c r="M24" s="2943"/>
      <c r="N24" s="2943"/>
      <c r="O24" s="2944"/>
      <c r="P24" s="2942" cm="1">
        <f t="array" ref="P24">SUMPRODUCT((Application!$B$728:$B$752 = 'CalHFA Addendum'!P$18)*(Application!$AH$728:$AH$752 = 'CalHFA Addendum'!$B24),Application!$G$728:$G$752)</f>
        <v>0</v>
      </c>
      <c r="Q24" s="2943"/>
      <c r="R24" s="2943"/>
      <c r="S24" s="2943"/>
      <c r="T24" s="2943"/>
      <c r="U24" s="2944"/>
      <c r="V24" s="2942" cm="1">
        <f t="array" ref="V24">SUMPRODUCT((Application!$B$728:$B$752 = 'CalHFA Addendum'!V$18)*(Application!$AH$728:$AH$752 = 'CalHFA Addendum'!$B24),Application!$G$728:$G$752)</f>
        <v>0</v>
      </c>
      <c r="W24" s="2943"/>
      <c r="X24" s="2943"/>
      <c r="Y24" s="2943"/>
      <c r="Z24" s="2943"/>
      <c r="AA24" s="2944"/>
      <c r="AB24" s="2942" cm="1">
        <f t="array" ref="AB24">SUMPRODUCT((Application!$B$728:$B$752 = 'CalHFA Addendum'!AB$18)*(Application!$AH$728:$AH$752 = 'CalHFA Addendum'!$B24),Application!$G$728:$G$752)</f>
        <v>0</v>
      </c>
      <c r="AC24" s="2943"/>
      <c r="AD24" s="2943"/>
      <c r="AE24" s="2943"/>
      <c r="AF24" s="2943"/>
      <c r="AG24" s="2944"/>
      <c r="AH24" s="2942" cm="1">
        <f t="array" ref="AH24">SUMPRODUCT((Application!$B$728:$B$752 = 'CalHFA Addendum'!AH$18)*(Application!$AH$728:$AH$752 = 'CalHFA Addendum'!$B24),Application!$G$728:$G$752)</f>
        <v>0</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v>
      </c>
      <c r="AU24" s="2946"/>
      <c r="AV24" s="2946"/>
      <c r="AW24" s="2946"/>
      <c r="AX24" s="2946"/>
      <c r="AY24" s="2947"/>
      <c r="AZ24" s="1763"/>
      <c r="BA24" s="1763"/>
      <c r="BB24" s="1763"/>
      <c r="BC24" s="1763"/>
      <c r="BD24" s="1763"/>
      <c r="BE24" s="1769"/>
    </row>
    <row r="25" spans="1:58" ht="14.4">
      <c r="A25" s="1763"/>
      <c r="B25" s="2951">
        <v>0.8</v>
      </c>
      <c r="C25" s="2952"/>
      <c r="D25" s="2952"/>
      <c r="E25" s="2952"/>
      <c r="F25" s="2952"/>
      <c r="G25" s="2952"/>
      <c r="H25" s="2952"/>
      <c r="I25" s="2952"/>
      <c r="J25" s="2942">
        <f t="shared" si="1"/>
        <v>0</v>
      </c>
      <c r="K25" s="2943"/>
      <c r="L25" s="2943"/>
      <c r="M25" s="2943"/>
      <c r="N25" s="2943"/>
      <c r="O25" s="2944"/>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763"/>
      <c r="BA25" s="1763"/>
      <c r="BB25" s="1763"/>
      <c r="BC25" s="1763"/>
      <c r="BD25" s="1763"/>
      <c r="BE25" s="1769"/>
    </row>
    <row r="26" spans="1:58" ht="14.4">
      <c r="A26" s="1763"/>
      <c r="B26" s="2951">
        <v>0.9</v>
      </c>
      <c r="C26" s="2952"/>
      <c r="D26" s="2952"/>
      <c r="E26" s="2952"/>
      <c r="F26" s="2952"/>
      <c r="G26" s="2952"/>
      <c r="H26" s="2952"/>
      <c r="I26" s="2952"/>
      <c r="J26" s="2942">
        <f t="shared" si="1"/>
        <v>0</v>
      </c>
      <c r="K26" s="2943"/>
      <c r="L26" s="2943"/>
      <c r="M26" s="2943"/>
      <c r="N26" s="2943"/>
      <c r="O26" s="2944"/>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763"/>
      <c r="BA26" s="1763"/>
      <c r="BB26" s="1763"/>
      <c r="BC26" s="1763"/>
      <c r="BD26" s="1763"/>
      <c r="BE26" s="1769"/>
    </row>
    <row r="27" spans="1:58" ht="14.4">
      <c r="A27" s="1763"/>
      <c r="B27" s="2951">
        <v>1</v>
      </c>
      <c r="C27" s="2952"/>
      <c r="D27" s="2952"/>
      <c r="E27" s="2952"/>
      <c r="F27" s="2952"/>
      <c r="G27" s="2952"/>
      <c r="H27" s="2952"/>
      <c r="I27" s="2952"/>
      <c r="J27" s="2942">
        <f t="shared" si="1"/>
        <v>0</v>
      </c>
      <c r="K27" s="2943"/>
      <c r="L27" s="2943"/>
      <c r="M27" s="2943"/>
      <c r="N27" s="2943"/>
      <c r="O27" s="2944"/>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763"/>
      <c r="BA27" s="1763"/>
      <c r="BB27" s="1763"/>
      <c r="BC27" s="1763"/>
      <c r="BD27" s="1763"/>
      <c r="BE27" s="1769"/>
    </row>
    <row r="28" spans="1:58" ht="15" thickBot="1">
      <c r="A28" s="1763"/>
      <c r="B28" s="2948" t="s">
        <v>2001</v>
      </c>
      <c r="C28" s="2949"/>
      <c r="D28" s="2949"/>
      <c r="E28" s="2949"/>
      <c r="F28" s="2949"/>
      <c r="G28" s="2949"/>
      <c r="H28" s="2949"/>
      <c r="I28" s="2950"/>
      <c r="J28" s="2942">
        <f t="shared" si="1"/>
        <v>1</v>
      </c>
      <c r="K28" s="2943"/>
      <c r="L28" s="2943"/>
      <c r="M28" s="2943"/>
      <c r="N28" s="2943"/>
      <c r="O28" s="2944"/>
      <c r="P28" s="2942">
        <f>_xlfn.IFNA(VLOOKUP(P$18,Application!$J$772:$S$775,6,FALSE), 0)</f>
        <v>0</v>
      </c>
      <c r="Q28" s="2943"/>
      <c r="R28" s="2943"/>
      <c r="S28" s="2943"/>
      <c r="T28" s="2943"/>
      <c r="U28" s="2944"/>
      <c r="V28" s="2942">
        <f>_xlfn.IFNA(VLOOKUP(V$18,Application!$J$772:$S$775,6,FALSE), 0)</f>
        <v>0</v>
      </c>
      <c r="W28" s="2943"/>
      <c r="X28" s="2943"/>
      <c r="Y28" s="2943"/>
      <c r="Z28" s="2943"/>
      <c r="AA28" s="2944"/>
      <c r="AB28" s="2942">
        <f>_xlfn.IFNA(VLOOKUP(AB$18,Application!$J$772:$S$775,6,FALSE), 0)</f>
        <v>1</v>
      </c>
      <c r="AC28" s="2943"/>
      <c r="AD28" s="2943"/>
      <c r="AE28" s="2943"/>
      <c r="AF28" s="2943"/>
      <c r="AG28" s="2944"/>
      <c r="AH28" s="2942">
        <f>_xlfn.IFNA(VLOOKUP(AH$18,Application!$J$772:$S$775,6,FALSE), 0)</f>
        <v>0</v>
      </c>
      <c r="AI28" s="2943"/>
      <c r="AJ28" s="2943"/>
      <c r="AK28" s="2943"/>
      <c r="AL28" s="2943"/>
      <c r="AM28" s="2944"/>
      <c r="AN28" s="2942">
        <f>_xlfn.IFNA(VLOOKUP(AN$18,Application!$J$772:$S$775,6,FALSE), 0)</f>
        <v>0</v>
      </c>
      <c r="AO28" s="2943"/>
      <c r="AP28" s="2943"/>
      <c r="AQ28" s="2943"/>
      <c r="AR28" s="2943"/>
      <c r="AS28" s="2944"/>
      <c r="AT28" s="2945">
        <f t="shared" si="0"/>
        <v>1.2195121951219513E-2</v>
      </c>
      <c r="AU28" s="2946"/>
      <c r="AV28" s="2946"/>
      <c r="AW28" s="2946"/>
      <c r="AX28" s="2946"/>
      <c r="AY28" s="2947"/>
      <c r="AZ28" s="1763"/>
      <c r="BA28" s="1763"/>
      <c r="BB28" s="1763"/>
      <c r="BC28" s="1763"/>
      <c r="BD28" s="1763"/>
      <c r="BE28" s="1769"/>
    </row>
    <row r="29" spans="1:58" ht="15" thickBot="1">
      <c r="A29" s="1763"/>
      <c r="B29" s="2941" t="s">
        <v>1872</v>
      </c>
      <c r="C29" s="2917"/>
      <c r="D29" s="2917"/>
      <c r="E29" s="2917"/>
      <c r="F29" s="2917"/>
      <c r="G29" s="2917"/>
      <c r="H29" s="2917"/>
      <c r="I29" s="2918"/>
      <c r="J29" s="2916">
        <f>SUM(J19:O28)</f>
        <v>82</v>
      </c>
      <c r="K29" s="2917"/>
      <c r="L29" s="2917"/>
      <c r="M29" s="2917"/>
      <c r="N29" s="2917"/>
      <c r="O29" s="2918"/>
      <c r="P29" s="2916">
        <f>SUM(P19:U28)</f>
        <v>0</v>
      </c>
      <c r="Q29" s="2917"/>
      <c r="R29" s="2917"/>
      <c r="S29" s="2917"/>
      <c r="T29" s="2917"/>
      <c r="U29" s="2918"/>
      <c r="V29" s="2916">
        <f>SUM(V19:AA28)</f>
        <v>12</v>
      </c>
      <c r="W29" s="2917"/>
      <c r="X29" s="2917"/>
      <c r="Y29" s="2917"/>
      <c r="Z29" s="2917"/>
      <c r="AA29" s="2918"/>
      <c r="AB29" s="2916">
        <f>SUM(AB19:AG28)</f>
        <v>42</v>
      </c>
      <c r="AC29" s="2917"/>
      <c r="AD29" s="2917"/>
      <c r="AE29" s="2917"/>
      <c r="AF29" s="2917"/>
      <c r="AG29" s="2918"/>
      <c r="AH29" s="2916">
        <f>SUM(AH19:AM28)</f>
        <v>28</v>
      </c>
      <c r="AI29" s="2917"/>
      <c r="AJ29" s="2917"/>
      <c r="AK29" s="2917"/>
      <c r="AL29" s="2917"/>
      <c r="AM29" s="2918"/>
      <c r="AN29" s="2916">
        <f>SUM(AN19:AS28)</f>
        <v>0</v>
      </c>
      <c r="AO29" s="2917"/>
      <c r="AP29" s="2917"/>
      <c r="AQ29" s="2917"/>
      <c r="AR29" s="2917"/>
      <c r="AS29" s="2918"/>
      <c r="AT29" s="2919">
        <f>J29/$J$29</f>
        <v>1</v>
      </c>
      <c r="AU29" s="2920"/>
      <c r="AV29" s="2920"/>
      <c r="AW29" s="2920"/>
      <c r="AX29" s="2920"/>
      <c r="AY29" s="2921"/>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922" t="s">
        <v>2002</v>
      </c>
      <c r="C31" s="2923"/>
      <c r="D31" s="2923"/>
      <c r="E31" s="2923"/>
      <c r="F31" s="2923"/>
      <c r="G31" s="2923"/>
      <c r="H31" s="2923"/>
      <c r="I31" s="2923"/>
      <c r="J31" s="2923"/>
      <c r="K31" s="2923"/>
      <c r="L31" s="2923"/>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4"/>
      <c r="BA31" s="1763"/>
      <c r="BB31" s="1763"/>
      <c r="BC31" s="1763"/>
      <c r="BD31" s="1763"/>
      <c r="BE31" s="1769"/>
    </row>
    <row r="32" spans="1:58" ht="15" thickBot="1">
      <c r="A32" s="1763"/>
      <c r="B32" s="2925" t="s">
        <v>2003</v>
      </c>
      <c r="C32" s="2926"/>
      <c r="D32" s="2926"/>
      <c r="E32" s="2926"/>
      <c r="F32" s="2926"/>
      <c r="G32" s="2926"/>
      <c r="H32" s="2926"/>
      <c r="I32" s="2927"/>
      <c r="J32" s="2929" t="s">
        <v>2004</v>
      </c>
      <c r="K32" s="2930"/>
      <c r="L32" s="2930"/>
      <c r="M32" s="2931"/>
      <c r="N32" s="2929" t="s">
        <v>2005</v>
      </c>
      <c r="O32" s="2930"/>
      <c r="P32" s="2930"/>
      <c r="Q32" s="2930"/>
      <c r="R32" s="2933" t="s">
        <v>2006</v>
      </c>
      <c r="S32" s="2934"/>
      <c r="T32" s="2934"/>
      <c r="U32" s="2934"/>
      <c r="V32" s="2934"/>
      <c r="W32" s="2934"/>
      <c r="X32" s="2934"/>
      <c r="Y32" s="2934"/>
      <c r="Z32" s="2934"/>
      <c r="AA32" s="2934"/>
      <c r="AB32" s="2934"/>
      <c r="AC32" s="2934"/>
      <c r="AD32" s="2934"/>
      <c r="AE32" s="2934"/>
      <c r="AF32" s="2934"/>
      <c r="AG32" s="2934"/>
      <c r="AH32" s="2934"/>
      <c r="AI32" s="2934"/>
      <c r="AJ32" s="2934"/>
      <c r="AK32" s="2934"/>
      <c r="AL32" s="2934"/>
      <c r="AM32" s="2934"/>
      <c r="AN32" s="2934"/>
      <c r="AO32" s="2934"/>
      <c r="AP32" s="2934"/>
      <c r="AQ32" s="2934"/>
      <c r="AR32" s="2934"/>
      <c r="AS32" s="2934"/>
      <c r="AT32" s="2934"/>
      <c r="AU32" s="2934"/>
      <c r="AV32" s="2934"/>
      <c r="AW32" s="2934"/>
      <c r="AX32" s="2934"/>
      <c r="AY32" s="2934"/>
      <c r="AZ32" s="2935"/>
      <c r="BA32" s="1763"/>
      <c r="BB32" s="1763"/>
      <c r="BC32" s="1763"/>
      <c r="BD32" s="1763"/>
      <c r="BE32" s="1769"/>
    </row>
    <row r="33" spans="1:58" ht="15" customHeight="1">
      <c r="A33" s="1763"/>
      <c r="B33" s="2928"/>
      <c r="C33" s="2926"/>
      <c r="D33" s="2926"/>
      <c r="E33" s="2926"/>
      <c r="F33" s="2926"/>
      <c r="G33" s="2926"/>
      <c r="H33" s="2926"/>
      <c r="I33" s="2927"/>
      <c r="J33" s="2932"/>
      <c r="K33" s="2930"/>
      <c r="L33" s="2930"/>
      <c r="M33" s="2931"/>
      <c r="N33" s="2932"/>
      <c r="O33" s="2930"/>
      <c r="P33" s="2930"/>
      <c r="Q33" s="2930"/>
      <c r="R33" s="2864" t="s">
        <v>2007</v>
      </c>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7"/>
      <c r="BA33" s="1770"/>
      <c r="BB33" s="1763"/>
      <c r="BC33" s="1763"/>
      <c r="BD33" s="1763"/>
      <c r="BE33" s="1769"/>
    </row>
    <row r="34" spans="1:58" ht="15.75" customHeight="1" thickBot="1">
      <c r="A34" s="1763"/>
      <c r="B34" s="2928"/>
      <c r="C34" s="2926"/>
      <c r="D34" s="2926"/>
      <c r="E34" s="2926"/>
      <c r="F34" s="2926"/>
      <c r="G34" s="2926"/>
      <c r="H34" s="2926"/>
      <c r="I34" s="2927"/>
      <c r="J34" s="2932"/>
      <c r="K34" s="2930"/>
      <c r="L34" s="2930"/>
      <c r="M34" s="2931"/>
      <c r="N34" s="2932"/>
      <c r="O34" s="2930"/>
      <c r="P34" s="2930"/>
      <c r="Q34" s="2930"/>
      <c r="R34" s="2938"/>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40"/>
      <c r="BA34" s="1770"/>
      <c r="BB34" s="1763"/>
      <c r="BC34" s="1763"/>
      <c r="BD34" s="1763"/>
      <c r="BE34" s="1769"/>
    </row>
    <row r="35" spans="1:58" ht="15.75" customHeight="1" thickBot="1">
      <c r="A35" s="1763"/>
      <c r="B35" s="2928"/>
      <c r="C35" s="2926"/>
      <c r="D35" s="2926"/>
      <c r="E35" s="2926"/>
      <c r="F35" s="2926"/>
      <c r="G35" s="2926"/>
      <c r="H35" s="2926"/>
      <c r="I35" s="2927"/>
      <c r="J35" s="2932"/>
      <c r="K35" s="2930"/>
      <c r="L35" s="2930"/>
      <c r="M35" s="2931"/>
      <c r="N35" s="2932"/>
      <c r="O35" s="2930"/>
      <c r="P35" s="2930"/>
      <c r="Q35" s="2930"/>
      <c r="R35" s="2910">
        <v>0.3</v>
      </c>
      <c r="S35" s="2911"/>
      <c r="T35" s="2911"/>
      <c r="U35" s="2912"/>
      <c r="V35" s="2910">
        <v>0.4</v>
      </c>
      <c r="W35" s="2911"/>
      <c r="X35" s="2911"/>
      <c r="Y35" s="2912"/>
      <c r="Z35" s="2910">
        <v>0.5</v>
      </c>
      <c r="AA35" s="2911"/>
      <c r="AB35" s="2911"/>
      <c r="AC35" s="2912"/>
      <c r="AD35" s="2910">
        <v>0.6</v>
      </c>
      <c r="AE35" s="2911"/>
      <c r="AF35" s="2911"/>
      <c r="AG35" s="2912"/>
      <c r="AH35" s="2910">
        <v>0.8</v>
      </c>
      <c r="AI35" s="2911"/>
      <c r="AJ35" s="2911"/>
      <c r="AK35" s="2912"/>
      <c r="AL35" s="2910" t="s">
        <v>2433</v>
      </c>
      <c r="AM35" s="2911"/>
      <c r="AN35" s="2912"/>
      <c r="AO35" s="2913" t="s">
        <v>2008</v>
      </c>
      <c r="AP35" s="2914"/>
      <c r="AQ35" s="2914"/>
      <c r="AR35" s="2914"/>
      <c r="AS35" s="2914"/>
      <c r="AT35" s="2915"/>
      <c r="AU35" s="2913" t="s">
        <v>2009</v>
      </c>
      <c r="AV35" s="2914"/>
      <c r="AW35" s="2914"/>
      <c r="AX35" s="2914"/>
      <c r="AY35" s="2914"/>
      <c r="AZ35" s="2915"/>
      <c r="BA35" s="1770"/>
      <c r="BB35" s="1763"/>
      <c r="BC35" s="1763"/>
      <c r="BD35" s="1763"/>
      <c r="BE35" s="1769"/>
      <c r="BF35" s="1761"/>
    </row>
    <row r="36" spans="1:58" ht="15.75" customHeight="1">
      <c r="A36" s="1763"/>
      <c r="B36" s="2901" t="s">
        <v>2010</v>
      </c>
      <c r="C36" s="2902"/>
      <c r="D36" s="2902"/>
      <c r="E36" s="2902"/>
      <c r="F36" s="2902"/>
      <c r="G36" s="2902"/>
      <c r="H36" s="2902"/>
      <c r="I36" s="2903"/>
      <c r="J36" s="2904" t="s">
        <v>2011</v>
      </c>
      <c r="K36" s="2905"/>
      <c r="L36" s="2905"/>
      <c r="M36" s="2906"/>
      <c r="N36" s="2907">
        <v>55</v>
      </c>
      <c r="O36" s="2908"/>
      <c r="P36" s="2908"/>
      <c r="Q36" s="2909"/>
      <c r="R36" s="2899">
        <v>10</v>
      </c>
      <c r="S36" s="2899"/>
      <c r="T36" s="2899"/>
      <c r="U36" s="2899"/>
      <c r="V36" s="2899">
        <v>30</v>
      </c>
      <c r="W36" s="2899"/>
      <c r="X36" s="2899"/>
      <c r="Y36" s="2899"/>
      <c r="Z36" s="2899"/>
      <c r="AA36" s="2899"/>
      <c r="AB36" s="2899"/>
      <c r="AC36" s="2899"/>
      <c r="AD36" s="2899"/>
      <c r="AE36" s="2899"/>
      <c r="AF36" s="2899"/>
      <c r="AG36" s="2899"/>
      <c r="AH36" s="2900"/>
      <c r="AI36" s="2900"/>
      <c r="AJ36" s="2900"/>
      <c r="AK36" s="2900"/>
      <c r="AL36" s="2900"/>
      <c r="AM36" s="2900"/>
      <c r="AN36" s="2900"/>
      <c r="AO36" s="2871">
        <f>SUM(R36:AN36)</f>
        <v>40</v>
      </c>
      <c r="AP36" s="2871"/>
      <c r="AQ36" s="2871"/>
      <c r="AR36" s="2871"/>
      <c r="AS36" s="2871"/>
      <c r="AT36" s="2871"/>
      <c r="AU36" s="2872">
        <f>AO36/$J$29</f>
        <v>0.48780487804878048</v>
      </c>
      <c r="AV36" s="2872"/>
      <c r="AW36" s="2872"/>
      <c r="AX36" s="2872"/>
      <c r="AY36" s="2872"/>
      <c r="AZ36" s="2872"/>
      <c r="BA36" s="1763"/>
      <c r="BB36" s="1763"/>
      <c r="BC36" s="1763"/>
      <c r="BD36" s="1763"/>
      <c r="BE36" s="1769"/>
      <c r="BF36" s="1761"/>
    </row>
    <row r="37" spans="1:58" ht="15.75" customHeight="1">
      <c r="A37" s="1763"/>
      <c r="B37" s="2894" t="s">
        <v>2012</v>
      </c>
      <c r="C37" s="2895"/>
      <c r="D37" s="2895"/>
      <c r="E37" s="2895"/>
      <c r="F37" s="2895"/>
      <c r="G37" s="2895"/>
      <c r="H37" s="2895"/>
      <c r="I37" s="2896"/>
      <c r="J37" s="2897" t="s">
        <v>2013</v>
      </c>
      <c r="K37" s="2885"/>
      <c r="L37" s="2885"/>
      <c r="M37" s="2898"/>
      <c r="N37" s="2884">
        <v>55</v>
      </c>
      <c r="O37" s="2885"/>
      <c r="P37" s="2885"/>
      <c r="Q37" s="2886"/>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2">SUM(R37:AN37)</f>
        <v>0</v>
      </c>
      <c r="AP37" s="2871"/>
      <c r="AQ37" s="2871"/>
      <c r="AR37" s="2871"/>
      <c r="AS37" s="2871"/>
      <c r="AT37" s="2871"/>
      <c r="AU37" s="2872">
        <f t="shared" ref="AU37:AU47" si="3">AO37/$J$29</f>
        <v>0</v>
      </c>
      <c r="AV37" s="2872"/>
      <c r="AW37" s="2872"/>
      <c r="AX37" s="2872"/>
      <c r="AY37" s="2872"/>
      <c r="AZ37" s="2872"/>
      <c r="BA37" s="1763"/>
      <c r="BB37" s="1763"/>
      <c r="BC37" s="1763"/>
      <c r="BD37" s="1763"/>
      <c r="BE37" s="1769"/>
      <c r="BF37" s="1761"/>
    </row>
    <row r="38" spans="1:58" ht="15.75" customHeight="1">
      <c r="A38" s="1763"/>
      <c r="B38" s="2894" t="s">
        <v>2014</v>
      </c>
      <c r="C38" s="2895"/>
      <c r="D38" s="2895"/>
      <c r="E38" s="2895"/>
      <c r="F38" s="2895"/>
      <c r="G38" s="2895"/>
      <c r="H38" s="2895"/>
      <c r="I38" s="2896"/>
      <c r="J38" s="2897" t="s">
        <v>2015</v>
      </c>
      <c r="K38" s="2885"/>
      <c r="L38" s="2885"/>
      <c r="M38" s="2898"/>
      <c r="N38" s="2884">
        <v>55</v>
      </c>
      <c r="O38" s="2885"/>
      <c r="P38" s="2885"/>
      <c r="Q38" s="2886"/>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2"/>
        <v>0</v>
      </c>
      <c r="AP38" s="2871"/>
      <c r="AQ38" s="2871"/>
      <c r="AR38" s="2871"/>
      <c r="AS38" s="2871"/>
      <c r="AT38" s="2871"/>
      <c r="AU38" s="2872">
        <f t="shared" si="3"/>
        <v>0</v>
      </c>
      <c r="AV38" s="2872"/>
      <c r="AW38" s="2872"/>
      <c r="AX38" s="2872"/>
      <c r="AY38" s="2872"/>
      <c r="AZ38" s="2872"/>
      <c r="BA38" s="1763"/>
      <c r="BB38" s="1763"/>
      <c r="BC38" s="1763"/>
      <c r="BD38" s="1763"/>
      <c r="BE38" s="1769"/>
      <c r="BF38" s="1761"/>
    </row>
    <row r="39" spans="1:58" ht="15.75" customHeight="1">
      <c r="A39" s="1763"/>
      <c r="B39" s="2894" t="s">
        <v>2016</v>
      </c>
      <c r="C39" s="2895"/>
      <c r="D39" s="2895"/>
      <c r="E39" s="2895"/>
      <c r="F39" s="2895"/>
      <c r="G39" s="2895"/>
      <c r="H39" s="2895"/>
      <c r="I39" s="2896"/>
      <c r="J39" s="2882"/>
      <c r="K39" s="2645"/>
      <c r="L39" s="2645"/>
      <c r="M39" s="2883"/>
      <c r="N39" s="2816"/>
      <c r="O39" s="2645"/>
      <c r="P39" s="2645"/>
      <c r="Q39" s="2887"/>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2"/>
        <v>0</v>
      </c>
      <c r="AP39" s="2871"/>
      <c r="AQ39" s="2871"/>
      <c r="AR39" s="2871"/>
      <c r="AS39" s="2871"/>
      <c r="AT39" s="2871"/>
      <c r="AU39" s="2872">
        <f t="shared" si="3"/>
        <v>0</v>
      </c>
      <c r="AV39" s="2872"/>
      <c r="AW39" s="2872"/>
      <c r="AX39" s="2872"/>
      <c r="AY39" s="2872"/>
      <c r="AZ39" s="2872"/>
      <c r="BA39" s="1763"/>
      <c r="BB39" s="1763"/>
      <c r="BC39" s="1763"/>
      <c r="BD39" s="1763"/>
      <c r="BE39" s="1769"/>
    </row>
    <row r="40" spans="1:58" ht="15.75" customHeight="1">
      <c r="A40" s="1763"/>
      <c r="B40" s="2894" t="s">
        <v>2016</v>
      </c>
      <c r="C40" s="2895"/>
      <c r="D40" s="2895"/>
      <c r="E40" s="2895"/>
      <c r="F40" s="2895"/>
      <c r="G40" s="2895"/>
      <c r="H40" s="2895"/>
      <c r="I40" s="2896"/>
      <c r="J40" s="2882"/>
      <c r="K40" s="2645"/>
      <c r="L40" s="2645"/>
      <c r="M40" s="2883"/>
      <c r="N40" s="2816"/>
      <c r="O40" s="2645"/>
      <c r="P40" s="2645"/>
      <c r="Q40" s="2887"/>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2"/>
        <v>0</v>
      </c>
      <c r="AP40" s="2871"/>
      <c r="AQ40" s="2871"/>
      <c r="AR40" s="2871"/>
      <c r="AS40" s="2871"/>
      <c r="AT40" s="2871"/>
      <c r="AU40" s="2872">
        <f t="shared" si="3"/>
        <v>0</v>
      </c>
      <c r="AV40" s="2872"/>
      <c r="AW40" s="2872"/>
      <c r="AX40" s="2872"/>
      <c r="AY40" s="2872"/>
      <c r="AZ40" s="2872"/>
      <c r="BA40" s="1763"/>
      <c r="BB40" s="1763"/>
      <c r="BC40" s="1763"/>
      <c r="BD40" s="1763"/>
      <c r="BE40" s="1769"/>
    </row>
    <row r="41" spans="1:58" ht="15.75" customHeight="1">
      <c r="A41" s="1763"/>
      <c r="B41" s="2891" t="s">
        <v>2017</v>
      </c>
      <c r="C41" s="2892"/>
      <c r="D41" s="2892"/>
      <c r="E41" s="2892"/>
      <c r="F41" s="2892"/>
      <c r="G41" s="2892"/>
      <c r="H41" s="2892"/>
      <c r="I41" s="2893"/>
      <c r="J41" s="2882"/>
      <c r="K41" s="2645"/>
      <c r="L41" s="2645"/>
      <c r="M41" s="2883"/>
      <c r="N41" s="2816"/>
      <c r="O41" s="2645"/>
      <c r="P41" s="2645"/>
      <c r="Q41" s="2887"/>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2"/>
        <v>0</v>
      </c>
      <c r="AP41" s="2871"/>
      <c r="AQ41" s="2871"/>
      <c r="AR41" s="2871"/>
      <c r="AS41" s="2871"/>
      <c r="AT41" s="2871"/>
      <c r="AU41" s="2872">
        <f t="shared" si="3"/>
        <v>0</v>
      </c>
      <c r="AV41" s="2872"/>
      <c r="AW41" s="2872"/>
      <c r="AX41" s="2872"/>
      <c r="AY41" s="2872"/>
      <c r="AZ41" s="2872"/>
      <c r="BA41" s="1763"/>
      <c r="BB41" s="1763"/>
      <c r="BC41" s="1763"/>
      <c r="BD41" s="1763"/>
      <c r="BE41" s="1769"/>
    </row>
    <row r="42" spans="1:58" ht="15.75" customHeight="1">
      <c r="A42" s="1763"/>
      <c r="B42" s="2891" t="s">
        <v>2017</v>
      </c>
      <c r="C42" s="2892"/>
      <c r="D42" s="2892"/>
      <c r="E42" s="2892"/>
      <c r="F42" s="2892"/>
      <c r="G42" s="2892"/>
      <c r="H42" s="2892"/>
      <c r="I42" s="2893"/>
      <c r="J42" s="2882"/>
      <c r="K42" s="2645"/>
      <c r="L42" s="2645"/>
      <c r="M42" s="2883"/>
      <c r="N42" s="2816"/>
      <c r="O42" s="2645"/>
      <c r="P42" s="2645"/>
      <c r="Q42" s="2887"/>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2"/>
        <v>0</v>
      </c>
      <c r="AP42" s="2871"/>
      <c r="AQ42" s="2871"/>
      <c r="AR42" s="2871"/>
      <c r="AS42" s="2871"/>
      <c r="AT42" s="2871"/>
      <c r="AU42" s="2872">
        <f t="shared" si="3"/>
        <v>0</v>
      </c>
      <c r="AV42" s="2872"/>
      <c r="AW42" s="2872"/>
      <c r="AX42" s="2872"/>
      <c r="AY42" s="2872"/>
      <c r="AZ42" s="2872"/>
      <c r="BA42" s="1763"/>
      <c r="BB42" s="1763"/>
      <c r="BC42" s="1763"/>
      <c r="BD42" s="1763"/>
      <c r="BE42" s="1769"/>
    </row>
    <row r="43" spans="1:58" ht="15.75" customHeight="1">
      <c r="A43" s="1763"/>
      <c r="B43" s="2888" t="s">
        <v>2018</v>
      </c>
      <c r="C43" s="2889"/>
      <c r="D43" s="2889"/>
      <c r="E43" s="2889"/>
      <c r="F43" s="2889"/>
      <c r="G43" s="2889"/>
      <c r="H43" s="2889"/>
      <c r="I43" s="2890"/>
      <c r="J43" s="2882"/>
      <c r="K43" s="2645"/>
      <c r="L43" s="2645"/>
      <c r="M43" s="2883"/>
      <c r="N43" s="2816"/>
      <c r="O43" s="2645"/>
      <c r="P43" s="2645"/>
      <c r="Q43" s="2887"/>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2"/>
        <v>0</v>
      </c>
      <c r="AP43" s="2871"/>
      <c r="AQ43" s="2871"/>
      <c r="AR43" s="2871"/>
      <c r="AS43" s="2871"/>
      <c r="AT43" s="2871"/>
      <c r="AU43" s="2872">
        <f t="shared" si="3"/>
        <v>0</v>
      </c>
      <c r="AV43" s="2872"/>
      <c r="AW43" s="2872"/>
      <c r="AX43" s="2872"/>
      <c r="AY43" s="2872"/>
      <c r="AZ43" s="2872"/>
      <c r="BA43" s="1763"/>
      <c r="BB43" s="1763"/>
      <c r="BC43" s="1763"/>
      <c r="BD43" s="1763"/>
      <c r="BE43" s="1769"/>
    </row>
    <row r="44" spans="1:58" ht="15.75" customHeight="1">
      <c r="A44" s="1763"/>
      <c r="B44" s="2888" t="s">
        <v>2019</v>
      </c>
      <c r="C44" s="2889"/>
      <c r="D44" s="2889"/>
      <c r="E44" s="2889"/>
      <c r="F44" s="2889"/>
      <c r="G44" s="2889"/>
      <c r="H44" s="2889"/>
      <c r="I44" s="2890"/>
      <c r="J44" s="2882"/>
      <c r="K44" s="2645"/>
      <c r="L44" s="2645"/>
      <c r="M44" s="2883"/>
      <c r="N44" s="2816"/>
      <c r="O44" s="2645"/>
      <c r="P44" s="2645"/>
      <c r="Q44" s="2887"/>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2"/>
        <v>0</v>
      </c>
      <c r="AP44" s="2871"/>
      <c r="AQ44" s="2871"/>
      <c r="AR44" s="2871"/>
      <c r="AS44" s="2871"/>
      <c r="AT44" s="2871"/>
      <c r="AU44" s="2872">
        <f t="shared" si="3"/>
        <v>0</v>
      </c>
      <c r="AV44" s="2872"/>
      <c r="AW44" s="2872"/>
      <c r="AX44" s="2872"/>
      <c r="AY44" s="2872"/>
      <c r="AZ44" s="2872"/>
      <c r="BA44" s="1763"/>
      <c r="BB44" s="1763"/>
      <c r="BC44" s="1763"/>
      <c r="BD44" s="1763"/>
      <c r="BE44" s="1769"/>
    </row>
    <row r="45" spans="1:58" ht="15.75" customHeight="1">
      <c r="A45" s="1763"/>
      <c r="B45" s="2879" t="s">
        <v>2020</v>
      </c>
      <c r="C45" s="2880"/>
      <c r="D45" s="2880"/>
      <c r="E45" s="2880"/>
      <c r="F45" s="2880"/>
      <c r="G45" s="2880"/>
      <c r="H45" s="2880"/>
      <c r="I45" s="2881"/>
      <c r="J45" s="2882"/>
      <c r="K45" s="2645"/>
      <c r="L45" s="2645"/>
      <c r="M45" s="2883"/>
      <c r="N45" s="2816"/>
      <c r="O45" s="2645"/>
      <c r="P45" s="2645"/>
      <c r="Q45" s="2887"/>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2"/>
        <v>0</v>
      </c>
      <c r="AP45" s="2871"/>
      <c r="AQ45" s="2871"/>
      <c r="AR45" s="2871"/>
      <c r="AS45" s="2871"/>
      <c r="AT45" s="2871"/>
      <c r="AU45" s="2872">
        <f t="shared" si="3"/>
        <v>0</v>
      </c>
      <c r="AV45" s="2872"/>
      <c r="AW45" s="2872"/>
      <c r="AX45" s="2872"/>
      <c r="AY45" s="2872"/>
      <c r="AZ45" s="2872"/>
      <c r="BA45" s="1763"/>
      <c r="BB45" s="1763"/>
      <c r="BC45" s="1763"/>
      <c r="BD45" s="1763"/>
      <c r="BE45" s="1769"/>
    </row>
    <row r="46" spans="1:58" ht="15.75" customHeight="1">
      <c r="A46" s="1763"/>
      <c r="B46" s="2879" t="s">
        <v>2021</v>
      </c>
      <c r="C46" s="2880"/>
      <c r="D46" s="2880"/>
      <c r="E46" s="2880"/>
      <c r="F46" s="2880"/>
      <c r="G46" s="2880"/>
      <c r="H46" s="2880"/>
      <c r="I46" s="2881"/>
      <c r="J46" s="2882"/>
      <c r="K46" s="2645"/>
      <c r="L46" s="2645"/>
      <c r="M46" s="2883"/>
      <c r="N46" s="2884">
        <v>99</v>
      </c>
      <c r="O46" s="2885"/>
      <c r="P46" s="2885"/>
      <c r="Q46" s="2886"/>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2"/>
        <v>0</v>
      </c>
      <c r="AP46" s="2871"/>
      <c r="AQ46" s="2871"/>
      <c r="AR46" s="2871"/>
      <c r="AS46" s="2871"/>
      <c r="AT46" s="2871"/>
      <c r="AU46" s="2872">
        <f t="shared" si="3"/>
        <v>0</v>
      </c>
      <c r="AV46" s="2872"/>
      <c r="AW46" s="2872"/>
      <c r="AX46" s="2872"/>
      <c r="AY46" s="2872"/>
      <c r="AZ46" s="2872"/>
      <c r="BA46" s="1763"/>
      <c r="BB46" s="1763"/>
      <c r="BC46" s="1763"/>
      <c r="BD46" s="1763"/>
      <c r="BE46" s="1769"/>
    </row>
    <row r="47" spans="1:58" ht="15.75" customHeight="1" thickBot="1">
      <c r="A47" s="1763"/>
      <c r="B47" s="2873" t="s">
        <v>308</v>
      </c>
      <c r="C47" s="2874"/>
      <c r="D47" s="2874"/>
      <c r="E47" s="2874"/>
      <c r="F47" s="2874"/>
      <c r="G47" s="2874"/>
      <c r="H47" s="2874"/>
      <c r="I47" s="2875"/>
      <c r="J47" s="2876"/>
      <c r="K47" s="2782"/>
      <c r="L47" s="2782"/>
      <c r="M47" s="2783"/>
      <c r="N47" s="2877"/>
      <c r="O47" s="2782"/>
      <c r="P47" s="2782"/>
      <c r="Q47" s="2878"/>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2"/>
        <v>0</v>
      </c>
      <c r="AP47" s="2871"/>
      <c r="AQ47" s="2871"/>
      <c r="AR47" s="2871"/>
      <c r="AS47" s="2871"/>
      <c r="AT47" s="2871"/>
      <c r="AU47" s="2872">
        <f t="shared" si="3"/>
        <v>0</v>
      </c>
      <c r="AV47" s="2872"/>
      <c r="AW47" s="2872"/>
      <c r="AX47" s="2872"/>
      <c r="AY47" s="2872"/>
      <c r="AZ47" s="2872"/>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8" t="s">
        <v>2023</v>
      </c>
      <c r="C50" s="2729"/>
      <c r="D50" s="2729"/>
      <c r="E50" s="2729"/>
      <c r="F50" s="2729"/>
      <c r="G50" s="2729"/>
      <c r="H50" s="2729"/>
      <c r="I50" s="2729"/>
      <c r="J50" s="2729"/>
      <c r="K50" s="2729"/>
      <c r="L50" s="2729"/>
      <c r="M50" s="2729"/>
      <c r="N50" s="2729"/>
      <c r="O50" s="2729"/>
      <c r="P50" s="2729"/>
      <c r="Q50" s="2729"/>
      <c r="R50" s="2729"/>
      <c r="S50" s="2729"/>
      <c r="T50" s="2729"/>
      <c r="U50" s="2729"/>
      <c r="V50" s="2729"/>
      <c r="W50" s="2729"/>
      <c r="X50" s="2729"/>
      <c r="Y50" s="2729"/>
      <c r="Z50" s="2729"/>
      <c r="AA50" s="2729"/>
      <c r="AB50" s="2729"/>
      <c r="AC50" s="2729"/>
      <c r="AD50" s="2729"/>
      <c r="AE50" s="2729"/>
      <c r="AF50" s="2729"/>
      <c r="AG50" s="2729"/>
      <c r="AH50" s="2729"/>
      <c r="AI50" s="2729"/>
      <c r="AJ50" s="2729"/>
      <c r="AK50" s="2729"/>
      <c r="AL50" s="2729"/>
      <c r="AM50" s="2729"/>
      <c r="AN50" s="2729"/>
      <c r="AO50" s="286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1" t="s">
        <v>2024</v>
      </c>
      <c r="C51" s="2862"/>
      <c r="D51" s="2862"/>
      <c r="E51" s="2862"/>
      <c r="F51" s="2862"/>
      <c r="G51" s="2862"/>
      <c r="H51" s="2862"/>
      <c r="I51" s="2863"/>
      <c r="J51" s="2861" t="s">
        <v>2025</v>
      </c>
      <c r="K51" s="2862"/>
      <c r="L51" s="2862"/>
      <c r="M51" s="2862"/>
      <c r="N51" s="2862"/>
      <c r="O51" s="2862"/>
      <c r="P51" s="2862"/>
      <c r="Q51" s="2863"/>
      <c r="R51" s="2864" t="s">
        <v>2026</v>
      </c>
      <c r="S51" s="2865"/>
      <c r="T51" s="2865"/>
      <c r="U51" s="2865"/>
      <c r="V51" s="2865"/>
      <c r="W51" s="2865"/>
      <c r="X51" s="2865"/>
      <c r="Y51" s="2866"/>
      <c r="Z51" s="2867" t="s">
        <v>2027</v>
      </c>
      <c r="AA51" s="2868"/>
      <c r="AB51" s="2868"/>
      <c r="AC51" s="2868"/>
      <c r="AD51" s="2868"/>
      <c r="AE51" s="2868"/>
      <c r="AF51" s="2868"/>
      <c r="AG51" s="2869"/>
      <c r="AH51" s="2867" t="s">
        <v>2028</v>
      </c>
      <c r="AI51" s="2868"/>
      <c r="AJ51" s="2868"/>
      <c r="AK51" s="2868"/>
      <c r="AL51" s="2868"/>
      <c r="AM51" s="2868"/>
      <c r="AN51" s="2868"/>
      <c r="AO51" s="286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6" t="s">
        <v>2455</v>
      </c>
      <c r="C52" s="2837"/>
      <c r="D52" s="2837"/>
      <c r="E52" s="2837"/>
      <c r="F52" s="2837"/>
      <c r="G52" s="2837"/>
      <c r="H52" s="2837"/>
      <c r="I52" s="2837"/>
      <c r="J52" s="2837">
        <v>0</v>
      </c>
      <c r="K52" s="2837"/>
      <c r="L52" s="2837"/>
      <c r="M52" s="2837"/>
      <c r="N52" s="2837"/>
      <c r="O52" s="2837"/>
      <c r="P52" s="2837"/>
      <c r="Q52" s="2837"/>
      <c r="R52" s="2856">
        <v>0</v>
      </c>
      <c r="S52" s="2856"/>
      <c r="T52" s="2856"/>
      <c r="U52" s="2856"/>
      <c r="V52" s="2856"/>
      <c r="W52" s="2856"/>
      <c r="X52" s="2856"/>
      <c r="Y52" s="2856"/>
      <c r="Z52" s="2857"/>
      <c r="AA52" s="2857"/>
      <c r="AB52" s="2857"/>
      <c r="AC52" s="2857"/>
      <c r="AD52" s="2857"/>
      <c r="AE52" s="2857"/>
      <c r="AF52" s="2857"/>
      <c r="AG52" s="2857"/>
      <c r="AH52" s="2858">
        <v>0</v>
      </c>
      <c r="AI52" s="2858"/>
      <c r="AJ52" s="2858"/>
      <c r="AK52" s="2858"/>
      <c r="AL52" s="2858"/>
      <c r="AM52" s="2858"/>
      <c r="AN52" s="2858"/>
      <c r="AO52" s="285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6" t="s">
        <v>2456</v>
      </c>
      <c r="C53" s="2837"/>
      <c r="D53" s="2837"/>
      <c r="E53" s="2837"/>
      <c r="F53" s="2837"/>
      <c r="G53" s="2837"/>
      <c r="H53" s="2837"/>
      <c r="I53" s="2837"/>
      <c r="J53" s="2837"/>
      <c r="K53" s="2837"/>
      <c r="L53" s="2837"/>
      <c r="M53" s="2837"/>
      <c r="N53" s="2837"/>
      <c r="O53" s="2837"/>
      <c r="P53" s="2837"/>
      <c r="Q53" s="2837"/>
      <c r="R53" s="2856">
        <v>0</v>
      </c>
      <c r="S53" s="2856"/>
      <c r="T53" s="2856"/>
      <c r="U53" s="2856"/>
      <c r="V53" s="2856"/>
      <c r="W53" s="2856"/>
      <c r="X53" s="2856"/>
      <c r="Y53" s="2856"/>
      <c r="Z53" s="2857"/>
      <c r="AA53" s="2857"/>
      <c r="AB53" s="2857"/>
      <c r="AC53" s="2857"/>
      <c r="AD53" s="2857"/>
      <c r="AE53" s="2857"/>
      <c r="AF53" s="2857"/>
      <c r="AG53" s="2857"/>
      <c r="AH53" s="2858">
        <v>0</v>
      </c>
      <c r="AI53" s="2858"/>
      <c r="AJ53" s="2858"/>
      <c r="AK53" s="2858"/>
      <c r="AL53" s="2858"/>
      <c r="AM53" s="2858"/>
      <c r="AN53" s="2858"/>
      <c r="AO53" s="285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6"/>
      <c r="C54" s="2837"/>
      <c r="D54" s="2837"/>
      <c r="E54" s="2837"/>
      <c r="F54" s="2837"/>
      <c r="G54" s="2837"/>
      <c r="H54" s="2837"/>
      <c r="I54" s="2837"/>
      <c r="J54" s="2837"/>
      <c r="K54" s="2837"/>
      <c r="L54" s="2837"/>
      <c r="M54" s="2837"/>
      <c r="N54" s="2837"/>
      <c r="O54" s="2837"/>
      <c r="P54" s="2837"/>
      <c r="Q54" s="2837"/>
      <c r="R54" s="2856">
        <v>0</v>
      </c>
      <c r="S54" s="2856"/>
      <c r="T54" s="2856"/>
      <c r="U54" s="2856"/>
      <c r="V54" s="2856"/>
      <c r="W54" s="2856"/>
      <c r="X54" s="2856"/>
      <c r="Y54" s="2856"/>
      <c r="Z54" s="2857"/>
      <c r="AA54" s="2857"/>
      <c r="AB54" s="2857"/>
      <c r="AC54" s="2857"/>
      <c r="AD54" s="2857"/>
      <c r="AE54" s="2857"/>
      <c r="AF54" s="2857"/>
      <c r="AG54" s="2857"/>
      <c r="AH54" s="2858">
        <v>0</v>
      </c>
      <c r="AI54" s="2858"/>
      <c r="AJ54" s="2858"/>
      <c r="AK54" s="2858"/>
      <c r="AL54" s="2858"/>
      <c r="AM54" s="2858"/>
      <c r="AN54" s="2858"/>
      <c r="AO54" s="285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6"/>
      <c r="C55" s="2837"/>
      <c r="D55" s="2837"/>
      <c r="E55" s="2837"/>
      <c r="F55" s="2837"/>
      <c r="G55" s="2837"/>
      <c r="H55" s="2837"/>
      <c r="I55" s="2837"/>
      <c r="J55" s="2837"/>
      <c r="K55" s="2837"/>
      <c r="L55" s="2837"/>
      <c r="M55" s="2837"/>
      <c r="N55" s="2837"/>
      <c r="O55" s="2837"/>
      <c r="P55" s="2837"/>
      <c r="Q55" s="2837"/>
      <c r="R55" s="2856">
        <v>0</v>
      </c>
      <c r="S55" s="2856"/>
      <c r="T55" s="2856"/>
      <c r="U55" s="2856"/>
      <c r="V55" s="2856"/>
      <c r="W55" s="2856"/>
      <c r="X55" s="2856"/>
      <c r="Y55" s="2856"/>
      <c r="Z55" s="2857"/>
      <c r="AA55" s="2857"/>
      <c r="AB55" s="2857"/>
      <c r="AC55" s="2857"/>
      <c r="AD55" s="2857"/>
      <c r="AE55" s="2857"/>
      <c r="AF55" s="2857"/>
      <c r="AG55" s="2857"/>
      <c r="AH55" s="2858">
        <v>0</v>
      </c>
      <c r="AI55" s="2858"/>
      <c r="AJ55" s="2858"/>
      <c r="AK55" s="2858"/>
      <c r="AL55" s="2858"/>
      <c r="AM55" s="2858"/>
      <c r="AN55" s="2858"/>
      <c r="AO55" s="2859"/>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0"/>
      <c r="C56" s="2841"/>
      <c r="D56" s="2841"/>
      <c r="E56" s="2841"/>
      <c r="F56" s="2841"/>
      <c r="G56" s="2841"/>
      <c r="H56" s="2841"/>
      <c r="I56" s="2841"/>
      <c r="J56" s="2841"/>
      <c r="K56" s="2841"/>
      <c r="L56" s="2841"/>
      <c r="M56" s="2841"/>
      <c r="N56" s="2841"/>
      <c r="O56" s="2841"/>
      <c r="P56" s="2841"/>
      <c r="Q56" s="2841"/>
      <c r="R56" s="2847">
        <v>0</v>
      </c>
      <c r="S56" s="2847"/>
      <c r="T56" s="2847"/>
      <c r="U56" s="2847"/>
      <c r="V56" s="2847"/>
      <c r="W56" s="2847"/>
      <c r="X56" s="2847"/>
      <c r="Y56" s="2847"/>
      <c r="Z56" s="2848"/>
      <c r="AA56" s="2848"/>
      <c r="AB56" s="2848"/>
      <c r="AC56" s="2848"/>
      <c r="AD56" s="2848"/>
      <c r="AE56" s="2848"/>
      <c r="AF56" s="2848"/>
      <c r="AG56" s="2848"/>
      <c r="AH56" s="2849"/>
      <c r="AI56" s="2849"/>
      <c r="AJ56" s="2849"/>
      <c r="AK56" s="2849"/>
      <c r="AL56" s="2849"/>
      <c r="AM56" s="2849"/>
      <c r="AN56" s="2849"/>
      <c r="AO56" s="285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1" t="s">
        <v>1872</v>
      </c>
      <c r="C57" s="2852"/>
      <c r="D57" s="2852"/>
      <c r="E57" s="2852"/>
      <c r="F57" s="2852"/>
      <c r="G57" s="2852"/>
      <c r="H57" s="2852"/>
      <c r="I57" s="2852"/>
      <c r="J57" s="2852"/>
      <c r="K57" s="2852"/>
      <c r="L57" s="2852"/>
      <c r="M57" s="2852"/>
      <c r="N57" s="2852"/>
      <c r="O57" s="2852"/>
      <c r="P57" s="2852"/>
      <c r="Q57" s="2852"/>
      <c r="R57" s="2853">
        <f>SUM(R52:Y56)</f>
        <v>0</v>
      </c>
      <c r="S57" s="2853"/>
      <c r="T57" s="2853"/>
      <c r="U57" s="2853"/>
      <c r="V57" s="2853"/>
      <c r="W57" s="2853"/>
      <c r="X57" s="2853"/>
      <c r="Y57" s="2853"/>
      <c r="Z57" s="2854">
        <f t="shared" ref="Z57" si="4">SUM(Z52:AG56)</f>
        <v>0</v>
      </c>
      <c r="AA57" s="2854"/>
      <c r="AB57" s="2854"/>
      <c r="AC57" s="2854"/>
      <c r="AD57" s="2854"/>
      <c r="AE57" s="2854"/>
      <c r="AF57" s="2854"/>
      <c r="AG57" s="2854"/>
      <c r="AH57" s="2855">
        <f>SUM(AH52:AO56)</f>
        <v>0</v>
      </c>
      <c r="AI57" s="2855"/>
      <c r="AJ57" s="2855"/>
      <c r="AK57" s="2855"/>
      <c r="AL57" s="2855"/>
      <c r="AM57" s="2855"/>
      <c r="AN57" s="2855"/>
      <c r="AO57" s="285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4" t="s">
        <v>2024</v>
      </c>
      <c r="C59" s="2845"/>
      <c r="D59" s="2845"/>
      <c r="E59" s="2845"/>
      <c r="F59" s="2845"/>
      <c r="G59" s="2845"/>
      <c r="H59" s="2845"/>
      <c r="I59" s="2846"/>
      <c r="J59" s="2653" t="s">
        <v>2029</v>
      </c>
      <c r="K59" s="2653"/>
      <c r="L59" s="2653"/>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c r="AS59" s="2653"/>
      <c r="AT59" s="2653"/>
      <c r="AU59" s="2653"/>
      <c r="AV59" s="2653"/>
      <c r="AW59" s="2654"/>
      <c r="AX59" s="1763"/>
      <c r="AY59" s="1763"/>
      <c r="AZ59" s="1763"/>
      <c r="BA59" s="1763"/>
      <c r="BB59" s="1763"/>
      <c r="BC59" s="1763"/>
      <c r="BD59" s="1763"/>
      <c r="BE59" s="1769"/>
    </row>
    <row r="60" spans="1:58" ht="15.75" customHeight="1">
      <c r="A60" s="1763"/>
      <c r="B60" s="2836" t="str">
        <f>IF(B52="", "", B52)</f>
        <v>Services Company 1</v>
      </c>
      <c r="C60" s="2837"/>
      <c r="D60" s="2837"/>
      <c r="E60" s="2837"/>
      <c r="F60" s="2837"/>
      <c r="G60" s="2837"/>
      <c r="H60" s="2837"/>
      <c r="I60" s="2838"/>
      <c r="J60" s="2839"/>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8"/>
      <c r="AX60" s="1763"/>
      <c r="AY60" s="1763"/>
      <c r="AZ60" s="1763"/>
      <c r="BA60" s="1763"/>
      <c r="BB60" s="1763"/>
      <c r="BC60" s="1763"/>
      <c r="BD60" s="1763"/>
      <c r="BE60" s="1769"/>
    </row>
    <row r="61" spans="1:58" ht="15.75" customHeight="1">
      <c r="A61" s="1763"/>
      <c r="B61" s="2836" t="str">
        <f t="shared" ref="B61:B64" si="5">IF(B53="", "", B53)</f>
        <v>Services Company 2</v>
      </c>
      <c r="C61" s="2837"/>
      <c r="D61" s="2837"/>
      <c r="E61" s="2837"/>
      <c r="F61" s="2837"/>
      <c r="G61" s="2837"/>
      <c r="H61" s="2837"/>
      <c r="I61" s="2838"/>
      <c r="J61" s="2839"/>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8"/>
      <c r="AX61" s="1763"/>
      <c r="AY61" s="1763"/>
      <c r="AZ61" s="1763"/>
      <c r="BA61" s="1763"/>
      <c r="BB61" s="1763"/>
      <c r="BC61" s="1763"/>
      <c r="BD61" s="1763"/>
      <c r="BE61" s="1769"/>
    </row>
    <row r="62" spans="1:58" ht="15.75" customHeight="1">
      <c r="A62" s="1763"/>
      <c r="B62" s="2836" t="str">
        <f t="shared" si="5"/>
        <v/>
      </c>
      <c r="C62" s="2837"/>
      <c r="D62" s="2837"/>
      <c r="E62" s="2837"/>
      <c r="F62" s="2837"/>
      <c r="G62" s="2837"/>
      <c r="H62" s="2837"/>
      <c r="I62" s="2838"/>
      <c r="J62" s="2839"/>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8"/>
      <c r="AX62" s="1763"/>
      <c r="AY62" s="1763"/>
      <c r="AZ62" s="1763"/>
      <c r="BA62" s="1763"/>
      <c r="BB62" s="1763"/>
      <c r="BC62" s="1763"/>
      <c r="BD62" s="1763"/>
      <c r="BE62" s="1769"/>
    </row>
    <row r="63" spans="1:58" ht="15.75" customHeight="1">
      <c r="A63" s="1763"/>
      <c r="B63" s="2836" t="str">
        <f t="shared" si="5"/>
        <v/>
      </c>
      <c r="C63" s="2837"/>
      <c r="D63" s="2837"/>
      <c r="E63" s="2837"/>
      <c r="F63" s="2837"/>
      <c r="G63" s="2837"/>
      <c r="H63" s="2837"/>
      <c r="I63" s="2838"/>
      <c r="J63" s="2839"/>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8"/>
      <c r="AX63" s="1763"/>
      <c r="AY63" s="1763"/>
      <c r="AZ63" s="1763"/>
      <c r="BA63" s="1763"/>
      <c r="BB63" s="1763"/>
      <c r="BC63" s="1763"/>
      <c r="BD63" s="1763"/>
      <c r="BE63" s="1769"/>
    </row>
    <row r="64" spans="1:58" ht="15.75" customHeight="1" thickBot="1">
      <c r="A64" s="1763"/>
      <c r="B64" s="2840" t="str">
        <f t="shared" si="5"/>
        <v/>
      </c>
      <c r="C64" s="2841"/>
      <c r="D64" s="2841"/>
      <c r="E64" s="2841"/>
      <c r="F64" s="2841"/>
      <c r="G64" s="2841"/>
      <c r="H64" s="2841"/>
      <c r="I64" s="2842"/>
      <c r="J64" s="2843"/>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9" t="s">
        <v>2031</v>
      </c>
      <c r="C68" s="2700"/>
      <c r="D68" s="2700"/>
      <c r="E68" s="2700"/>
      <c r="F68" s="2700"/>
      <c r="G68" s="2700"/>
      <c r="H68" s="2700"/>
      <c r="I68" s="2700"/>
      <c r="J68" s="2700"/>
      <c r="K68" s="2700"/>
      <c r="L68" s="2700"/>
      <c r="M68" s="2700"/>
      <c r="N68" s="2700"/>
      <c r="O68" s="2700"/>
      <c r="P68" s="2700"/>
      <c r="Q68" s="2700"/>
      <c r="R68" s="2700"/>
      <c r="S68" s="2700"/>
      <c r="T68" s="2700"/>
      <c r="U68" s="2700"/>
      <c r="V68" s="2700"/>
      <c r="W68" s="2700"/>
      <c r="X68" s="2700"/>
      <c r="Y68" s="2700"/>
      <c r="Z68" s="2700"/>
      <c r="AA68" s="2701"/>
      <c r="AB68" s="1763"/>
      <c r="AC68" s="2798" t="s">
        <v>2032</v>
      </c>
      <c r="AD68" s="2799"/>
      <c r="AE68" s="2799"/>
      <c r="AF68" s="2799"/>
      <c r="AG68" s="2799"/>
      <c r="AH68" s="2799"/>
      <c r="AI68" s="2799"/>
      <c r="AJ68" s="2799"/>
      <c r="AK68" s="2799"/>
      <c r="AL68" s="2799"/>
      <c r="AM68" s="2799"/>
      <c r="AN68" s="2799"/>
      <c r="AO68" s="2799"/>
      <c r="AP68" s="2799"/>
      <c r="AQ68" s="2799"/>
      <c r="AR68" s="2799"/>
      <c r="AS68" s="2799"/>
      <c r="AT68" s="2799"/>
      <c r="AU68" s="2799"/>
      <c r="AV68" s="2831" t="s">
        <v>1989</v>
      </c>
      <c r="AW68" s="2831"/>
      <c r="AX68" s="2831"/>
      <c r="AY68" s="2831"/>
      <c r="AZ68" s="2831"/>
      <c r="BA68" s="2831"/>
      <c r="BB68" s="2831"/>
      <c r="BC68" s="2832"/>
      <c r="BD68" s="1763"/>
      <c r="BE68" s="1769"/>
    </row>
    <row r="69" spans="1:57" ht="15.75" customHeight="1" thickBot="1">
      <c r="A69" s="1763"/>
      <c r="B69" s="2833" t="s">
        <v>2033</v>
      </c>
      <c r="C69" s="2806"/>
      <c r="D69" s="2806"/>
      <c r="E69" s="2806"/>
      <c r="F69" s="2806"/>
      <c r="G69" s="2806"/>
      <c r="H69" s="2806"/>
      <c r="I69" s="2806"/>
      <c r="J69" s="2806"/>
      <c r="K69" s="2806"/>
      <c r="L69" s="2806"/>
      <c r="M69" s="2806"/>
      <c r="N69" s="2806"/>
      <c r="O69" s="2834" t="s">
        <v>2034</v>
      </c>
      <c r="P69" s="2631"/>
      <c r="Q69" s="2631"/>
      <c r="R69" s="2631"/>
      <c r="S69" s="2631"/>
      <c r="T69" s="2631"/>
      <c r="U69" s="2631"/>
      <c r="V69" s="2631"/>
      <c r="W69" s="2631"/>
      <c r="X69" s="2631"/>
      <c r="Y69" s="2631"/>
      <c r="Z69" s="2631"/>
      <c r="AA69" s="2632"/>
      <c r="AB69" s="1763"/>
      <c r="AC69" s="2573" t="s">
        <v>2035</v>
      </c>
      <c r="AD69" s="2574"/>
      <c r="AE69" s="2574"/>
      <c r="AF69" s="2574"/>
      <c r="AG69" s="2574"/>
      <c r="AH69" s="2574"/>
      <c r="AI69" s="2574"/>
      <c r="AJ69" s="2574"/>
      <c r="AK69" s="2574"/>
      <c r="AL69" s="2574"/>
      <c r="AM69" s="2574"/>
      <c r="AN69" s="2574"/>
      <c r="AO69" s="2574"/>
      <c r="AP69" s="2574"/>
      <c r="AQ69" s="2574"/>
      <c r="AR69" s="2574"/>
      <c r="AS69" s="2574"/>
      <c r="AT69" s="2574"/>
      <c r="AU69" s="2574"/>
      <c r="AV69" s="2678">
        <v>44563</v>
      </c>
      <c r="AW69" s="2677"/>
      <c r="AX69" s="2677"/>
      <c r="AY69" s="2677"/>
      <c r="AZ69" s="2677"/>
      <c r="BA69" s="2677"/>
      <c r="BB69" s="2677"/>
      <c r="BC69" s="2835"/>
      <c r="BD69" s="1763"/>
      <c r="BE69" s="1769"/>
    </row>
    <row r="70" spans="1:57" ht="15.75" customHeight="1">
      <c r="A70" s="1763"/>
      <c r="B70" s="2827"/>
      <c r="C70" s="2828"/>
      <c r="D70" s="2828"/>
      <c r="E70" s="2828"/>
      <c r="F70" s="2828"/>
      <c r="G70" s="2828"/>
      <c r="H70" s="2828"/>
      <c r="I70" s="2828"/>
      <c r="J70" s="2828"/>
      <c r="K70" s="2828"/>
      <c r="L70" s="2828"/>
      <c r="M70" s="2828"/>
      <c r="N70" s="2828"/>
      <c r="O70" s="2817">
        <v>1</v>
      </c>
      <c r="P70" s="2817"/>
      <c r="Q70" s="2817"/>
      <c r="R70" s="2817"/>
      <c r="S70" s="2817"/>
      <c r="T70" s="2817"/>
      <c r="U70" s="2817"/>
      <c r="V70" s="2817"/>
      <c r="W70" s="2817"/>
      <c r="X70" s="2817"/>
      <c r="Y70" s="2817"/>
      <c r="Z70" s="2817"/>
      <c r="AA70" s="2818"/>
      <c r="AB70" s="1763"/>
      <c r="AC70" s="2829" t="s">
        <v>2036</v>
      </c>
      <c r="AD70" s="2830"/>
      <c r="AE70" s="2830"/>
      <c r="AF70" s="2785"/>
      <c r="AG70" s="2785"/>
      <c r="AH70" s="2785"/>
      <c r="AI70" s="2785"/>
      <c r="AJ70" s="2785"/>
      <c r="AK70" s="2785"/>
      <c r="AL70" s="2785"/>
      <c r="AM70" s="2785"/>
      <c r="AN70" s="2785"/>
      <c r="AO70" s="2785"/>
      <c r="AP70" s="2785"/>
      <c r="AQ70" s="2785"/>
      <c r="AR70" s="2785"/>
      <c r="AS70" s="2785"/>
      <c r="AT70" s="2785"/>
      <c r="AU70" s="2786"/>
      <c r="AV70" s="1763"/>
      <c r="AW70" s="1763"/>
      <c r="AX70" s="1763"/>
      <c r="AY70" s="1763"/>
      <c r="AZ70" s="1763"/>
      <c r="BA70" s="1763"/>
      <c r="BB70" s="1763"/>
      <c r="BC70" s="1763"/>
      <c r="BD70" s="1763"/>
      <c r="BE70" s="1769"/>
    </row>
    <row r="71" spans="1:57" ht="15.75" customHeight="1" thickBot="1">
      <c r="A71" s="1763"/>
      <c r="B71" s="2816"/>
      <c r="C71" s="2645"/>
      <c r="D71" s="2645"/>
      <c r="E71" s="2645"/>
      <c r="F71" s="2645"/>
      <c r="G71" s="2645"/>
      <c r="H71" s="2645"/>
      <c r="I71" s="2645"/>
      <c r="J71" s="2645"/>
      <c r="K71" s="2645"/>
      <c r="L71" s="2645"/>
      <c r="M71" s="2645"/>
      <c r="N71" s="2645"/>
      <c r="O71" s="2817"/>
      <c r="P71" s="2817"/>
      <c r="Q71" s="2817"/>
      <c r="R71" s="2817"/>
      <c r="S71" s="2817"/>
      <c r="T71" s="2817"/>
      <c r="U71" s="2817"/>
      <c r="V71" s="2817"/>
      <c r="W71" s="2817"/>
      <c r="X71" s="2817"/>
      <c r="Y71" s="2817"/>
      <c r="Z71" s="2817"/>
      <c r="AA71" s="2818"/>
      <c r="AB71" s="1763"/>
      <c r="AC71" s="2581" t="s">
        <v>2037</v>
      </c>
      <c r="AD71" s="2582"/>
      <c r="AE71" s="2582"/>
      <c r="AF71" s="2782"/>
      <c r="AG71" s="2782"/>
      <c r="AH71" s="2782"/>
      <c r="AI71" s="2782"/>
      <c r="AJ71" s="2782"/>
      <c r="AK71" s="2782"/>
      <c r="AL71" s="2782"/>
      <c r="AM71" s="2782"/>
      <c r="AN71" s="2782"/>
      <c r="AO71" s="2782"/>
      <c r="AP71" s="2782"/>
      <c r="AQ71" s="2782"/>
      <c r="AR71" s="2782"/>
      <c r="AS71" s="2782"/>
      <c r="AT71" s="2782"/>
      <c r="AU71" s="2783"/>
      <c r="AV71" s="1763"/>
      <c r="AW71" s="1763"/>
      <c r="AX71" s="1763"/>
      <c r="AY71" s="1763"/>
      <c r="AZ71" s="1763"/>
      <c r="BA71" s="1763"/>
      <c r="BB71" s="1763"/>
      <c r="BC71" s="1763"/>
      <c r="BD71" s="1763"/>
      <c r="BE71" s="1769"/>
    </row>
    <row r="72" spans="1:57" ht="15.75" customHeight="1">
      <c r="A72" s="1763"/>
      <c r="B72" s="2816"/>
      <c r="C72" s="2645"/>
      <c r="D72" s="2645"/>
      <c r="E72" s="2645"/>
      <c r="F72" s="2645"/>
      <c r="G72" s="2645"/>
      <c r="H72" s="2645"/>
      <c r="I72" s="2645"/>
      <c r="J72" s="2645"/>
      <c r="K72" s="2645"/>
      <c r="L72" s="2645"/>
      <c r="M72" s="2645"/>
      <c r="N72" s="2645"/>
      <c r="O72" s="2817"/>
      <c r="P72" s="2817"/>
      <c r="Q72" s="2817"/>
      <c r="R72" s="2817"/>
      <c r="S72" s="2817"/>
      <c r="T72" s="2817"/>
      <c r="U72" s="2817"/>
      <c r="V72" s="2817"/>
      <c r="W72" s="2817"/>
      <c r="X72" s="2817"/>
      <c r="Y72" s="2817"/>
      <c r="Z72" s="2817"/>
      <c r="AA72" s="2818"/>
      <c r="AB72" s="1763"/>
      <c r="AC72" s="2819" t="s">
        <v>2038</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763"/>
      <c r="BE72" s="1769"/>
    </row>
    <row r="73" spans="1:57" ht="15.75" customHeight="1">
      <c r="A73" s="1763"/>
      <c r="B73" s="2816"/>
      <c r="C73" s="2645"/>
      <c r="D73" s="2645"/>
      <c r="E73" s="2645"/>
      <c r="F73" s="2645"/>
      <c r="G73" s="2645"/>
      <c r="H73" s="2645"/>
      <c r="I73" s="2645"/>
      <c r="J73" s="2645"/>
      <c r="K73" s="2645"/>
      <c r="L73" s="2645"/>
      <c r="M73" s="2645"/>
      <c r="N73" s="2645"/>
      <c r="O73" s="2817"/>
      <c r="P73" s="2817"/>
      <c r="Q73" s="2817"/>
      <c r="R73" s="2817"/>
      <c r="S73" s="2817"/>
      <c r="T73" s="2817"/>
      <c r="U73" s="2817"/>
      <c r="V73" s="2817"/>
      <c r="W73" s="2817"/>
      <c r="X73" s="2817"/>
      <c r="Y73" s="2817"/>
      <c r="Z73" s="2817"/>
      <c r="AA73" s="2818"/>
      <c r="AB73" s="1763"/>
      <c r="AC73" s="2762" t="s">
        <v>2457</v>
      </c>
      <c r="AD73" s="2763"/>
      <c r="AE73" s="2763"/>
      <c r="AF73" s="2763"/>
      <c r="AG73" s="2763"/>
      <c r="AH73" s="2763"/>
      <c r="AI73" s="2763"/>
      <c r="AJ73" s="2763"/>
      <c r="AK73" s="2763"/>
      <c r="AL73" s="2763"/>
      <c r="AM73" s="2763"/>
      <c r="AN73" s="2763"/>
      <c r="AO73" s="2763"/>
      <c r="AP73" s="2763"/>
      <c r="AQ73" s="2763"/>
      <c r="AR73" s="2763"/>
      <c r="AS73" s="2763"/>
      <c r="AT73" s="2763"/>
      <c r="AU73" s="2763"/>
      <c r="AV73" s="2763"/>
      <c r="AW73" s="2763"/>
      <c r="AX73" s="2763"/>
      <c r="AY73" s="2763"/>
      <c r="AZ73" s="2763"/>
      <c r="BA73" s="2763"/>
      <c r="BB73" s="2763"/>
      <c r="BC73" s="2764"/>
      <c r="BD73" s="1763"/>
      <c r="BE73" s="1769"/>
    </row>
    <row r="74" spans="1:57" ht="15.75" customHeight="1" thickBot="1">
      <c r="A74" s="1763"/>
      <c r="B74" s="2816"/>
      <c r="C74" s="2645"/>
      <c r="D74" s="2645"/>
      <c r="E74" s="2645"/>
      <c r="F74" s="2645"/>
      <c r="G74" s="2645"/>
      <c r="H74" s="2645"/>
      <c r="I74" s="2645"/>
      <c r="J74" s="2645"/>
      <c r="K74" s="2645"/>
      <c r="L74" s="2645"/>
      <c r="M74" s="2645"/>
      <c r="N74" s="2645"/>
      <c r="O74" s="2820"/>
      <c r="P74" s="2820"/>
      <c r="Q74" s="2820"/>
      <c r="R74" s="2820"/>
      <c r="S74" s="2820"/>
      <c r="T74" s="2820"/>
      <c r="U74" s="2820"/>
      <c r="V74" s="2820"/>
      <c r="W74" s="2820"/>
      <c r="X74" s="2820"/>
      <c r="Y74" s="2820"/>
      <c r="Z74" s="2820"/>
      <c r="AA74" s="2821"/>
      <c r="AB74" s="1763"/>
      <c r="AC74" s="2762"/>
      <c r="AD74" s="2763"/>
      <c r="AE74" s="2763"/>
      <c r="AF74" s="2763"/>
      <c r="AG74" s="2763"/>
      <c r="AH74" s="2763"/>
      <c r="AI74" s="2763"/>
      <c r="AJ74" s="2763"/>
      <c r="AK74" s="2763"/>
      <c r="AL74" s="2763"/>
      <c r="AM74" s="2763"/>
      <c r="AN74" s="2763"/>
      <c r="AO74" s="2763"/>
      <c r="AP74" s="2763"/>
      <c r="AQ74" s="2763"/>
      <c r="AR74" s="2763"/>
      <c r="AS74" s="2763"/>
      <c r="AT74" s="2763"/>
      <c r="AU74" s="2763"/>
      <c r="AV74" s="2763"/>
      <c r="AW74" s="2763"/>
      <c r="AX74" s="2763"/>
      <c r="AY74" s="2763"/>
      <c r="AZ74" s="2763"/>
      <c r="BA74" s="2763"/>
      <c r="BB74" s="2763"/>
      <c r="BC74" s="2764"/>
      <c r="BD74" s="1763"/>
      <c r="BE74" s="1769"/>
    </row>
    <row r="75" spans="1:57" ht="15.75" customHeight="1" thickTop="1" thickBot="1">
      <c r="A75" s="1763"/>
      <c r="B75" s="2822" t="s">
        <v>129</v>
      </c>
      <c r="C75" s="2823"/>
      <c r="D75" s="2823"/>
      <c r="E75" s="2823"/>
      <c r="F75" s="2823"/>
      <c r="G75" s="2823"/>
      <c r="H75" s="2823"/>
      <c r="I75" s="2823"/>
      <c r="J75" s="2823"/>
      <c r="K75" s="2823"/>
      <c r="L75" s="2823"/>
      <c r="M75" s="2823"/>
      <c r="N75" s="2823"/>
      <c r="O75" s="2824">
        <f>SUM(O70:AA74)</f>
        <v>1</v>
      </c>
      <c r="P75" s="2825"/>
      <c r="Q75" s="2825"/>
      <c r="R75" s="2825"/>
      <c r="S75" s="2825"/>
      <c r="T75" s="2825"/>
      <c r="U75" s="2825"/>
      <c r="V75" s="2825"/>
      <c r="W75" s="2825"/>
      <c r="X75" s="2825"/>
      <c r="Y75" s="2825"/>
      <c r="Z75" s="2825"/>
      <c r="AA75" s="2826"/>
      <c r="AB75" s="1763"/>
      <c r="AC75" s="2762"/>
      <c r="AD75" s="2763"/>
      <c r="AE75" s="2763"/>
      <c r="AF75" s="2763"/>
      <c r="AG75" s="2763"/>
      <c r="AH75" s="2763"/>
      <c r="AI75" s="2763"/>
      <c r="AJ75" s="2763"/>
      <c r="AK75" s="2763"/>
      <c r="AL75" s="2763"/>
      <c r="AM75" s="2763"/>
      <c r="AN75" s="2763"/>
      <c r="AO75" s="2763"/>
      <c r="AP75" s="2763"/>
      <c r="AQ75" s="2763"/>
      <c r="AR75" s="2763"/>
      <c r="AS75" s="2763"/>
      <c r="AT75" s="2763"/>
      <c r="AU75" s="2763"/>
      <c r="AV75" s="2763"/>
      <c r="AW75" s="2763"/>
      <c r="AX75" s="2763"/>
      <c r="AY75" s="2763"/>
      <c r="AZ75" s="2763"/>
      <c r="BA75" s="2763"/>
      <c r="BB75" s="2763"/>
      <c r="BC75" s="276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2"/>
      <c r="AD76" s="2763"/>
      <c r="AE76" s="2763"/>
      <c r="AF76" s="2763"/>
      <c r="AG76" s="2763"/>
      <c r="AH76" s="2763"/>
      <c r="AI76" s="2763"/>
      <c r="AJ76" s="2763"/>
      <c r="AK76" s="2763"/>
      <c r="AL76" s="2763"/>
      <c r="AM76" s="2763"/>
      <c r="AN76" s="2763"/>
      <c r="AO76" s="2763"/>
      <c r="AP76" s="2763"/>
      <c r="AQ76" s="2763"/>
      <c r="AR76" s="2763"/>
      <c r="AS76" s="2763"/>
      <c r="AT76" s="2763"/>
      <c r="AU76" s="2763"/>
      <c r="AV76" s="2763"/>
      <c r="AW76" s="2763"/>
      <c r="AX76" s="2763"/>
      <c r="AY76" s="2763"/>
      <c r="AZ76" s="2763"/>
      <c r="BA76" s="2763"/>
      <c r="BB76" s="2763"/>
      <c r="BC76" s="2764"/>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5"/>
      <c r="AD77" s="2766"/>
      <c r="AE77" s="2766"/>
      <c r="AF77" s="2766"/>
      <c r="AG77" s="2766"/>
      <c r="AH77" s="2766"/>
      <c r="AI77" s="2766"/>
      <c r="AJ77" s="2766"/>
      <c r="AK77" s="2766"/>
      <c r="AL77" s="2766"/>
      <c r="AM77" s="2766"/>
      <c r="AN77" s="2766"/>
      <c r="AO77" s="2766"/>
      <c r="AP77" s="2766"/>
      <c r="AQ77" s="2766"/>
      <c r="AR77" s="2766"/>
      <c r="AS77" s="2766"/>
      <c r="AT77" s="2766"/>
      <c r="AU77" s="2766"/>
      <c r="AV77" s="2766"/>
      <c r="AW77" s="2766"/>
      <c r="AX77" s="2766"/>
      <c r="AY77" s="2766"/>
      <c r="AZ77" s="2766"/>
      <c r="BA77" s="2766"/>
      <c r="BB77" s="2766"/>
      <c r="BC77" s="276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2" t="s">
        <v>2434</v>
      </c>
      <c r="C79" s="2813"/>
      <c r="D79" s="2813"/>
      <c r="E79" s="2813"/>
      <c r="F79" s="2813"/>
      <c r="G79" s="2813"/>
      <c r="H79" s="2813"/>
      <c r="I79" s="2813"/>
      <c r="J79" s="2813"/>
      <c r="K79" s="2813"/>
      <c r="L79" s="2813"/>
      <c r="M79" s="2813"/>
      <c r="N79" s="2813"/>
      <c r="O79" s="2813"/>
      <c r="P79" s="2813"/>
      <c r="Q79" s="2813"/>
      <c r="R79" s="2813"/>
      <c r="S79" s="2813"/>
      <c r="T79" s="2813"/>
      <c r="U79" s="2813"/>
      <c r="V79" s="2813"/>
      <c r="W79" s="2813"/>
      <c r="X79" s="2813"/>
      <c r="Y79" s="2813"/>
      <c r="Z79" s="2813"/>
      <c r="AA79" s="2813"/>
      <c r="AB79" s="2813"/>
      <c r="AC79" s="2813"/>
      <c r="AD79" s="2813"/>
      <c r="AE79" s="2813"/>
      <c r="AF79" s="2813"/>
      <c r="AG79" s="2813"/>
      <c r="AH79" s="2814"/>
      <c r="AI79" s="1763"/>
      <c r="AJ79" s="2788" t="s">
        <v>2458</v>
      </c>
      <c r="AK79" s="2789"/>
      <c r="AL79" s="2789"/>
      <c r="AM79" s="2789"/>
      <c r="AN79" s="2789"/>
      <c r="AO79" s="2789"/>
      <c r="AP79" s="2789"/>
      <c r="AQ79" s="2789"/>
      <c r="AR79" s="2789"/>
      <c r="AS79" s="2789"/>
      <c r="AT79" s="2789"/>
      <c r="AU79" s="2789"/>
      <c r="AV79" s="2789"/>
      <c r="AW79" s="2789"/>
      <c r="AX79" s="2789"/>
      <c r="AY79" s="2731" t="s">
        <v>1989</v>
      </c>
      <c r="AZ79" s="2731"/>
      <c r="BA79" s="2731"/>
      <c r="BB79" s="2732"/>
      <c r="BC79" s="1763"/>
      <c r="BD79" s="1763"/>
      <c r="BE79" s="1769"/>
    </row>
    <row r="80" spans="1:57" ht="15.75" customHeight="1">
      <c r="A80" s="1763"/>
      <c r="B80" s="2661"/>
      <c r="C80" s="2662"/>
      <c r="D80" s="2662"/>
      <c r="E80" s="2662"/>
      <c r="F80" s="2662"/>
      <c r="G80" s="2662"/>
      <c r="H80" s="2663"/>
      <c r="I80" s="2798" t="s">
        <v>2040</v>
      </c>
      <c r="J80" s="2799"/>
      <c r="K80" s="2799"/>
      <c r="L80" s="2799"/>
      <c r="M80" s="2799"/>
      <c r="N80" s="2799"/>
      <c r="O80" s="2799" t="s">
        <v>2041</v>
      </c>
      <c r="P80" s="2799"/>
      <c r="Q80" s="2799"/>
      <c r="R80" s="2799"/>
      <c r="S80" s="2799"/>
      <c r="T80" s="2799"/>
      <c r="U80" s="2799"/>
      <c r="V80" s="2802" t="s">
        <v>2459</v>
      </c>
      <c r="W80" s="2802"/>
      <c r="X80" s="2802"/>
      <c r="Y80" s="2802"/>
      <c r="Z80" s="2802"/>
      <c r="AA80" s="2802"/>
      <c r="AB80" s="2804" t="s">
        <v>2042</v>
      </c>
      <c r="AC80" s="2804"/>
      <c r="AD80" s="2804"/>
      <c r="AE80" s="2804"/>
      <c r="AF80" s="2804"/>
      <c r="AG80" s="2804"/>
      <c r="AH80" s="2805"/>
      <c r="AI80" s="1763"/>
      <c r="AJ80" s="2790"/>
      <c r="AK80" s="2791"/>
      <c r="AL80" s="2791"/>
      <c r="AM80" s="2791"/>
      <c r="AN80" s="2791"/>
      <c r="AO80" s="2791"/>
      <c r="AP80" s="2791"/>
      <c r="AQ80" s="2791"/>
      <c r="AR80" s="2791"/>
      <c r="AS80" s="2791"/>
      <c r="AT80" s="2791"/>
      <c r="AU80" s="2791"/>
      <c r="AV80" s="2791"/>
      <c r="AW80" s="2791"/>
      <c r="AX80" s="2791"/>
      <c r="AY80" s="2794"/>
      <c r="AZ80" s="2794"/>
      <c r="BA80" s="2794"/>
      <c r="BB80" s="2795"/>
      <c r="BC80" s="1763"/>
      <c r="BD80" s="1763"/>
      <c r="BE80" s="1769"/>
    </row>
    <row r="81" spans="1:57" ht="15.75" customHeight="1" thickBot="1">
      <c r="A81" s="1763"/>
      <c r="B81" s="2713"/>
      <c r="C81" s="2714"/>
      <c r="D81" s="2714"/>
      <c r="E81" s="2714"/>
      <c r="F81" s="2714"/>
      <c r="G81" s="2714"/>
      <c r="H81" s="2815"/>
      <c r="I81" s="2800"/>
      <c r="J81" s="2801"/>
      <c r="K81" s="2801"/>
      <c r="L81" s="2801"/>
      <c r="M81" s="2801"/>
      <c r="N81" s="2801"/>
      <c r="O81" s="2801"/>
      <c r="P81" s="2801"/>
      <c r="Q81" s="2801"/>
      <c r="R81" s="2801"/>
      <c r="S81" s="2801"/>
      <c r="T81" s="2801"/>
      <c r="U81" s="2801"/>
      <c r="V81" s="2803"/>
      <c r="W81" s="2803"/>
      <c r="X81" s="2803"/>
      <c r="Y81" s="2803"/>
      <c r="Z81" s="2803"/>
      <c r="AA81" s="2803"/>
      <c r="AB81" s="2806"/>
      <c r="AC81" s="2806"/>
      <c r="AD81" s="2806"/>
      <c r="AE81" s="2806"/>
      <c r="AF81" s="2806"/>
      <c r="AG81" s="2806"/>
      <c r="AH81" s="2807"/>
      <c r="AI81" s="1763"/>
      <c r="AJ81" s="2790"/>
      <c r="AK81" s="2791"/>
      <c r="AL81" s="2791"/>
      <c r="AM81" s="2791"/>
      <c r="AN81" s="2791"/>
      <c r="AO81" s="2791"/>
      <c r="AP81" s="2791"/>
      <c r="AQ81" s="2791"/>
      <c r="AR81" s="2791"/>
      <c r="AS81" s="2791"/>
      <c r="AT81" s="2791"/>
      <c r="AU81" s="2791"/>
      <c r="AV81" s="2791"/>
      <c r="AW81" s="2791"/>
      <c r="AX81" s="2791"/>
      <c r="AY81" s="2794"/>
      <c r="AZ81" s="2794"/>
      <c r="BA81" s="2794"/>
      <c r="BB81" s="2795"/>
      <c r="BC81" s="1763"/>
      <c r="BD81" s="1763"/>
      <c r="BE81" s="1769"/>
    </row>
    <row r="82" spans="1:57" ht="15.75" customHeight="1" thickBot="1">
      <c r="A82" s="1763"/>
      <c r="B82" s="2655" t="s">
        <v>2435</v>
      </c>
      <c r="C82" s="2656"/>
      <c r="D82" s="2656"/>
      <c r="E82" s="2656"/>
      <c r="F82" s="2656"/>
      <c r="G82" s="2656"/>
      <c r="H82" s="2657"/>
      <c r="I82" s="2787"/>
      <c r="J82" s="2769"/>
      <c r="K82" s="2769"/>
      <c r="L82" s="2769"/>
      <c r="M82" s="2769"/>
      <c r="N82" s="2769"/>
      <c r="O82" s="2769"/>
      <c r="P82" s="2769"/>
      <c r="Q82" s="2769"/>
      <c r="R82" s="2769"/>
      <c r="S82" s="2769"/>
      <c r="T82" s="2769"/>
      <c r="U82" s="2769"/>
      <c r="V82" s="2769"/>
      <c r="W82" s="2769"/>
      <c r="X82" s="2769"/>
      <c r="Y82" s="2769"/>
      <c r="Z82" s="2769"/>
      <c r="AA82" s="2784"/>
      <c r="AB82" s="2810"/>
      <c r="AC82" s="2810"/>
      <c r="AD82" s="2810"/>
      <c r="AE82" s="2810"/>
      <c r="AF82" s="2810"/>
      <c r="AG82" s="2810"/>
      <c r="AH82" s="2811"/>
      <c r="AI82" s="1763"/>
      <c r="AJ82" s="2792"/>
      <c r="AK82" s="2793"/>
      <c r="AL82" s="2793"/>
      <c r="AM82" s="2793"/>
      <c r="AN82" s="2793"/>
      <c r="AO82" s="2793"/>
      <c r="AP82" s="2793"/>
      <c r="AQ82" s="2793"/>
      <c r="AR82" s="2793"/>
      <c r="AS82" s="2793"/>
      <c r="AT82" s="2793"/>
      <c r="AU82" s="2793"/>
      <c r="AV82" s="2793"/>
      <c r="AW82" s="2793"/>
      <c r="AX82" s="2793"/>
      <c r="AY82" s="2796"/>
      <c r="AZ82" s="2796"/>
      <c r="BA82" s="2796"/>
      <c r="BB82" s="2797"/>
      <c r="BC82" s="1763"/>
      <c r="BD82" s="1763"/>
      <c r="BE82" s="1769"/>
    </row>
    <row r="83" spans="1:57" ht="15.75" customHeight="1" thickBot="1">
      <c r="A83" s="1763"/>
      <c r="B83" s="2655" t="s">
        <v>2436</v>
      </c>
      <c r="C83" s="2656"/>
      <c r="D83" s="2656"/>
      <c r="E83" s="2656"/>
      <c r="F83" s="2656"/>
      <c r="G83" s="2656"/>
      <c r="H83" s="2657"/>
      <c r="I83" s="2787"/>
      <c r="J83" s="2769"/>
      <c r="K83" s="2769"/>
      <c r="L83" s="2769"/>
      <c r="M83" s="2769"/>
      <c r="N83" s="2769"/>
      <c r="O83" s="2769"/>
      <c r="P83" s="2769"/>
      <c r="Q83" s="2769"/>
      <c r="R83" s="2769"/>
      <c r="S83" s="2769"/>
      <c r="T83" s="2769"/>
      <c r="U83" s="2769"/>
      <c r="V83" s="2769"/>
      <c r="W83" s="2769"/>
      <c r="X83" s="2769"/>
      <c r="Y83" s="2769"/>
      <c r="Z83" s="2769"/>
      <c r="AA83" s="2784"/>
      <c r="AB83" s="2810"/>
      <c r="AC83" s="2810"/>
      <c r="AD83" s="2810"/>
      <c r="AE83" s="2810"/>
      <c r="AF83" s="2810"/>
      <c r="AG83" s="2810"/>
      <c r="AH83" s="2811"/>
      <c r="AI83" s="1763"/>
      <c r="AJ83" s="2771" t="s">
        <v>2460</v>
      </c>
      <c r="AK83" s="2772"/>
      <c r="AL83" s="2772"/>
      <c r="AM83" s="2772"/>
      <c r="AN83" s="2772"/>
      <c r="AO83" s="2772"/>
      <c r="AP83" s="2772"/>
      <c r="AQ83" s="2772"/>
      <c r="AR83" s="2772"/>
      <c r="AS83" s="2772"/>
      <c r="AT83" s="2772"/>
      <c r="AU83" s="2772"/>
      <c r="AV83" s="2772"/>
      <c r="AW83" s="2772"/>
      <c r="AX83" s="2772"/>
      <c r="AY83" s="2772"/>
      <c r="AZ83" s="2772"/>
      <c r="BA83" s="2772"/>
      <c r="BB83" s="2773"/>
      <c r="BC83" s="1763"/>
      <c r="BD83" s="1763"/>
      <c r="BE83" s="1769"/>
    </row>
    <row r="84" spans="1:57" ht="15.75" customHeight="1" thickBot="1">
      <c r="A84" s="1763"/>
      <c r="B84" s="2777" t="s">
        <v>2043</v>
      </c>
      <c r="C84" s="2778"/>
      <c r="D84" s="2778"/>
      <c r="E84" s="2778"/>
      <c r="F84" s="2778"/>
      <c r="G84" s="2778"/>
      <c r="H84" s="2808"/>
      <c r="I84" s="2780"/>
      <c r="J84" s="2750"/>
      <c r="K84" s="2750"/>
      <c r="L84" s="2750"/>
      <c r="M84" s="2750"/>
      <c r="N84" s="2750"/>
      <c r="O84" s="2750"/>
      <c r="P84" s="2750"/>
      <c r="Q84" s="2750"/>
      <c r="R84" s="2750"/>
      <c r="S84" s="2750"/>
      <c r="T84" s="2750"/>
      <c r="U84" s="2750"/>
      <c r="V84" s="2750"/>
      <c r="W84" s="2750"/>
      <c r="X84" s="2750"/>
      <c r="Y84" s="2750"/>
      <c r="Z84" s="2750"/>
      <c r="AA84" s="2781"/>
      <c r="AB84" s="2750"/>
      <c r="AC84" s="2750"/>
      <c r="AD84" s="2750"/>
      <c r="AE84" s="2750"/>
      <c r="AF84" s="2750"/>
      <c r="AG84" s="2750"/>
      <c r="AH84" s="2809"/>
      <c r="AI84" s="1763"/>
      <c r="AJ84" s="2774"/>
      <c r="AK84" s="2775"/>
      <c r="AL84" s="2775"/>
      <c r="AM84" s="2775"/>
      <c r="AN84" s="2775"/>
      <c r="AO84" s="2775"/>
      <c r="AP84" s="2775"/>
      <c r="AQ84" s="2775"/>
      <c r="AR84" s="2775"/>
      <c r="AS84" s="2775"/>
      <c r="AT84" s="2775"/>
      <c r="AU84" s="2775"/>
      <c r="AV84" s="2775"/>
      <c r="AW84" s="2775"/>
      <c r="AX84" s="2775"/>
      <c r="AY84" s="2775"/>
      <c r="AZ84" s="2775"/>
      <c r="BA84" s="2775"/>
      <c r="BB84" s="277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1" t="s">
        <v>2045</v>
      </c>
      <c r="C88" s="2662"/>
      <c r="D88" s="2662"/>
      <c r="E88" s="2662"/>
      <c r="F88" s="2662"/>
      <c r="G88" s="2662"/>
      <c r="H88" s="2662"/>
      <c r="I88" s="2662"/>
      <c r="J88" s="2662"/>
      <c r="K88" s="2662"/>
      <c r="L88" s="2662"/>
      <c r="M88" s="2662"/>
      <c r="N88" s="2662"/>
      <c r="O88" s="2662"/>
      <c r="P88" s="2662"/>
      <c r="Q88" s="2662"/>
      <c r="R88" s="2662"/>
      <c r="S88" s="2662"/>
      <c r="T88" s="2662"/>
      <c r="U88" s="2662"/>
      <c r="V88" s="2662"/>
      <c r="W88" s="2662"/>
      <c r="X88" s="2662"/>
      <c r="Y88" s="2662"/>
      <c r="Z88" s="2662"/>
      <c r="AA88" s="2662"/>
      <c r="AB88" s="2662"/>
      <c r="AC88" s="2662"/>
      <c r="AD88" s="2662"/>
      <c r="AE88" s="2662"/>
      <c r="AF88" s="2662"/>
      <c r="AG88" s="2662"/>
      <c r="AH88" s="2663"/>
      <c r="AI88" s="1763"/>
      <c r="AJ88" s="2788" t="s">
        <v>2461</v>
      </c>
      <c r="AK88" s="2789"/>
      <c r="AL88" s="2789"/>
      <c r="AM88" s="2789"/>
      <c r="AN88" s="2789"/>
      <c r="AO88" s="2789"/>
      <c r="AP88" s="2789"/>
      <c r="AQ88" s="2789"/>
      <c r="AR88" s="2789"/>
      <c r="AS88" s="2789"/>
      <c r="AT88" s="2789"/>
      <c r="AU88" s="2789"/>
      <c r="AV88" s="2789"/>
      <c r="AW88" s="2789"/>
      <c r="AX88" s="2789"/>
      <c r="AY88" s="2731" t="s">
        <v>1989</v>
      </c>
      <c r="AZ88" s="2731"/>
      <c r="BA88" s="2731"/>
      <c r="BB88" s="2732"/>
      <c r="BC88" s="1763"/>
      <c r="BD88" s="1763"/>
      <c r="BE88" s="1769"/>
    </row>
    <row r="89" spans="1:57" ht="16.5" customHeight="1">
      <c r="A89" s="1763"/>
      <c r="B89" s="2661"/>
      <c r="C89" s="2662"/>
      <c r="D89" s="2662"/>
      <c r="E89" s="2662"/>
      <c r="F89" s="2662"/>
      <c r="G89" s="2662"/>
      <c r="H89" s="2662"/>
      <c r="I89" s="2798" t="s">
        <v>2040</v>
      </c>
      <c r="J89" s="2799"/>
      <c r="K89" s="2799"/>
      <c r="L89" s="2799"/>
      <c r="M89" s="2799"/>
      <c r="N89" s="2799"/>
      <c r="O89" s="2799" t="s">
        <v>2041</v>
      </c>
      <c r="P89" s="2799"/>
      <c r="Q89" s="2799"/>
      <c r="R89" s="2799"/>
      <c r="S89" s="2799"/>
      <c r="T89" s="2799"/>
      <c r="U89" s="2799"/>
      <c r="V89" s="2802" t="s">
        <v>2459</v>
      </c>
      <c r="W89" s="2802"/>
      <c r="X89" s="2802"/>
      <c r="Y89" s="2802"/>
      <c r="Z89" s="2802"/>
      <c r="AA89" s="2802"/>
      <c r="AB89" s="2804" t="s">
        <v>2042</v>
      </c>
      <c r="AC89" s="2804"/>
      <c r="AD89" s="2804"/>
      <c r="AE89" s="2804"/>
      <c r="AF89" s="2804"/>
      <c r="AG89" s="2804"/>
      <c r="AH89" s="2805"/>
      <c r="AI89" s="1763"/>
      <c r="AJ89" s="2790"/>
      <c r="AK89" s="2791"/>
      <c r="AL89" s="2791"/>
      <c r="AM89" s="2791"/>
      <c r="AN89" s="2791"/>
      <c r="AO89" s="2791"/>
      <c r="AP89" s="2791"/>
      <c r="AQ89" s="2791"/>
      <c r="AR89" s="2791"/>
      <c r="AS89" s="2791"/>
      <c r="AT89" s="2791"/>
      <c r="AU89" s="2791"/>
      <c r="AV89" s="2791"/>
      <c r="AW89" s="2791"/>
      <c r="AX89" s="2791"/>
      <c r="AY89" s="2794"/>
      <c r="AZ89" s="2794"/>
      <c r="BA89" s="2794"/>
      <c r="BB89" s="2795"/>
      <c r="BC89" s="1763"/>
      <c r="BD89" s="1763"/>
      <c r="BE89" s="1769"/>
    </row>
    <row r="90" spans="1:57" ht="16.5" customHeight="1" thickBot="1">
      <c r="A90" s="1763"/>
      <c r="B90" s="2713"/>
      <c r="C90" s="2714"/>
      <c r="D90" s="2714"/>
      <c r="E90" s="2714"/>
      <c r="F90" s="2714"/>
      <c r="G90" s="2714"/>
      <c r="H90" s="2714"/>
      <c r="I90" s="2800"/>
      <c r="J90" s="2801"/>
      <c r="K90" s="2801"/>
      <c r="L90" s="2801"/>
      <c r="M90" s="2801"/>
      <c r="N90" s="2801"/>
      <c r="O90" s="2801"/>
      <c r="P90" s="2801"/>
      <c r="Q90" s="2801"/>
      <c r="R90" s="2801"/>
      <c r="S90" s="2801"/>
      <c r="T90" s="2801"/>
      <c r="U90" s="2801"/>
      <c r="V90" s="2803"/>
      <c r="W90" s="2803"/>
      <c r="X90" s="2803"/>
      <c r="Y90" s="2803"/>
      <c r="Z90" s="2803"/>
      <c r="AA90" s="2803"/>
      <c r="AB90" s="2806"/>
      <c r="AC90" s="2806"/>
      <c r="AD90" s="2806"/>
      <c r="AE90" s="2806"/>
      <c r="AF90" s="2806"/>
      <c r="AG90" s="2806"/>
      <c r="AH90" s="2807"/>
      <c r="AI90" s="1763"/>
      <c r="AJ90" s="2790"/>
      <c r="AK90" s="2791"/>
      <c r="AL90" s="2791"/>
      <c r="AM90" s="2791"/>
      <c r="AN90" s="2791"/>
      <c r="AO90" s="2791"/>
      <c r="AP90" s="2791"/>
      <c r="AQ90" s="2791"/>
      <c r="AR90" s="2791"/>
      <c r="AS90" s="2791"/>
      <c r="AT90" s="2791"/>
      <c r="AU90" s="2791"/>
      <c r="AV90" s="2791"/>
      <c r="AW90" s="2791"/>
      <c r="AX90" s="2791"/>
      <c r="AY90" s="2794"/>
      <c r="AZ90" s="2794"/>
      <c r="BA90" s="2794"/>
      <c r="BB90" s="2795"/>
      <c r="BC90" s="1763"/>
      <c r="BD90" s="1763"/>
      <c r="BE90" s="1769"/>
    </row>
    <row r="91" spans="1:57" ht="15.75" customHeight="1" thickBot="1">
      <c r="A91" s="1763"/>
      <c r="B91" s="2655" t="s">
        <v>2435</v>
      </c>
      <c r="C91" s="2656"/>
      <c r="D91" s="2656"/>
      <c r="E91" s="2656"/>
      <c r="F91" s="2656"/>
      <c r="G91" s="2656"/>
      <c r="H91" s="2656"/>
      <c r="I91" s="2787"/>
      <c r="J91" s="2769"/>
      <c r="K91" s="2769"/>
      <c r="L91" s="2769"/>
      <c r="M91" s="2769"/>
      <c r="N91" s="2769"/>
      <c r="O91" s="2769"/>
      <c r="P91" s="2769"/>
      <c r="Q91" s="2769"/>
      <c r="R91" s="2769"/>
      <c r="S91" s="2769"/>
      <c r="T91" s="2769"/>
      <c r="U91" s="2769"/>
      <c r="V91" s="2769"/>
      <c r="W91" s="2769"/>
      <c r="X91" s="2769"/>
      <c r="Y91" s="2769"/>
      <c r="Z91" s="2769"/>
      <c r="AA91" s="2784"/>
      <c r="AB91" s="2785"/>
      <c r="AC91" s="2785"/>
      <c r="AD91" s="2785"/>
      <c r="AE91" s="2785"/>
      <c r="AF91" s="2785"/>
      <c r="AG91" s="2785"/>
      <c r="AH91" s="2786"/>
      <c r="AI91" s="1763"/>
      <c r="AJ91" s="2792"/>
      <c r="AK91" s="2793"/>
      <c r="AL91" s="2793"/>
      <c r="AM91" s="2793"/>
      <c r="AN91" s="2793"/>
      <c r="AO91" s="2793"/>
      <c r="AP91" s="2793"/>
      <c r="AQ91" s="2793"/>
      <c r="AR91" s="2793"/>
      <c r="AS91" s="2793"/>
      <c r="AT91" s="2793"/>
      <c r="AU91" s="2793"/>
      <c r="AV91" s="2793"/>
      <c r="AW91" s="2793"/>
      <c r="AX91" s="2793"/>
      <c r="AY91" s="2796"/>
      <c r="AZ91" s="2796"/>
      <c r="BA91" s="2796"/>
      <c r="BB91" s="2797"/>
      <c r="BC91" s="1763"/>
      <c r="BD91" s="1763"/>
      <c r="BE91" s="1769"/>
    </row>
    <row r="92" spans="1:57" ht="15.75" customHeight="1" thickBot="1">
      <c r="A92" s="1763"/>
      <c r="B92" s="2655" t="s">
        <v>2436</v>
      </c>
      <c r="C92" s="2656"/>
      <c r="D92" s="2656"/>
      <c r="E92" s="2656"/>
      <c r="F92" s="2656"/>
      <c r="G92" s="2656"/>
      <c r="H92" s="2656"/>
      <c r="I92" s="2787"/>
      <c r="J92" s="2769"/>
      <c r="K92" s="2769"/>
      <c r="L92" s="2769"/>
      <c r="M92" s="2769"/>
      <c r="N92" s="2769"/>
      <c r="O92" s="2769"/>
      <c r="P92" s="2769"/>
      <c r="Q92" s="2769"/>
      <c r="R92" s="2769"/>
      <c r="S92" s="2769"/>
      <c r="T92" s="2769"/>
      <c r="U92" s="2769"/>
      <c r="V92" s="2769"/>
      <c r="W92" s="2769"/>
      <c r="X92" s="2769"/>
      <c r="Y92" s="2769"/>
      <c r="Z92" s="2769"/>
      <c r="AA92" s="2784"/>
      <c r="AB92" s="2785"/>
      <c r="AC92" s="2785"/>
      <c r="AD92" s="2785"/>
      <c r="AE92" s="2785"/>
      <c r="AF92" s="2785"/>
      <c r="AG92" s="2785"/>
      <c r="AH92" s="2786"/>
      <c r="AI92" s="1763"/>
      <c r="AJ92" s="2771" t="s">
        <v>2460</v>
      </c>
      <c r="AK92" s="2772"/>
      <c r="AL92" s="2772"/>
      <c r="AM92" s="2772"/>
      <c r="AN92" s="2772"/>
      <c r="AO92" s="2772"/>
      <c r="AP92" s="2772"/>
      <c r="AQ92" s="2772"/>
      <c r="AR92" s="2772"/>
      <c r="AS92" s="2772"/>
      <c r="AT92" s="2772"/>
      <c r="AU92" s="2772"/>
      <c r="AV92" s="2772"/>
      <c r="AW92" s="2772"/>
      <c r="AX92" s="2772"/>
      <c r="AY92" s="2772"/>
      <c r="AZ92" s="2772"/>
      <c r="BA92" s="2772"/>
      <c r="BB92" s="2773"/>
      <c r="BC92" s="1763"/>
      <c r="BD92" s="1763"/>
      <c r="BE92" s="1769"/>
    </row>
    <row r="93" spans="1:57" ht="15.75" customHeight="1" thickBot="1">
      <c r="A93" s="1763"/>
      <c r="B93" s="2777" t="s">
        <v>2043</v>
      </c>
      <c r="C93" s="2778"/>
      <c r="D93" s="2778"/>
      <c r="E93" s="2778"/>
      <c r="F93" s="2778"/>
      <c r="G93" s="2778"/>
      <c r="H93" s="2779"/>
      <c r="I93" s="2780"/>
      <c r="J93" s="2750"/>
      <c r="K93" s="2750"/>
      <c r="L93" s="2750"/>
      <c r="M93" s="2750"/>
      <c r="N93" s="2750"/>
      <c r="O93" s="2750"/>
      <c r="P93" s="2750"/>
      <c r="Q93" s="2750"/>
      <c r="R93" s="2750"/>
      <c r="S93" s="2750"/>
      <c r="T93" s="2750"/>
      <c r="U93" s="2750"/>
      <c r="V93" s="2750"/>
      <c r="W93" s="2750"/>
      <c r="X93" s="2750"/>
      <c r="Y93" s="2750"/>
      <c r="Z93" s="2750"/>
      <c r="AA93" s="2781"/>
      <c r="AB93" s="2782"/>
      <c r="AC93" s="2782"/>
      <c r="AD93" s="2782"/>
      <c r="AE93" s="2782"/>
      <c r="AF93" s="2782"/>
      <c r="AG93" s="2782"/>
      <c r="AH93" s="2783"/>
      <c r="AI93" s="1763"/>
      <c r="AJ93" s="2774"/>
      <c r="AK93" s="2775"/>
      <c r="AL93" s="2775"/>
      <c r="AM93" s="2775"/>
      <c r="AN93" s="2775"/>
      <c r="AO93" s="2775"/>
      <c r="AP93" s="2775"/>
      <c r="AQ93" s="2775"/>
      <c r="AR93" s="2775"/>
      <c r="AS93" s="2775"/>
      <c r="AT93" s="2775"/>
      <c r="AU93" s="2775"/>
      <c r="AV93" s="2775"/>
      <c r="AW93" s="2775"/>
      <c r="AX93" s="2775"/>
      <c r="AY93" s="2775"/>
      <c r="AZ93" s="2775"/>
      <c r="BA93" s="2775"/>
      <c r="BB93" s="277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3" t="s">
        <v>2437</v>
      </c>
      <c r="Y96" s="2754"/>
      <c r="Z96" s="2754"/>
      <c r="AA96" s="2754"/>
      <c r="AB96" s="2754"/>
      <c r="AC96" s="2754"/>
      <c r="AD96" s="2754"/>
      <c r="AE96" s="2754"/>
      <c r="AF96" s="2754"/>
      <c r="AG96" s="2754"/>
      <c r="AH96" s="2754"/>
      <c r="AI96" s="2754"/>
      <c r="AJ96" s="2754"/>
      <c r="AK96" s="2754"/>
      <c r="AL96" s="2754"/>
      <c r="AM96" s="2754"/>
      <c r="AN96" s="2754"/>
      <c r="AO96" s="2754"/>
      <c r="AP96" s="2754"/>
      <c r="AQ96" s="2754"/>
      <c r="AR96" s="2754"/>
      <c r="AS96" s="2754"/>
      <c r="AT96" s="2754"/>
      <c r="AU96" s="2754"/>
      <c r="AV96" s="2754"/>
      <c r="AW96" s="2754"/>
      <c r="AX96" s="2754"/>
      <c r="AY96" s="2754"/>
      <c r="AZ96" s="2754"/>
      <c r="BA96" s="2754"/>
      <c r="BB96" s="2754"/>
      <c r="BC96" s="2754"/>
      <c r="BD96" s="2755"/>
      <c r="BE96" s="1769"/>
    </row>
    <row r="97" spans="1:57" ht="15.75" customHeight="1" thickBot="1">
      <c r="A97" s="1763"/>
      <c r="B97" s="2655" t="s">
        <v>1861</v>
      </c>
      <c r="C97" s="2656"/>
      <c r="D97" s="2656"/>
      <c r="E97" s="2656"/>
      <c r="F97" s="2656"/>
      <c r="G97" s="2656"/>
      <c r="H97" s="2656"/>
      <c r="I97" s="2656"/>
      <c r="J97" s="2656"/>
      <c r="K97" s="2656"/>
      <c r="L97" s="2656"/>
      <c r="M97" s="2656"/>
      <c r="N97" s="2656"/>
      <c r="O97" s="2656"/>
      <c r="P97" s="2656"/>
      <c r="Q97" s="2656"/>
      <c r="R97" s="2656"/>
      <c r="S97" s="2656"/>
      <c r="T97" s="2656"/>
      <c r="U97" s="2657"/>
      <c r="V97" s="1763"/>
      <c r="W97" s="1763"/>
      <c r="X97" s="2756"/>
      <c r="Y97" s="2757"/>
      <c r="Z97" s="2757"/>
      <c r="AA97" s="2757"/>
      <c r="AB97" s="2757"/>
      <c r="AC97" s="2757"/>
      <c r="AD97" s="2757"/>
      <c r="AE97" s="2757"/>
      <c r="AF97" s="2757"/>
      <c r="AG97" s="2757"/>
      <c r="AH97" s="2757"/>
      <c r="AI97" s="2757"/>
      <c r="AJ97" s="2757"/>
      <c r="AK97" s="2757"/>
      <c r="AL97" s="2757"/>
      <c r="AM97" s="2757"/>
      <c r="AN97" s="2757"/>
      <c r="AO97" s="2757"/>
      <c r="AP97" s="2757"/>
      <c r="AQ97" s="2757"/>
      <c r="AR97" s="2757"/>
      <c r="AS97" s="2757"/>
      <c r="AT97" s="2757"/>
      <c r="AU97" s="2757"/>
      <c r="AV97" s="2757"/>
      <c r="AW97" s="2757"/>
      <c r="AX97" s="2757"/>
      <c r="AY97" s="2757"/>
      <c r="AZ97" s="2757"/>
      <c r="BA97" s="2757"/>
      <c r="BB97" s="2757"/>
      <c r="BC97" s="2757"/>
      <c r="BD97" s="2758"/>
      <c r="BE97" s="1769"/>
    </row>
    <row r="98" spans="1:57" ht="15.75" customHeight="1" thickBot="1">
      <c r="A98" s="1763"/>
      <c r="B98" s="2655"/>
      <c r="C98" s="2656"/>
      <c r="D98" s="2656"/>
      <c r="E98" s="2656"/>
      <c r="F98" s="2656"/>
      <c r="G98" s="2656"/>
      <c r="H98" s="2657"/>
      <c r="I98" s="2655" t="s">
        <v>2438</v>
      </c>
      <c r="J98" s="2656"/>
      <c r="K98" s="2656"/>
      <c r="L98" s="2656"/>
      <c r="M98" s="2656"/>
      <c r="N98" s="2657"/>
      <c r="O98" s="2759" t="s">
        <v>2439</v>
      </c>
      <c r="P98" s="2760"/>
      <c r="Q98" s="2760"/>
      <c r="R98" s="2760"/>
      <c r="S98" s="2760"/>
      <c r="T98" s="2760"/>
      <c r="U98" s="2761"/>
      <c r="V98" s="1763"/>
      <c r="W98" s="1763"/>
      <c r="X98" s="2762" t="s">
        <v>2457</v>
      </c>
      <c r="Y98" s="2763"/>
      <c r="Z98" s="2763"/>
      <c r="AA98" s="2763"/>
      <c r="AB98" s="2763"/>
      <c r="AC98" s="2763"/>
      <c r="AD98" s="2763"/>
      <c r="AE98" s="2763"/>
      <c r="AF98" s="2763"/>
      <c r="AG98" s="2763"/>
      <c r="AH98" s="2763"/>
      <c r="AI98" s="2763"/>
      <c r="AJ98" s="2763"/>
      <c r="AK98" s="2763"/>
      <c r="AL98" s="2763"/>
      <c r="AM98" s="2763"/>
      <c r="AN98" s="2763"/>
      <c r="AO98" s="2763"/>
      <c r="AP98" s="2763"/>
      <c r="AQ98" s="2763"/>
      <c r="AR98" s="2763"/>
      <c r="AS98" s="2763"/>
      <c r="AT98" s="2763"/>
      <c r="AU98" s="2763"/>
      <c r="AV98" s="2763"/>
      <c r="AW98" s="2763"/>
      <c r="AX98" s="2763"/>
      <c r="AY98" s="2763"/>
      <c r="AZ98" s="2763"/>
      <c r="BA98" s="2763"/>
      <c r="BB98" s="2763"/>
      <c r="BC98" s="2763"/>
      <c r="BD98" s="2764"/>
      <c r="BE98" s="1769"/>
    </row>
    <row r="99" spans="1:57" ht="15.75" customHeight="1" thickBot="1">
      <c r="A99" s="1763"/>
      <c r="B99" s="2693" t="s">
        <v>2440</v>
      </c>
      <c r="C99" s="2694"/>
      <c r="D99" s="2694"/>
      <c r="E99" s="2694"/>
      <c r="F99" s="2694"/>
      <c r="G99" s="2694"/>
      <c r="H99" s="2695"/>
      <c r="I99" s="2768"/>
      <c r="J99" s="2769"/>
      <c r="K99" s="2769"/>
      <c r="L99" s="2769"/>
      <c r="M99" s="2769"/>
      <c r="N99" s="2769"/>
      <c r="O99" s="2769"/>
      <c r="P99" s="2769"/>
      <c r="Q99" s="2769"/>
      <c r="R99" s="2769"/>
      <c r="S99" s="2769"/>
      <c r="T99" s="2769"/>
      <c r="U99" s="2770"/>
      <c r="V99" s="1763"/>
      <c r="W99" s="1763"/>
      <c r="X99" s="2762"/>
      <c r="Y99" s="2763"/>
      <c r="Z99" s="2763"/>
      <c r="AA99" s="2763"/>
      <c r="AB99" s="2763"/>
      <c r="AC99" s="2763"/>
      <c r="AD99" s="2763"/>
      <c r="AE99" s="2763"/>
      <c r="AF99" s="2763"/>
      <c r="AG99" s="2763"/>
      <c r="AH99" s="2763"/>
      <c r="AI99" s="2763"/>
      <c r="AJ99" s="2763"/>
      <c r="AK99" s="2763"/>
      <c r="AL99" s="2763"/>
      <c r="AM99" s="2763"/>
      <c r="AN99" s="2763"/>
      <c r="AO99" s="2763"/>
      <c r="AP99" s="2763"/>
      <c r="AQ99" s="2763"/>
      <c r="AR99" s="2763"/>
      <c r="AS99" s="2763"/>
      <c r="AT99" s="2763"/>
      <c r="AU99" s="2763"/>
      <c r="AV99" s="2763"/>
      <c r="AW99" s="2763"/>
      <c r="AX99" s="2763"/>
      <c r="AY99" s="2763"/>
      <c r="AZ99" s="2763"/>
      <c r="BA99" s="2763"/>
      <c r="BB99" s="2763"/>
      <c r="BC99" s="2763"/>
      <c r="BD99" s="2764"/>
      <c r="BE99" s="1769"/>
    </row>
    <row r="100" spans="1:57" ht="15.75" customHeight="1" thickBot="1">
      <c r="A100" s="1763"/>
      <c r="B100" s="2693" t="s">
        <v>2441</v>
      </c>
      <c r="C100" s="2694"/>
      <c r="D100" s="2694"/>
      <c r="E100" s="2694"/>
      <c r="F100" s="2694"/>
      <c r="G100" s="2694"/>
      <c r="H100" s="2695"/>
      <c r="I100" s="2749"/>
      <c r="J100" s="2750"/>
      <c r="K100" s="2750"/>
      <c r="L100" s="2750"/>
      <c r="M100" s="2750"/>
      <c r="N100" s="2750"/>
      <c r="O100" s="2751"/>
      <c r="P100" s="2751"/>
      <c r="Q100" s="2751"/>
      <c r="R100" s="2751"/>
      <c r="S100" s="2751"/>
      <c r="T100" s="2751"/>
      <c r="U100" s="2752"/>
      <c r="V100" s="1763"/>
      <c r="W100" s="1763"/>
      <c r="X100" s="2762"/>
      <c r="Y100" s="2763"/>
      <c r="Z100" s="2763"/>
      <c r="AA100" s="2763"/>
      <c r="AB100" s="2763"/>
      <c r="AC100" s="2763"/>
      <c r="AD100" s="2763"/>
      <c r="AE100" s="2763"/>
      <c r="AF100" s="2763"/>
      <c r="AG100" s="2763"/>
      <c r="AH100" s="2763"/>
      <c r="AI100" s="2763"/>
      <c r="AJ100" s="2763"/>
      <c r="AK100" s="2763"/>
      <c r="AL100" s="2763"/>
      <c r="AM100" s="2763"/>
      <c r="AN100" s="2763"/>
      <c r="AO100" s="2763"/>
      <c r="AP100" s="2763"/>
      <c r="AQ100" s="2763"/>
      <c r="AR100" s="2763"/>
      <c r="AS100" s="2763"/>
      <c r="AT100" s="2763"/>
      <c r="AU100" s="2763"/>
      <c r="AV100" s="2763"/>
      <c r="AW100" s="2763"/>
      <c r="AX100" s="2763"/>
      <c r="AY100" s="2763"/>
      <c r="AZ100" s="2763"/>
      <c r="BA100" s="2763"/>
      <c r="BB100" s="2763"/>
      <c r="BC100" s="2763"/>
      <c r="BD100" s="276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2"/>
      <c r="Y101" s="2763"/>
      <c r="Z101" s="2763"/>
      <c r="AA101" s="2763"/>
      <c r="AB101" s="2763"/>
      <c r="AC101" s="2763"/>
      <c r="AD101" s="2763"/>
      <c r="AE101" s="2763"/>
      <c r="AF101" s="2763"/>
      <c r="AG101" s="2763"/>
      <c r="AH101" s="2763"/>
      <c r="AI101" s="2763"/>
      <c r="AJ101" s="2763"/>
      <c r="AK101" s="2763"/>
      <c r="AL101" s="2763"/>
      <c r="AM101" s="2763"/>
      <c r="AN101" s="2763"/>
      <c r="AO101" s="2763"/>
      <c r="AP101" s="2763"/>
      <c r="AQ101" s="2763"/>
      <c r="AR101" s="2763"/>
      <c r="AS101" s="2763"/>
      <c r="AT101" s="2763"/>
      <c r="AU101" s="2763"/>
      <c r="AV101" s="2763"/>
      <c r="AW101" s="2763"/>
      <c r="AX101" s="2763"/>
      <c r="AY101" s="2763"/>
      <c r="AZ101" s="2763"/>
      <c r="BA101" s="2763"/>
      <c r="BB101" s="2763"/>
      <c r="BC101" s="2763"/>
      <c r="BD101" s="2764"/>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2"/>
      <c r="Y102" s="2763"/>
      <c r="Z102" s="2763"/>
      <c r="AA102" s="2763"/>
      <c r="AB102" s="2763"/>
      <c r="AC102" s="2763"/>
      <c r="AD102" s="2763"/>
      <c r="AE102" s="2763"/>
      <c r="AF102" s="2763"/>
      <c r="AG102" s="2763"/>
      <c r="AH102" s="2763"/>
      <c r="AI102" s="2763"/>
      <c r="AJ102" s="2763"/>
      <c r="AK102" s="2763"/>
      <c r="AL102" s="2763"/>
      <c r="AM102" s="2763"/>
      <c r="AN102" s="2763"/>
      <c r="AO102" s="2763"/>
      <c r="AP102" s="2763"/>
      <c r="AQ102" s="2763"/>
      <c r="AR102" s="2763"/>
      <c r="AS102" s="2763"/>
      <c r="AT102" s="2763"/>
      <c r="AU102" s="2763"/>
      <c r="AV102" s="2763"/>
      <c r="AW102" s="2763"/>
      <c r="AX102" s="2763"/>
      <c r="AY102" s="2763"/>
      <c r="AZ102" s="2763"/>
      <c r="BA102" s="2763"/>
      <c r="BB102" s="2763"/>
      <c r="BC102" s="2763"/>
      <c r="BD102" s="276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2"/>
      <c r="Y103" s="2763"/>
      <c r="Z103" s="2763"/>
      <c r="AA103" s="2763"/>
      <c r="AB103" s="2763"/>
      <c r="AC103" s="2763"/>
      <c r="AD103" s="2763"/>
      <c r="AE103" s="2763"/>
      <c r="AF103" s="2763"/>
      <c r="AG103" s="2763"/>
      <c r="AH103" s="2763"/>
      <c r="AI103" s="2763"/>
      <c r="AJ103" s="2763"/>
      <c r="AK103" s="2763"/>
      <c r="AL103" s="2763"/>
      <c r="AM103" s="2763"/>
      <c r="AN103" s="2763"/>
      <c r="AO103" s="2763"/>
      <c r="AP103" s="2763"/>
      <c r="AQ103" s="2763"/>
      <c r="AR103" s="2763"/>
      <c r="AS103" s="2763"/>
      <c r="AT103" s="2763"/>
      <c r="AU103" s="2763"/>
      <c r="AV103" s="2763"/>
      <c r="AW103" s="2763"/>
      <c r="AX103" s="2763"/>
      <c r="AY103" s="2763"/>
      <c r="AZ103" s="2763"/>
      <c r="BA103" s="2763"/>
      <c r="BB103" s="2763"/>
      <c r="BC103" s="2763"/>
      <c r="BD103" s="2764"/>
      <c r="BE103" s="1769"/>
    </row>
    <row r="104" spans="1:57" ht="15.75" customHeight="1">
      <c r="A104" s="1763"/>
      <c r="B104" s="2699" t="s">
        <v>2048</v>
      </c>
      <c r="C104" s="2700"/>
      <c r="D104" s="2700"/>
      <c r="E104" s="2700"/>
      <c r="F104" s="2700"/>
      <c r="G104" s="2700"/>
      <c r="H104" s="2700"/>
      <c r="I104" s="2700"/>
      <c r="J104" s="2700"/>
      <c r="K104" s="2700"/>
      <c r="L104" s="2700"/>
      <c r="M104" s="2700"/>
      <c r="N104" s="2700"/>
      <c r="O104" s="2700"/>
      <c r="P104" s="2700"/>
      <c r="Q104" s="2700"/>
      <c r="R104" s="2700"/>
      <c r="S104" s="2700"/>
      <c r="T104" s="2700"/>
      <c r="U104" s="2748"/>
      <c r="V104" s="1763"/>
      <c r="W104" s="1763"/>
      <c r="X104" s="2762"/>
      <c r="Y104" s="2763"/>
      <c r="Z104" s="2763"/>
      <c r="AA104" s="2763"/>
      <c r="AB104" s="2763"/>
      <c r="AC104" s="2763"/>
      <c r="AD104" s="2763"/>
      <c r="AE104" s="2763"/>
      <c r="AF104" s="2763"/>
      <c r="AG104" s="2763"/>
      <c r="AH104" s="2763"/>
      <c r="AI104" s="2763"/>
      <c r="AJ104" s="2763"/>
      <c r="AK104" s="2763"/>
      <c r="AL104" s="2763"/>
      <c r="AM104" s="2763"/>
      <c r="AN104" s="2763"/>
      <c r="AO104" s="2763"/>
      <c r="AP104" s="2763"/>
      <c r="AQ104" s="2763"/>
      <c r="AR104" s="2763"/>
      <c r="AS104" s="2763"/>
      <c r="AT104" s="2763"/>
      <c r="AU104" s="2763"/>
      <c r="AV104" s="2763"/>
      <c r="AW104" s="2763"/>
      <c r="AX104" s="2763"/>
      <c r="AY104" s="2763"/>
      <c r="AZ104" s="2763"/>
      <c r="BA104" s="2763"/>
      <c r="BB104" s="2763"/>
      <c r="BC104" s="2763"/>
      <c r="BD104" s="2764"/>
      <c r="BE104" s="1769"/>
    </row>
    <row r="105" spans="1:57" ht="15.75" customHeight="1">
      <c r="A105" s="1763"/>
      <c r="B105" s="2710"/>
      <c r="C105" s="2711"/>
      <c r="D105" s="2711"/>
      <c r="E105" s="2711"/>
      <c r="F105" s="2711"/>
      <c r="G105" s="2711"/>
      <c r="H105" s="2712"/>
      <c r="I105" s="2716" t="s">
        <v>2041</v>
      </c>
      <c r="J105" s="2717"/>
      <c r="K105" s="2717"/>
      <c r="L105" s="2717"/>
      <c r="M105" s="2717"/>
      <c r="N105" s="2717"/>
      <c r="O105" s="2718"/>
      <c r="P105" s="2722" t="s">
        <v>2459</v>
      </c>
      <c r="Q105" s="2723"/>
      <c r="R105" s="2723"/>
      <c r="S105" s="2723"/>
      <c r="T105" s="2723"/>
      <c r="U105" s="2724"/>
      <c r="V105" s="1763"/>
      <c r="W105" s="1763"/>
      <c r="X105" s="2762"/>
      <c r="Y105" s="2763"/>
      <c r="Z105" s="2763"/>
      <c r="AA105" s="2763"/>
      <c r="AB105" s="2763"/>
      <c r="AC105" s="2763"/>
      <c r="AD105" s="2763"/>
      <c r="AE105" s="2763"/>
      <c r="AF105" s="2763"/>
      <c r="AG105" s="2763"/>
      <c r="AH105" s="2763"/>
      <c r="AI105" s="2763"/>
      <c r="AJ105" s="2763"/>
      <c r="AK105" s="2763"/>
      <c r="AL105" s="2763"/>
      <c r="AM105" s="2763"/>
      <c r="AN105" s="2763"/>
      <c r="AO105" s="2763"/>
      <c r="AP105" s="2763"/>
      <c r="AQ105" s="2763"/>
      <c r="AR105" s="2763"/>
      <c r="AS105" s="2763"/>
      <c r="AT105" s="2763"/>
      <c r="AU105" s="2763"/>
      <c r="AV105" s="2763"/>
      <c r="AW105" s="2763"/>
      <c r="AX105" s="2763"/>
      <c r="AY105" s="2763"/>
      <c r="AZ105" s="2763"/>
      <c r="BA105" s="2763"/>
      <c r="BB105" s="2763"/>
      <c r="BC105" s="2763"/>
      <c r="BD105" s="2764"/>
      <c r="BE105" s="1769"/>
    </row>
    <row r="106" spans="1:57" ht="15.75" customHeight="1" thickBot="1">
      <c r="A106" s="1763"/>
      <c r="B106" s="2713"/>
      <c r="C106" s="2714"/>
      <c r="D106" s="2714"/>
      <c r="E106" s="2714"/>
      <c r="F106" s="2714"/>
      <c r="G106" s="2714"/>
      <c r="H106" s="2715"/>
      <c r="I106" s="2719"/>
      <c r="J106" s="2720"/>
      <c r="K106" s="2720"/>
      <c r="L106" s="2720"/>
      <c r="M106" s="2720"/>
      <c r="N106" s="2720"/>
      <c r="O106" s="2721"/>
      <c r="P106" s="2725"/>
      <c r="Q106" s="2726"/>
      <c r="R106" s="2726"/>
      <c r="S106" s="2726"/>
      <c r="T106" s="2726"/>
      <c r="U106" s="2727"/>
      <c r="V106" s="1763"/>
      <c r="W106" s="1763"/>
      <c r="X106" s="2762"/>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3"/>
      <c r="AY106" s="2763"/>
      <c r="AZ106" s="2763"/>
      <c r="BA106" s="2763"/>
      <c r="BB106" s="2763"/>
      <c r="BC106" s="2763"/>
      <c r="BD106" s="2764"/>
      <c r="BE106" s="1769"/>
    </row>
    <row r="107" spans="1:57" ht="15.75" customHeight="1" thickBot="1">
      <c r="A107" s="1763"/>
      <c r="B107" s="2693" t="s">
        <v>2440</v>
      </c>
      <c r="C107" s="2694"/>
      <c r="D107" s="2694"/>
      <c r="E107" s="2694"/>
      <c r="F107" s="2694"/>
      <c r="G107" s="2694"/>
      <c r="H107" s="2695"/>
      <c r="I107" s="2696"/>
      <c r="J107" s="2697"/>
      <c r="K107" s="2697"/>
      <c r="L107" s="2697"/>
      <c r="M107" s="2697"/>
      <c r="N107" s="2697"/>
      <c r="O107" s="2698"/>
      <c r="P107" s="2696"/>
      <c r="Q107" s="2697"/>
      <c r="R107" s="2697"/>
      <c r="S107" s="2697"/>
      <c r="T107" s="2697"/>
      <c r="U107" s="2698"/>
      <c r="V107" s="1763"/>
      <c r="W107" s="1763"/>
      <c r="X107" s="2762"/>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3"/>
      <c r="AY107" s="2763"/>
      <c r="AZ107" s="2763"/>
      <c r="BA107" s="2763"/>
      <c r="BB107" s="2763"/>
      <c r="BC107" s="2763"/>
      <c r="BD107" s="2764"/>
      <c r="BE107" s="1769"/>
    </row>
    <row r="108" spans="1:57" ht="15.75" customHeight="1" thickBot="1">
      <c r="A108" s="1763"/>
      <c r="B108" s="2693" t="s">
        <v>2441</v>
      </c>
      <c r="C108" s="2694"/>
      <c r="D108" s="2694"/>
      <c r="E108" s="2694"/>
      <c r="F108" s="2694"/>
      <c r="G108" s="2694"/>
      <c r="H108" s="2695"/>
      <c r="I108" s="2696"/>
      <c r="J108" s="2697"/>
      <c r="K108" s="2697"/>
      <c r="L108" s="2697"/>
      <c r="M108" s="2697"/>
      <c r="N108" s="2697"/>
      <c r="O108" s="2698"/>
      <c r="P108" s="2696"/>
      <c r="Q108" s="2697"/>
      <c r="R108" s="2697"/>
      <c r="S108" s="2697"/>
      <c r="T108" s="2697"/>
      <c r="U108" s="2698"/>
      <c r="V108" s="1763"/>
      <c r="W108" s="1763"/>
      <c r="X108" s="2765"/>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6"/>
      <c r="AY108" s="2766"/>
      <c r="AZ108" s="2766"/>
      <c r="BA108" s="2766"/>
      <c r="BB108" s="2766"/>
      <c r="BC108" s="2766"/>
      <c r="BD108" s="276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8" t="s">
        <v>2049</v>
      </c>
      <c r="C110" s="2729"/>
      <c r="D110" s="2729"/>
      <c r="E110" s="2729"/>
      <c r="F110" s="2729"/>
      <c r="G110" s="2729"/>
      <c r="H110" s="2729"/>
      <c r="I110" s="2729"/>
      <c r="J110" s="2729"/>
      <c r="K110" s="2729"/>
      <c r="L110" s="2729"/>
      <c r="M110" s="2729"/>
      <c r="N110" s="2729"/>
      <c r="O110" s="2729"/>
      <c r="P110" s="2729"/>
      <c r="Q110" s="2729"/>
      <c r="R110" s="2730"/>
      <c r="S110" s="2730"/>
      <c r="T110" s="2730"/>
      <c r="U110" s="2730"/>
      <c r="V110" s="2730"/>
      <c r="W110" s="2730"/>
      <c r="X110" s="2730"/>
      <c r="Y110" s="2730"/>
      <c r="Z110" s="2730"/>
      <c r="AA110" s="2730"/>
      <c r="AB110" s="2730"/>
      <c r="AC110" s="2730"/>
      <c r="AD110" s="2730"/>
      <c r="AE110" s="2730"/>
      <c r="AF110" s="2730"/>
      <c r="AG110" s="2731" t="s">
        <v>1989</v>
      </c>
      <c r="AH110" s="2731"/>
      <c r="AI110" s="2731"/>
      <c r="AJ110" s="273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3" t="s">
        <v>2050</v>
      </c>
      <c r="C111" s="2734"/>
      <c r="D111" s="2734"/>
      <c r="E111" s="2734"/>
      <c r="F111" s="2734"/>
      <c r="G111" s="2734"/>
      <c r="H111" s="2734"/>
      <c r="I111" s="2734"/>
      <c r="J111" s="2734"/>
      <c r="K111" s="2734"/>
      <c r="L111" s="2734"/>
      <c r="M111" s="2734"/>
      <c r="N111" s="2734"/>
      <c r="O111" s="2734"/>
      <c r="P111" s="2734"/>
      <c r="Q111" s="2735"/>
      <c r="R111" s="2736" t="s">
        <v>2462</v>
      </c>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763"/>
      <c r="AZ111" s="1763"/>
      <c r="BA111" s="1763"/>
      <c r="BB111" s="1763"/>
      <c r="BC111" s="1763" t="s">
        <v>256</v>
      </c>
      <c r="BD111" s="1763"/>
      <c r="BE111" s="1769"/>
    </row>
    <row r="112" spans="1:57" ht="15.75" customHeight="1">
      <c r="A112" s="1763"/>
      <c r="B112" s="2739" t="s">
        <v>2463</v>
      </c>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763"/>
      <c r="AZ112" s="1763"/>
      <c r="BA112" s="1763"/>
      <c r="BB112" s="1763"/>
      <c r="BC112" s="1763"/>
      <c r="BD112" s="1763"/>
      <c r="BE112" s="1769"/>
    </row>
    <row r="113" spans="1:57" ht="15.75" customHeight="1">
      <c r="A113" s="1763"/>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763"/>
      <c r="AZ113" s="1763"/>
      <c r="BA113" s="1763"/>
      <c r="BB113" s="1763"/>
      <c r="BC113" s="1763"/>
      <c r="BD113" s="1763"/>
      <c r="BE113" s="1769"/>
    </row>
    <row r="114" spans="1:57" ht="15.75" customHeight="1">
      <c r="A114" s="1763"/>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763"/>
      <c r="AZ114" s="1763"/>
      <c r="BA114" s="1763"/>
      <c r="BB114" s="1763"/>
      <c r="BC114" s="1763"/>
      <c r="BD114" s="1763"/>
      <c r="BE114" s="1769"/>
    </row>
    <row r="115" spans="1:57" ht="15.75" customHeight="1">
      <c r="A115" s="1763"/>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763"/>
      <c r="AZ115" s="1763"/>
      <c r="BA115" s="1763"/>
      <c r="BB115" s="1763"/>
      <c r="BC115" s="1763"/>
      <c r="BD115" s="1763"/>
      <c r="BE115" s="1769"/>
    </row>
    <row r="116" spans="1:57" ht="15.75" customHeight="1">
      <c r="A116" s="1763"/>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763"/>
      <c r="AZ116" s="1763"/>
      <c r="BA116" s="1763"/>
      <c r="BB116" s="1763"/>
      <c r="BC116" s="1763"/>
      <c r="BD116" s="1763"/>
      <c r="BE116" s="1769"/>
    </row>
    <row r="117" spans="1:57" ht="15.75" customHeight="1">
      <c r="A117" s="1763"/>
      <c r="B117" s="2742"/>
      <c r="C117" s="2743"/>
      <c r="D117" s="2743"/>
      <c r="E117" s="2743"/>
      <c r="F117" s="2743"/>
      <c r="G117" s="2743"/>
      <c r="H117" s="2743"/>
      <c r="I117" s="2743"/>
      <c r="J117" s="2743"/>
      <c r="K117" s="2743"/>
      <c r="L117" s="2743"/>
      <c r="M117" s="2743"/>
      <c r="N117" s="2743"/>
      <c r="O117" s="2743"/>
      <c r="P117" s="2743"/>
      <c r="Q117" s="2743"/>
      <c r="R117" s="2743"/>
      <c r="S117" s="2743"/>
      <c r="T117" s="2743"/>
      <c r="U117" s="2743"/>
      <c r="V117" s="2743"/>
      <c r="W117" s="2743"/>
      <c r="X117" s="2743"/>
      <c r="Y117" s="2743"/>
      <c r="Z117" s="2743"/>
      <c r="AA117" s="2743"/>
      <c r="AB117" s="2743"/>
      <c r="AC117" s="2743"/>
      <c r="AD117" s="2743"/>
      <c r="AE117" s="2743"/>
      <c r="AF117" s="2743"/>
      <c r="AG117" s="2743"/>
      <c r="AH117" s="2743"/>
      <c r="AI117" s="2743"/>
      <c r="AJ117" s="2743"/>
      <c r="AK117" s="2743"/>
      <c r="AL117" s="2743"/>
      <c r="AM117" s="2743"/>
      <c r="AN117" s="2743"/>
      <c r="AO117" s="2743"/>
      <c r="AP117" s="2743"/>
      <c r="AQ117" s="2743"/>
      <c r="AR117" s="2743"/>
      <c r="AS117" s="2743"/>
      <c r="AT117" s="2743"/>
      <c r="AU117" s="2743"/>
      <c r="AV117" s="2743"/>
      <c r="AW117" s="2743"/>
      <c r="AX117" s="2744"/>
      <c r="AY117" s="1763"/>
      <c r="AZ117" s="1763"/>
      <c r="BA117" s="1763"/>
      <c r="BB117" s="1763"/>
      <c r="BC117" s="1763"/>
      <c r="BD117" s="1763"/>
      <c r="BE117" s="1769"/>
    </row>
    <row r="118" spans="1:57" ht="15.75" customHeight="1">
      <c r="A118" s="1763"/>
      <c r="B118" s="2742"/>
      <c r="C118" s="2743"/>
      <c r="D118" s="2743"/>
      <c r="E118" s="2743"/>
      <c r="F118" s="2743"/>
      <c r="G118" s="2743"/>
      <c r="H118" s="2743"/>
      <c r="I118" s="2743"/>
      <c r="J118" s="2743"/>
      <c r="K118" s="2743"/>
      <c r="L118" s="2743"/>
      <c r="M118" s="2743"/>
      <c r="N118" s="2743"/>
      <c r="O118" s="2743"/>
      <c r="P118" s="2743"/>
      <c r="Q118" s="2743"/>
      <c r="R118" s="2743"/>
      <c r="S118" s="2743"/>
      <c r="T118" s="2743"/>
      <c r="U118" s="2743"/>
      <c r="V118" s="2743"/>
      <c r="W118" s="2743"/>
      <c r="X118" s="2743"/>
      <c r="Y118" s="2743"/>
      <c r="Z118" s="2743"/>
      <c r="AA118" s="2743"/>
      <c r="AB118" s="2743"/>
      <c r="AC118" s="2743"/>
      <c r="AD118" s="2743"/>
      <c r="AE118" s="2743"/>
      <c r="AF118" s="2743"/>
      <c r="AG118" s="2743"/>
      <c r="AH118" s="2743"/>
      <c r="AI118" s="2743"/>
      <c r="AJ118" s="2743"/>
      <c r="AK118" s="2743"/>
      <c r="AL118" s="2743"/>
      <c r="AM118" s="2743"/>
      <c r="AN118" s="2743"/>
      <c r="AO118" s="2743"/>
      <c r="AP118" s="2743"/>
      <c r="AQ118" s="2743"/>
      <c r="AR118" s="2743"/>
      <c r="AS118" s="2743"/>
      <c r="AT118" s="2743"/>
      <c r="AU118" s="2743"/>
      <c r="AV118" s="2743"/>
      <c r="AW118" s="2743"/>
      <c r="AX118" s="2744"/>
      <c r="AY118" s="1763"/>
      <c r="AZ118" s="1763"/>
      <c r="BA118" s="1763"/>
      <c r="BB118" s="1763"/>
      <c r="BC118" s="1763"/>
      <c r="BD118" s="1763"/>
      <c r="BE118" s="1769"/>
    </row>
    <row r="119" spans="1:57" ht="15.75" customHeight="1">
      <c r="A119" s="1763"/>
      <c r="B119" s="2742"/>
      <c r="C119" s="2743"/>
      <c r="D119" s="2743"/>
      <c r="E119" s="2743"/>
      <c r="F119" s="2743"/>
      <c r="G119" s="2743"/>
      <c r="H119" s="2743"/>
      <c r="I119" s="2743"/>
      <c r="J119" s="2743"/>
      <c r="K119" s="2743"/>
      <c r="L119" s="2743"/>
      <c r="M119" s="2743"/>
      <c r="N119" s="2743"/>
      <c r="O119" s="2743"/>
      <c r="P119" s="2743"/>
      <c r="Q119" s="2743"/>
      <c r="R119" s="2743"/>
      <c r="S119" s="2743"/>
      <c r="T119" s="2743"/>
      <c r="U119" s="2743"/>
      <c r="V119" s="2743"/>
      <c r="W119" s="2743"/>
      <c r="X119" s="2743"/>
      <c r="Y119" s="2743"/>
      <c r="Z119" s="2743"/>
      <c r="AA119" s="2743"/>
      <c r="AB119" s="2743"/>
      <c r="AC119" s="2743"/>
      <c r="AD119" s="2743"/>
      <c r="AE119" s="2743"/>
      <c r="AF119" s="2743"/>
      <c r="AG119" s="2743"/>
      <c r="AH119" s="2743"/>
      <c r="AI119" s="2743"/>
      <c r="AJ119" s="2743"/>
      <c r="AK119" s="2743"/>
      <c r="AL119" s="2743"/>
      <c r="AM119" s="2743"/>
      <c r="AN119" s="2743"/>
      <c r="AO119" s="2743"/>
      <c r="AP119" s="2743"/>
      <c r="AQ119" s="2743"/>
      <c r="AR119" s="2743"/>
      <c r="AS119" s="2743"/>
      <c r="AT119" s="2743"/>
      <c r="AU119" s="2743"/>
      <c r="AV119" s="2743"/>
      <c r="AW119" s="2743"/>
      <c r="AX119" s="2744"/>
      <c r="AY119" s="1763"/>
      <c r="AZ119" s="1763"/>
      <c r="BA119" s="1763"/>
      <c r="BB119" s="1763"/>
      <c r="BC119" s="1763"/>
      <c r="BD119" s="1763"/>
      <c r="BE119" s="1769"/>
    </row>
    <row r="120" spans="1:57" ht="15.75" customHeight="1">
      <c r="A120" s="1763"/>
      <c r="B120" s="2742"/>
      <c r="C120" s="2743"/>
      <c r="D120" s="2743"/>
      <c r="E120" s="2743"/>
      <c r="F120" s="2743"/>
      <c r="G120" s="2743"/>
      <c r="H120" s="2743"/>
      <c r="I120" s="2743"/>
      <c r="J120" s="2743"/>
      <c r="K120" s="2743"/>
      <c r="L120" s="2743"/>
      <c r="M120" s="2743"/>
      <c r="N120" s="2743"/>
      <c r="O120" s="2743"/>
      <c r="P120" s="2743"/>
      <c r="Q120" s="2743"/>
      <c r="R120" s="2743"/>
      <c r="S120" s="2743"/>
      <c r="T120" s="2743"/>
      <c r="U120" s="2743"/>
      <c r="V120" s="2743"/>
      <c r="W120" s="2743"/>
      <c r="X120" s="2743"/>
      <c r="Y120" s="2743"/>
      <c r="Z120" s="2743"/>
      <c r="AA120" s="2743"/>
      <c r="AB120" s="2743"/>
      <c r="AC120" s="2743"/>
      <c r="AD120" s="2743"/>
      <c r="AE120" s="2743"/>
      <c r="AF120" s="2743"/>
      <c r="AG120" s="2743"/>
      <c r="AH120" s="2743"/>
      <c r="AI120" s="2743"/>
      <c r="AJ120" s="2743"/>
      <c r="AK120" s="2743"/>
      <c r="AL120" s="2743"/>
      <c r="AM120" s="2743"/>
      <c r="AN120" s="2743"/>
      <c r="AO120" s="2743"/>
      <c r="AP120" s="2743"/>
      <c r="AQ120" s="2743"/>
      <c r="AR120" s="2743"/>
      <c r="AS120" s="2743"/>
      <c r="AT120" s="2743"/>
      <c r="AU120" s="2743"/>
      <c r="AV120" s="2743"/>
      <c r="AW120" s="2743"/>
      <c r="AX120" s="2744"/>
      <c r="AY120" s="1763"/>
      <c r="AZ120" s="1763"/>
      <c r="BA120" s="1763"/>
      <c r="BB120" s="1763"/>
      <c r="BC120" s="1763"/>
      <c r="BD120" s="1763"/>
      <c r="BE120" s="1769"/>
    </row>
    <row r="121" spans="1:57" ht="15.75" customHeight="1" thickBot="1">
      <c r="A121" s="1763"/>
      <c r="B121" s="2745"/>
      <c r="C121" s="2746"/>
      <c r="D121" s="2746"/>
      <c r="E121" s="2746"/>
      <c r="F121" s="2746"/>
      <c r="G121" s="2746"/>
      <c r="H121" s="2746"/>
      <c r="I121" s="2746"/>
      <c r="J121" s="2746"/>
      <c r="K121" s="2746"/>
      <c r="L121" s="2746"/>
      <c r="M121" s="2746"/>
      <c r="N121" s="2746"/>
      <c r="O121" s="2746"/>
      <c r="P121" s="2746"/>
      <c r="Q121" s="2746"/>
      <c r="R121" s="2746"/>
      <c r="S121" s="2746"/>
      <c r="T121" s="2746"/>
      <c r="U121" s="2746"/>
      <c r="V121" s="2746"/>
      <c r="W121" s="2746"/>
      <c r="X121" s="2746"/>
      <c r="Y121" s="2746"/>
      <c r="Z121" s="2746"/>
      <c r="AA121" s="2746"/>
      <c r="AB121" s="2746"/>
      <c r="AC121" s="2746"/>
      <c r="AD121" s="2746"/>
      <c r="AE121" s="2746"/>
      <c r="AF121" s="2746"/>
      <c r="AG121" s="2746"/>
      <c r="AH121" s="2746"/>
      <c r="AI121" s="2746"/>
      <c r="AJ121" s="2746"/>
      <c r="AK121" s="2746"/>
      <c r="AL121" s="2746"/>
      <c r="AM121" s="2746"/>
      <c r="AN121" s="2746"/>
      <c r="AO121" s="2746"/>
      <c r="AP121" s="2746"/>
      <c r="AQ121" s="2746"/>
      <c r="AR121" s="2746"/>
      <c r="AS121" s="2746"/>
      <c r="AT121" s="2746"/>
      <c r="AU121" s="2746"/>
      <c r="AV121" s="2746"/>
      <c r="AW121" s="2746"/>
      <c r="AX121" s="274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9" t="s">
        <v>2052</v>
      </c>
      <c r="C125" s="2700"/>
      <c r="D125" s="2700"/>
      <c r="E125" s="2700"/>
      <c r="F125" s="2700"/>
      <c r="G125" s="2700"/>
      <c r="H125" s="2700"/>
      <c r="I125" s="2700"/>
      <c r="J125" s="2700"/>
      <c r="K125" s="2700"/>
      <c r="L125" s="2700"/>
      <c r="M125" s="2700"/>
      <c r="N125" s="2700"/>
      <c r="O125" s="2700"/>
      <c r="P125" s="2700"/>
      <c r="Q125" s="2700"/>
      <c r="R125" s="2700"/>
      <c r="S125" s="2700"/>
      <c r="T125" s="2700"/>
      <c r="U125" s="2748"/>
      <c r="V125" s="1763"/>
      <c r="W125" s="1765"/>
      <c r="X125" s="2699" t="s">
        <v>2465</v>
      </c>
      <c r="Y125" s="2700"/>
      <c r="Z125" s="2700"/>
      <c r="AA125" s="2700"/>
      <c r="AB125" s="2700"/>
      <c r="AC125" s="2700"/>
      <c r="AD125" s="2700"/>
      <c r="AE125" s="2700"/>
      <c r="AF125" s="2700"/>
      <c r="AG125" s="2700"/>
      <c r="AH125" s="2700"/>
      <c r="AI125" s="2700"/>
      <c r="AJ125" s="2700"/>
      <c r="AK125" s="2700"/>
      <c r="AL125" s="2700"/>
      <c r="AM125" s="2700"/>
      <c r="AN125" s="2700"/>
      <c r="AO125" s="2700"/>
      <c r="AP125" s="2700"/>
      <c r="AQ125" s="274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0"/>
      <c r="C126" s="2711"/>
      <c r="D126" s="2711"/>
      <c r="E126" s="2711"/>
      <c r="F126" s="2711"/>
      <c r="G126" s="2711"/>
      <c r="H126" s="2712"/>
      <c r="I126" s="2716" t="s">
        <v>2041</v>
      </c>
      <c r="J126" s="2717"/>
      <c r="K126" s="2717"/>
      <c r="L126" s="2717"/>
      <c r="M126" s="2717"/>
      <c r="N126" s="2717"/>
      <c r="O126" s="2718"/>
      <c r="P126" s="2722" t="s">
        <v>2466</v>
      </c>
      <c r="Q126" s="2723"/>
      <c r="R126" s="2723"/>
      <c r="S126" s="2723"/>
      <c r="T126" s="2723"/>
      <c r="U126" s="2724"/>
      <c r="V126" s="1763"/>
      <c r="W126" s="1763"/>
      <c r="X126" s="2710"/>
      <c r="Y126" s="2711"/>
      <c r="Z126" s="2711"/>
      <c r="AA126" s="2711"/>
      <c r="AB126" s="2711"/>
      <c r="AC126" s="2711"/>
      <c r="AD126" s="2712"/>
      <c r="AE126" s="2716" t="s">
        <v>2041</v>
      </c>
      <c r="AF126" s="2717"/>
      <c r="AG126" s="2717"/>
      <c r="AH126" s="2717"/>
      <c r="AI126" s="2717"/>
      <c r="AJ126" s="2717"/>
      <c r="AK126" s="2718"/>
      <c r="AL126" s="2722" t="s">
        <v>2459</v>
      </c>
      <c r="AM126" s="2723"/>
      <c r="AN126" s="2723"/>
      <c r="AO126" s="2723"/>
      <c r="AP126" s="2723"/>
      <c r="AQ126" s="272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3"/>
      <c r="C127" s="2714"/>
      <c r="D127" s="2714"/>
      <c r="E127" s="2714"/>
      <c r="F127" s="2714"/>
      <c r="G127" s="2714"/>
      <c r="H127" s="2715"/>
      <c r="I127" s="2719"/>
      <c r="J127" s="2720"/>
      <c r="K127" s="2720"/>
      <c r="L127" s="2720"/>
      <c r="M127" s="2720"/>
      <c r="N127" s="2720"/>
      <c r="O127" s="2721"/>
      <c r="P127" s="2725"/>
      <c r="Q127" s="2726"/>
      <c r="R127" s="2726"/>
      <c r="S127" s="2726"/>
      <c r="T127" s="2726"/>
      <c r="U127" s="2727"/>
      <c r="V127" s="1763"/>
      <c r="W127" s="1763"/>
      <c r="X127" s="2713"/>
      <c r="Y127" s="2714"/>
      <c r="Z127" s="2714"/>
      <c r="AA127" s="2714"/>
      <c r="AB127" s="2714"/>
      <c r="AC127" s="2714"/>
      <c r="AD127" s="2715"/>
      <c r="AE127" s="2719"/>
      <c r="AF127" s="2720"/>
      <c r="AG127" s="2720"/>
      <c r="AH127" s="2720"/>
      <c r="AI127" s="2720"/>
      <c r="AJ127" s="2720"/>
      <c r="AK127" s="2721"/>
      <c r="AL127" s="2725"/>
      <c r="AM127" s="2726"/>
      <c r="AN127" s="2726"/>
      <c r="AO127" s="2726"/>
      <c r="AP127" s="2726"/>
      <c r="AQ127" s="272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3" t="s">
        <v>2440</v>
      </c>
      <c r="C128" s="2694"/>
      <c r="D128" s="2694"/>
      <c r="E128" s="2694"/>
      <c r="F128" s="2694"/>
      <c r="G128" s="2694"/>
      <c r="H128" s="2695"/>
      <c r="I128" s="2696"/>
      <c r="J128" s="2697"/>
      <c r="K128" s="2697"/>
      <c r="L128" s="2697"/>
      <c r="M128" s="2697"/>
      <c r="N128" s="2697"/>
      <c r="O128" s="2698"/>
      <c r="P128" s="2696"/>
      <c r="Q128" s="2697"/>
      <c r="R128" s="2697"/>
      <c r="S128" s="2697"/>
      <c r="T128" s="2697"/>
      <c r="U128" s="2698"/>
      <c r="V128" s="1763"/>
      <c r="W128" s="1763"/>
      <c r="X128" s="2693" t="s">
        <v>2440</v>
      </c>
      <c r="Y128" s="2694"/>
      <c r="Z128" s="2694"/>
      <c r="AA128" s="2694"/>
      <c r="AB128" s="2694"/>
      <c r="AC128" s="2694"/>
      <c r="AD128" s="2695"/>
      <c r="AE128" s="2696"/>
      <c r="AF128" s="2697"/>
      <c r="AG128" s="2697"/>
      <c r="AH128" s="2697"/>
      <c r="AI128" s="2697"/>
      <c r="AJ128" s="2697"/>
      <c r="AK128" s="2698"/>
      <c r="AL128" s="2696"/>
      <c r="AM128" s="2697"/>
      <c r="AN128" s="2697"/>
      <c r="AO128" s="2697"/>
      <c r="AP128" s="2697"/>
      <c r="AQ128" s="269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3" t="s">
        <v>2441</v>
      </c>
      <c r="C129" s="2694"/>
      <c r="D129" s="2694"/>
      <c r="E129" s="2694"/>
      <c r="F129" s="2694"/>
      <c r="G129" s="2694"/>
      <c r="H129" s="2695"/>
      <c r="I129" s="2696"/>
      <c r="J129" s="2697"/>
      <c r="K129" s="2697"/>
      <c r="L129" s="2697"/>
      <c r="M129" s="2697"/>
      <c r="N129" s="2697"/>
      <c r="O129" s="2698"/>
      <c r="P129" s="2696"/>
      <c r="Q129" s="2697"/>
      <c r="R129" s="2697"/>
      <c r="S129" s="2697"/>
      <c r="T129" s="2697"/>
      <c r="U129" s="269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9" t="s">
        <v>2442</v>
      </c>
      <c r="D131" s="2700"/>
      <c r="E131" s="2700"/>
      <c r="F131" s="2700"/>
      <c r="G131" s="2700"/>
      <c r="H131" s="2700"/>
      <c r="I131" s="2700"/>
      <c r="J131" s="2700"/>
      <c r="K131" s="2700"/>
      <c r="L131" s="2700"/>
      <c r="M131" s="2700"/>
      <c r="N131" s="2700"/>
      <c r="O131" s="2700"/>
      <c r="P131" s="2700"/>
      <c r="Q131" s="2700"/>
      <c r="R131" s="2700"/>
      <c r="S131" s="2700"/>
      <c r="T131" s="2700"/>
      <c r="U131" s="2700"/>
      <c r="V131" s="2700"/>
      <c r="W131" s="2700"/>
      <c r="X131" s="2700"/>
      <c r="Y131" s="2700"/>
      <c r="Z131" s="2700"/>
      <c r="AA131" s="2700"/>
      <c r="AB131" s="2700"/>
      <c r="AC131" s="2700"/>
      <c r="AD131" s="2700"/>
      <c r="AE131" s="2700"/>
      <c r="AF131" s="2700"/>
      <c r="AG131" s="270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3" t="s">
        <v>2053</v>
      </c>
      <c r="D132" s="2624"/>
      <c r="E132" s="2624"/>
      <c r="F132" s="2624"/>
      <c r="G132" s="2624"/>
      <c r="H132" s="2624"/>
      <c r="I132" s="2624"/>
      <c r="J132" s="2624"/>
      <c r="K132" s="2624"/>
      <c r="L132" s="2624"/>
      <c r="M132" s="2624"/>
      <c r="N132" s="2624"/>
      <c r="O132" s="2624"/>
      <c r="P132" s="2702"/>
      <c r="Q132" s="2703" t="s">
        <v>2054</v>
      </c>
      <c r="R132" s="2624"/>
      <c r="S132" s="2702"/>
      <c r="T132" s="2704" t="s">
        <v>2443</v>
      </c>
      <c r="U132" s="2705"/>
      <c r="V132" s="2705"/>
      <c r="W132" s="2705"/>
      <c r="X132" s="2705"/>
      <c r="Y132" s="2705"/>
      <c r="Z132" s="2705"/>
      <c r="AA132" s="2706"/>
      <c r="AB132" s="2707" t="s">
        <v>2055</v>
      </c>
      <c r="AC132" s="2708"/>
      <c r="AD132" s="2708"/>
      <c r="AE132" s="2708"/>
      <c r="AF132" s="2708"/>
      <c r="AG132" s="270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1" t="s">
        <v>2056</v>
      </c>
      <c r="D133" s="2612"/>
      <c r="E133" s="2612"/>
      <c r="F133" s="2612"/>
      <c r="G133" s="2612"/>
      <c r="H133" s="2612"/>
      <c r="I133" s="2612"/>
      <c r="J133" s="2612"/>
      <c r="K133" s="2612"/>
      <c r="L133" s="2612"/>
      <c r="M133" s="2612"/>
      <c r="N133" s="2612"/>
      <c r="O133" s="2612"/>
      <c r="P133" s="2628"/>
      <c r="Q133" s="2685">
        <v>55</v>
      </c>
      <c r="R133" s="2686"/>
      <c r="S133" s="2687"/>
      <c r="T133" s="2688"/>
      <c r="U133" s="2689"/>
      <c r="V133" s="2689"/>
      <c r="W133" s="2689"/>
      <c r="X133" s="2689"/>
      <c r="Y133" s="2689"/>
      <c r="Z133" s="2689"/>
      <c r="AA133" s="268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1" t="s">
        <v>2057</v>
      </c>
      <c r="D134" s="2612"/>
      <c r="E134" s="2612"/>
      <c r="F134" s="2612"/>
      <c r="G134" s="2612"/>
      <c r="H134" s="2612"/>
      <c r="I134" s="2612"/>
      <c r="J134" s="2612"/>
      <c r="K134" s="2612"/>
      <c r="L134" s="2612"/>
      <c r="M134" s="2612"/>
      <c r="N134" s="2612"/>
      <c r="O134" s="2612"/>
      <c r="P134" s="2628"/>
      <c r="Q134" s="2685">
        <v>55</v>
      </c>
      <c r="R134" s="2686"/>
      <c r="S134" s="2687"/>
      <c r="T134" s="2691"/>
      <c r="U134" s="2692"/>
      <c r="V134" s="2692"/>
      <c r="W134" s="2692"/>
      <c r="X134" s="2692"/>
      <c r="Y134" s="2692"/>
      <c r="Z134" s="2692"/>
      <c r="AA134" s="269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1" t="s">
        <v>2058</v>
      </c>
      <c r="D135" s="2612"/>
      <c r="E135" s="2612"/>
      <c r="F135" s="2612"/>
      <c r="G135" s="2612"/>
      <c r="H135" s="2612"/>
      <c r="I135" s="2612"/>
      <c r="J135" s="2612"/>
      <c r="K135" s="2612"/>
      <c r="L135" s="2612"/>
      <c r="M135" s="2612"/>
      <c r="N135" s="2612"/>
      <c r="O135" s="2612"/>
      <c r="P135" s="2628"/>
      <c r="Q135" s="2685">
        <v>55</v>
      </c>
      <c r="R135" s="2686"/>
      <c r="S135" s="2687"/>
      <c r="T135" s="2688"/>
      <c r="U135" s="2689"/>
      <c r="V135" s="2689"/>
      <c r="W135" s="2689"/>
      <c r="X135" s="2689"/>
      <c r="Y135" s="2689"/>
      <c r="Z135" s="2689"/>
      <c r="AA135" s="268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1" t="s">
        <v>2021</v>
      </c>
      <c r="D136" s="2612"/>
      <c r="E136" s="2612"/>
      <c r="F136" s="2612"/>
      <c r="G136" s="2612"/>
      <c r="H136" s="2612"/>
      <c r="I136" s="2612"/>
      <c r="J136" s="2612"/>
      <c r="K136" s="2612"/>
      <c r="L136" s="2612"/>
      <c r="M136" s="2612"/>
      <c r="N136" s="2612"/>
      <c r="O136" s="2612"/>
      <c r="P136" s="2628"/>
      <c r="Q136" s="2685">
        <v>55</v>
      </c>
      <c r="R136" s="2686"/>
      <c r="S136" s="2687"/>
      <c r="T136" s="2688"/>
      <c r="U136" s="2689"/>
      <c r="V136" s="2689"/>
      <c r="W136" s="2689"/>
      <c r="X136" s="2689"/>
      <c r="Y136" s="2689"/>
      <c r="Z136" s="2689"/>
      <c r="AA136" s="2690"/>
      <c r="AB136" s="2682">
        <v>0</v>
      </c>
      <c r="AC136" s="2683"/>
      <c r="AD136" s="2683"/>
      <c r="AE136" s="2683"/>
      <c r="AF136" s="2683"/>
      <c r="AG136" s="26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0" t="s">
        <v>175</v>
      </c>
      <c r="D137" s="2671"/>
      <c r="E137" s="2671"/>
      <c r="F137" s="2602" t="s">
        <v>2059</v>
      </c>
      <c r="G137" s="2602"/>
      <c r="H137" s="2602"/>
      <c r="I137" s="2602"/>
      <c r="J137" s="2602"/>
      <c r="K137" s="2602"/>
      <c r="L137" s="2602"/>
      <c r="M137" s="2602"/>
      <c r="N137" s="2602"/>
      <c r="O137" s="2602"/>
      <c r="P137" s="2602"/>
      <c r="Q137" s="2672">
        <v>55</v>
      </c>
      <c r="R137" s="2672"/>
      <c r="S137" s="2672"/>
      <c r="T137" s="2673"/>
      <c r="U137" s="2673"/>
      <c r="V137" s="2673"/>
      <c r="W137" s="2673"/>
      <c r="X137" s="2673"/>
      <c r="Y137" s="2673"/>
      <c r="Z137" s="2673"/>
      <c r="AA137" s="2673"/>
      <c r="AB137" s="2674">
        <v>0</v>
      </c>
      <c r="AC137" s="2675"/>
      <c r="AD137" s="2675"/>
      <c r="AE137" s="2675"/>
      <c r="AF137" s="2675"/>
      <c r="AG137" s="267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0" t="s">
        <v>175</v>
      </c>
      <c r="D138" s="2671"/>
      <c r="E138" s="2671"/>
      <c r="F138" s="2602" t="s">
        <v>2059</v>
      </c>
      <c r="G138" s="2602"/>
      <c r="H138" s="2602"/>
      <c r="I138" s="2602"/>
      <c r="J138" s="2602"/>
      <c r="K138" s="2602"/>
      <c r="L138" s="2602"/>
      <c r="M138" s="2602"/>
      <c r="N138" s="2602"/>
      <c r="O138" s="2602"/>
      <c r="P138" s="2602"/>
      <c r="Q138" s="2672">
        <v>55</v>
      </c>
      <c r="R138" s="2672"/>
      <c r="S138" s="2672"/>
      <c r="T138" s="2673"/>
      <c r="U138" s="2673"/>
      <c r="V138" s="2673"/>
      <c r="W138" s="2673"/>
      <c r="X138" s="2673"/>
      <c r="Y138" s="2673"/>
      <c r="Z138" s="2673"/>
      <c r="AA138" s="2673"/>
      <c r="AB138" s="2674">
        <v>0</v>
      </c>
      <c r="AC138" s="2675"/>
      <c r="AD138" s="2675"/>
      <c r="AE138" s="2675"/>
      <c r="AF138" s="2675"/>
      <c r="AG138" s="267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0" t="s">
        <v>175</v>
      </c>
      <c r="D139" s="2671"/>
      <c r="E139" s="2671"/>
      <c r="F139" s="2593" t="s">
        <v>2059</v>
      </c>
      <c r="G139" s="2593"/>
      <c r="H139" s="2593"/>
      <c r="I139" s="2593"/>
      <c r="J139" s="2593"/>
      <c r="K139" s="2593"/>
      <c r="L139" s="2593"/>
      <c r="M139" s="2593"/>
      <c r="N139" s="2593"/>
      <c r="O139" s="2593"/>
      <c r="P139" s="2593"/>
      <c r="Q139" s="2677">
        <v>55</v>
      </c>
      <c r="R139" s="2677"/>
      <c r="S139" s="2677"/>
      <c r="T139" s="2678"/>
      <c r="U139" s="2678"/>
      <c r="V139" s="2678"/>
      <c r="W139" s="2678"/>
      <c r="X139" s="2678"/>
      <c r="Y139" s="2678"/>
      <c r="Z139" s="2678"/>
      <c r="AA139" s="2678"/>
      <c r="AB139" s="2679">
        <v>0</v>
      </c>
      <c r="AC139" s="2680"/>
      <c r="AD139" s="2680"/>
      <c r="AE139" s="2680"/>
      <c r="AF139" s="2680"/>
      <c r="AG139" s="268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5" t="s">
        <v>2060</v>
      </c>
      <c r="D141" s="2656"/>
      <c r="E141" s="2656"/>
      <c r="F141" s="2656"/>
      <c r="G141" s="2656"/>
      <c r="H141" s="2656"/>
      <c r="I141" s="2656"/>
      <c r="J141" s="2656"/>
      <c r="K141" s="2656"/>
      <c r="L141" s="2656"/>
      <c r="M141" s="2656"/>
      <c r="N141" s="2657"/>
      <c r="O141" s="1763"/>
      <c r="P141" s="2658" t="s">
        <v>2061</v>
      </c>
      <c r="Q141" s="2659"/>
      <c r="R141" s="2659"/>
      <c r="S141" s="2659"/>
      <c r="T141" s="2659"/>
      <c r="U141" s="2659"/>
      <c r="V141" s="2659"/>
      <c r="W141" s="2659"/>
      <c r="X141" s="2659"/>
      <c r="Y141" s="2659"/>
      <c r="Z141" s="2659"/>
      <c r="AA141" s="2659"/>
      <c r="AB141" s="2659"/>
      <c r="AC141" s="2659"/>
      <c r="AD141" s="2659"/>
      <c r="AE141" s="2659"/>
      <c r="AF141" s="2659"/>
      <c r="AG141" s="2659"/>
      <c r="AH141" s="2659"/>
      <c r="AI141" s="2659"/>
      <c r="AJ141" s="2659"/>
      <c r="AK141" s="2659"/>
      <c r="AL141" s="2659"/>
      <c r="AM141" s="2659"/>
      <c r="AN141" s="2659"/>
      <c r="AO141" s="266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1" t="s">
        <v>2062</v>
      </c>
      <c r="D142" s="2662"/>
      <c r="E142" s="2662"/>
      <c r="F142" s="2662"/>
      <c r="G142" s="2662"/>
      <c r="H142" s="2663"/>
      <c r="I142" s="2661" t="s">
        <v>2063</v>
      </c>
      <c r="J142" s="2662"/>
      <c r="K142" s="2662"/>
      <c r="L142" s="2662"/>
      <c r="M142" s="2662"/>
      <c r="N142" s="2663"/>
      <c r="O142" s="1763"/>
      <c r="P142" s="2664" t="s">
        <v>2457</v>
      </c>
      <c r="Q142" s="2665"/>
      <c r="R142" s="2665"/>
      <c r="S142" s="2665"/>
      <c r="T142" s="2665"/>
      <c r="U142" s="2665"/>
      <c r="V142" s="2665"/>
      <c r="W142" s="2665"/>
      <c r="X142" s="2665"/>
      <c r="Y142" s="2665"/>
      <c r="Z142" s="2665"/>
      <c r="AA142" s="2665"/>
      <c r="AB142" s="2665"/>
      <c r="AC142" s="2665"/>
      <c r="AD142" s="2665"/>
      <c r="AE142" s="2665"/>
      <c r="AF142" s="2665"/>
      <c r="AG142" s="2665"/>
      <c r="AH142" s="2665"/>
      <c r="AI142" s="2665"/>
      <c r="AJ142" s="2665"/>
      <c r="AK142" s="2665"/>
      <c r="AL142" s="2665"/>
      <c r="AM142" s="2665"/>
      <c r="AN142" s="2665"/>
      <c r="AO142" s="266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5"/>
      <c r="D143" s="2645"/>
      <c r="E143" s="2645"/>
      <c r="F143" s="2645"/>
      <c r="G143" s="2645"/>
      <c r="H143" s="2645"/>
      <c r="I143" s="2646"/>
      <c r="J143" s="2646"/>
      <c r="K143" s="2646"/>
      <c r="L143" s="2646"/>
      <c r="M143" s="2646"/>
      <c r="N143" s="2646"/>
      <c r="O143" s="1763"/>
      <c r="P143" s="2664"/>
      <c r="Q143" s="2665"/>
      <c r="R143" s="2665"/>
      <c r="S143" s="2665"/>
      <c r="T143" s="2665"/>
      <c r="U143" s="2665"/>
      <c r="V143" s="2665"/>
      <c r="W143" s="2665"/>
      <c r="X143" s="2665"/>
      <c r="Y143" s="2665"/>
      <c r="Z143" s="2665"/>
      <c r="AA143" s="2665"/>
      <c r="AB143" s="2665"/>
      <c r="AC143" s="2665"/>
      <c r="AD143" s="2665"/>
      <c r="AE143" s="2665"/>
      <c r="AF143" s="2665"/>
      <c r="AG143" s="2665"/>
      <c r="AH143" s="2665"/>
      <c r="AI143" s="2665"/>
      <c r="AJ143" s="2665"/>
      <c r="AK143" s="2665"/>
      <c r="AL143" s="2665"/>
      <c r="AM143" s="2665"/>
      <c r="AN143" s="2665"/>
      <c r="AO143" s="266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5"/>
      <c r="D144" s="2645"/>
      <c r="E144" s="2645"/>
      <c r="F144" s="2645"/>
      <c r="G144" s="2645"/>
      <c r="H144" s="2645"/>
      <c r="I144" s="2646"/>
      <c r="J144" s="2646"/>
      <c r="K144" s="2646"/>
      <c r="L144" s="2646"/>
      <c r="M144" s="2646"/>
      <c r="N144" s="2646"/>
      <c r="O144" s="1763"/>
      <c r="P144" s="2664"/>
      <c r="Q144" s="2665"/>
      <c r="R144" s="2665"/>
      <c r="S144" s="2665"/>
      <c r="T144" s="2665"/>
      <c r="U144" s="2665"/>
      <c r="V144" s="2665"/>
      <c r="W144" s="2665"/>
      <c r="X144" s="2665"/>
      <c r="Y144" s="2665"/>
      <c r="Z144" s="2665"/>
      <c r="AA144" s="2665"/>
      <c r="AB144" s="2665"/>
      <c r="AC144" s="2665"/>
      <c r="AD144" s="2665"/>
      <c r="AE144" s="2665"/>
      <c r="AF144" s="2665"/>
      <c r="AG144" s="2665"/>
      <c r="AH144" s="2665"/>
      <c r="AI144" s="2665"/>
      <c r="AJ144" s="2665"/>
      <c r="AK144" s="2665"/>
      <c r="AL144" s="2665"/>
      <c r="AM144" s="2665"/>
      <c r="AN144" s="2665"/>
      <c r="AO144" s="266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5"/>
      <c r="D145" s="2645"/>
      <c r="E145" s="2645"/>
      <c r="F145" s="2645"/>
      <c r="G145" s="2645"/>
      <c r="H145" s="2645"/>
      <c r="I145" s="2646"/>
      <c r="J145" s="2646"/>
      <c r="K145" s="2646"/>
      <c r="L145" s="2646"/>
      <c r="M145" s="2646"/>
      <c r="N145" s="2646"/>
      <c r="O145" s="1763"/>
      <c r="P145" s="2664"/>
      <c r="Q145" s="2665"/>
      <c r="R145" s="2665"/>
      <c r="S145" s="2665"/>
      <c r="T145" s="2665"/>
      <c r="U145" s="2665"/>
      <c r="V145" s="2665"/>
      <c r="W145" s="2665"/>
      <c r="X145" s="2665"/>
      <c r="Y145" s="2665"/>
      <c r="Z145" s="2665"/>
      <c r="AA145" s="2665"/>
      <c r="AB145" s="2665"/>
      <c r="AC145" s="2665"/>
      <c r="AD145" s="2665"/>
      <c r="AE145" s="2665"/>
      <c r="AF145" s="2665"/>
      <c r="AG145" s="2665"/>
      <c r="AH145" s="2665"/>
      <c r="AI145" s="2665"/>
      <c r="AJ145" s="2665"/>
      <c r="AK145" s="2665"/>
      <c r="AL145" s="2665"/>
      <c r="AM145" s="2665"/>
      <c r="AN145" s="2665"/>
      <c r="AO145" s="266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5"/>
      <c r="D146" s="2645"/>
      <c r="E146" s="2645"/>
      <c r="F146" s="2645"/>
      <c r="G146" s="2645"/>
      <c r="H146" s="2645"/>
      <c r="I146" s="2646"/>
      <c r="J146" s="2646"/>
      <c r="K146" s="2646"/>
      <c r="L146" s="2646"/>
      <c r="M146" s="2646"/>
      <c r="N146" s="2646"/>
      <c r="O146" s="1763"/>
      <c r="P146" s="2664"/>
      <c r="Q146" s="2665"/>
      <c r="R146" s="2665"/>
      <c r="S146" s="2665"/>
      <c r="T146" s="2665"/>
      <c r="U146" s="2665"/>
      <c r="V146" s="2665"/>
      <c r="W146" s="2665"/>
      <c r="X146" s="2665"/>
      <c r="Y146" s="2665"/>
      <c r="Z146" s="2665"/>
      <c r="AA146" s="2665"/>
      <c r="AB146" s="2665"/>
      <c r="AC146" s="2665"/>
      <c r="AD146" s="2665"/>
      <c r="AE146" s="2665"/>
      <c r="AF146" s="2665"/>
      <c r="AG146" s="2665"/>
      <c r="AH146" s="2665"/>
      <c r="AI146" s="2665"/>
      <c r="AJ146" s="2665"/>
      <c r="AK146" s="2665"/>
      <c r="AL146" s="2665"/>
      <c r="AM146" s="2665"/>
      <c r="AN146" s="2665"/>
      <c r="AO146" s="266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5"/>
      <c r="D147" s="2645"/>
      <c r="E147" s="2645"/>
      <c r="F147" s="2645"/>
      <c r="G147" s="2645"/>
      <c r="H147" s="2645"/>
      <c r="I147" s="2646"/>
      <c r="J147" s="2646"/>
      <c r="K147" s="2646"/>
      <c r="L147" s="2646"/>
      <c r="M147" s="2646"/>
      <c r="N147" s="2646"/>
      <c r="O147" s="1763"/>
      <c r="P147" s="2664"/>
      <c r="Q147" s="2665"/>
      <c r="R147" s="2665"/>
      <c r="S147" s="2665"/>
      <c r="T147" s="2665"/>
      <c r="U147" s="2665"/>
      <c r="V147" s="2665"/>
      <c r="W147" s="2665"/>
      <c r="X147" s="2665"/>
      <c r="Y147" s="2665"/>
      <c r="Z147" s="2665"/>
      <c r="AA147" s="2665"/>
      <c r="AB147" s="2665"/>
      <c r="AC147" s="2665"/>
      <c r="AD147" s="2665"/>
      <c r="AE147" s="2665"/>
      <c r="AF147" s="2665"/>
      <c r="AG147" s="2665"/>
      <c r="AH147" s="2665"/>
      <c r="AI147" s="2665"/>
      <c r="AJ147" s="2665"/>
      <c r="AK147" s="2665"/>
      <c r="AL147" s="2665"/>
      <c r="AM147" s="2665"/>
      <c r="AN147" s="2665"/>
      <c r="AO147" s="266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5"/>
      <c r="D148" s="2645"/>
      <c r="E148" s="2645"/>
      <c r="F148" s="2645"/>
      <c r="G148" s="2645"/>
      <c r="H148" s="2645"/>
      <c r="I148" s="2646"/>
      <c r="J148" s="2646"/>
      <c r="K148" s="2646"/>
      <c r="L148" s="2646"/>
      <c r="M148" s="2646"/>
      <c r="N148" s="2646"/>
      <c r="O148" s="1763"/>
      <c r="P148" s="2664"/>
      <c r="Q148" s="2665"/>
      <c r="R148" s="2665"/>
      <c r="S148" s="2665"/>
      <c r="T148" s="2665"/>
      <c r="U148" s="2665"/>
      <c r="V148" s="2665"/>
      <c r="W148" s="2665"/>
      <c r="X148" s="2665"/>
      <c r="Y148" s="2665"/>
      <c r="Z148" s="2665"/>
      <c r="AA148" s="2665"/>
      <c r="AB148" s="2665"/>
      <c r="AC148" s="2665"/>
      <c r="AD148" s="2665"/>
      <c r="AE148" s="2665"/>
      <c r="AF148" s="2665"/>
      <c r="AG148" s="2665"/>
      <c r="AH148" s="2665"/>
      <c r="AI148" s="2665"/>
      <c r="AJ148" s="2665"/>
      <c r="AK148" s="2665"/>
      <c r="AL148" s="2665"/>
      <c r="AM148" s="2665"/>
      <c r="AN148" s="2665"/>
      <c r="AO148" s="266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5"/>
      <c r="D149" s="2645"/>
      <c r="E149" s="2645"/>
      <c r="F149" s="2645"/>
      <c r="G149" s="2645"/>
      <c r="H149" s="2645"/>
      <c r="I149" s="2646"/>
      <c r="J149" s="2646"/>
      <c r="K149" s="2646"/>
      <c r="L149" s="2646"/>
      <c r="M149" s="2646"/>
      <c r="N149" s="2646"/>
      <c r="O149" s="1763"/>
      <c r="P149" s="2667"/>
      <c r="Q149" s="2668"/>
      <c r="R149" s="2668"/>
      <c r="S149" s="2668"/>
      <c r="T149" s="2668"/>
      <c r="U149" s="2668"/>
      <c r="V149" s="2668"/>
      <c r="W149" s="2668"/>
      <c r="X149" s="2668"/>
      <c r="Y149" s="2668"/>
      <c r="Z149" s="2668"/>
      <c r="AA149" s="2668"/>
      <c r="AB149" s="2668"/>
      <c r="AC149" s="2668"/>
      <c r="AD149" s="2668"/>
      <c r="AE149" s="2668"/>
      <c r="AF149" s="2668"/>
      <c r="AG149" s="2668"/>
      <c r="AH149" s="2668"/>
      <c r="AI149" s="2668"/>
      <c r="AJ149" s="2668"/>
      <c r="AK149" s="2668"/>
      <c r="AL149" s="2668"/>
      <c r="AM149" s="2668"/>
      <c r="AN149" s="2668"/>
      <c r="AO149" s="266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7"/>
      <c r="D153" s="2648"/>
      <c r="E153" s="2648"/>
      <c r="F153" s="2648"/>
      <c r="G153" s="2648"/>
      <c r="H153" s="2648"/>
      <c r="I153" s="2648"/>
      <c r="J153" s="2648"/>
      <c r="K153" s="2648"/>
      <c r="L153" s="2648"/>
      <c r="M153" s="2649"/>
      <c r="N153" s="2650" t="s">
        <v>2064</v>
      </c>
      <c r="O153" s="2650"/>
      <c r="P153" s="2650"/>
      <c r="Q153" s="2650"/>
      <c r="R153" s="2650"/>
      <c r="S153" s="2650"/>
      <c r="T153" s="2651"/>
      <c r="U153" s="2652" t="s">
        <v>2053</v>
      </c>
      <c r="V153" s="2653"/>
      <c r="W153" s="2653"/>
      <c r="X153" s="2653"/>
      <c r="Y153" s="2653"/>
      <c r="Z153" s="2653"/>
      <c r="AA153" s="2653"/>
      <c r="AB153" s="2653"/>
      <c r="AC153" s="2653"/>
      <c r="AD153" s="2653"/>
      <c r="AE153" s="2654"/>
      <c r="AF153" s="1763"/>
      <c r="AG153" s="1763"/>
      <c r="AH153" s="2614" t="s">
        <v>2065</v>
      </c>
      <c r="AI153" s="2615"/>
      <c r="AJ153" s="2615"/>
      <c r="AK153" s="2615"/>
      <c r="AL153" s="2615"/>
      <c r="AM153" s="2615"/>
      <c r="AN153" s="2615"/>
      <c r="AO153" s="2615"/>
      <c r="AP153" s="2615"/>
      <c r="AQ153" s="2615"/>
      <c r="AR153" s="2615"/>
      <c r="AS153" s="2629">
        <v>6500000</v>
      </c>
      <c r="AT153" s="2629"/>
      <c r="AU153" s="2629"/>
      <c r="AV153" s="2629"/>
      <c r="AW153" s="2629"/>
      <c r="AX153" s="1763"/>
      <c r="AY153" s="1763"/>
      <c r="AZ153" s="1763"/>
      <c r="BA153" s="1763"/>
      <c r="BB153" s="1763"/>
      <c r="BC153" s="1763"/>
      <c r="BD153" s="1763"/>
      <c r="BE153" s="1769"/>
    </row>
    <row r="154" spans="1:57" ht="15.75" customHeight="1">
      <c r="A154" s="1763"/>
      <c r="B154" s="1763"/>
      <c r="C154" s="2623" t="s">
        <v>2066</v>
      </c>
      <c r="D154" s="2624"/>
      <c r="E154" s="2624"/>
      <c r="F154" s="2624"/>
      <c r="G154" s="2624"/>
      <c r="H154" s="2624"/>
      <c r="I154" s="2624"/>
      <c r="J154" s="2624"/>
      <c r="K154" s="2624"/>
      <c r="L154" s="2624"/>
      <c r="M154" s="2625"/>
      <c r="N154" s="2626">
        <f>'Sources and Uses Budget'!B105</f>
        <v>36631567</v>
      </c>
      <c r="O154" s="2626"/>
      <c r="P154" s="2626"/>
      <c r="Q154" s="2626"/>
      <c r="R154" s="2626"/>
      <c r="S154" s="2626"/>
      <c r="T154" s="2627"/>
      <c r="U154" s="2636"/>
      <c r="V154" s="2637"/>
      <c r="W154" s="2637"/>
      <c r="X154" s="2637"/>
      <c r="Y154" s="2637"/>
      <c r="Z154" s="2637"/>
      <c r="AA154" s="2637"/>
      <c r="AB154" s="2637"/>
      <c r="AC154" s="2637"/>
      <c r="AD154" s="2637"/>
      <c r="AE154" s="2642"/>
      <c r="AF154" s="1763"/>
      <c r="AG154" s="1763"/>
      <c r="AH154" s="2643" t="s">
        <v>2067</v>
      </c>
      <c r="AI154" s="2644"/>
      <c r="AJ154" s="2644"/>
      <c r="AK154" s="2644"/>
      <c r="AL154" s="2644"/>
      <c r="AM154" s="2644"/>
      <c r="AN154" s="2644"/>
      <c r="AO154" s="2644"/>
      <c r="AP154" s="2644"/>
      <c r="AQ154" s="2644"/>
      <c r="AR154" s="2644"/>
      <c r="AS154" s="2629">
        <v>0</v>
      </c>
      <c r="AT154" s="2629"/>
      <c r="AU154" s="2629"/>
      <c r="AV154" s="2629"/>
      <c r="AW154" s="2629"/>
      <c r="AX154" s="1763"/>
      <c r="AY154" s="1763"/>
      <c r="AZ154" s="1763"/>
      <c r="BA154" s="1763"/>
      <c r="BB154" s="1763"/>
      <c r="BC154" s="1763"/>
      <c r="BD154" s="1763"/>
      <c r="BE154" s="1769"/>
    </row>
    <row r="155" spans="1:57" ht="15.75" customHeight="1">
      <c r="A155" s="1763"/>
      <c r="B155" s="1763"/>
      <c r="C155" s="2623" t="s">
        <v>2068</v>
      </c>
      <c r="D155" s="2624"/>
      <c r="E155" s="2624"/>
      <c r="F155" s="2624"/>
      <c r="G155" s="2624"/>
      <c r="H155" s="2624"/>
      <c r="I155" s="2624"/>
      <c r="J155" s="2624"/>
      <c r="K155" s="2624"/>
      <c r="L155" s="2624"/>
      <c r="M155" s="2625"/>
      <c r="N155" s="2626">
        <f>N154/J29</f>
        <v>446726.42682926828</v>
      </c>
      <c r="O155" s="2626"/>
      <c r="P155" s="2626"/>
      <c r="Q155" s="2626"/>
      <c r="R155" s="2626"/>
      <c r="S155" s="2626"/>
      <c r="T155" s="2627"/>
      <c r="U155" s="1786"/>
      <c r="V155" s="1786"/>
      <c r="W155" s="1786"/>
      <c r="X155" s="1786"/>
      <c r="Y155" s="1786"/>
      <c r="Z155" s="1786"/>
      <c r="AA155" s="1786"/>
      <c r="AB155" s="1786"/>
      <c r="AC155" s="1786"/>
      <c r="AD155" s="1786"/>
      <c r="AE155" s="1787"/>
      <c r="AF155" s="1763"/>
      <c r="AG155" s="1763"/>
      <c r="AH155" s="2611" t="s">
        <v>2069</v>
      </c>
      <c r="AI155" s="2612"/>
      <c r="AJ155" s="2612"/>
      <c r="AK155" s="2612"/>
      <c r="AL155" s="2612"/>
      <c r="AM155" s="2612"/>
      <c r="AN155" s="2612"/>
      <c r="AO155" s="2612"/>
      <c r="AP155" s="2612"/>
      <c r="AQ155" s="2612"/>
      <c r="AR155" s="2628"/>
      <c r="AS155" s="2629">
        <v>2500000</v>
      </c>
      <c r="AT155" s="2629"/>
      <c r="AU155" s="2629"/>
      <c r="AV155" s="2629"/>
      <c r="AW155" s="2629"/>
      <c r="AX155" s="1763"/>
      <c r="AY155" s="1763"/>
      <c r="AZ155" s="1763"/>
      <c r="BA155" s="1763"/>
      <c r="BB155" s="1763"/>
      <c r="BC155" s="1763"/>
      <c r="BD155" s="1763"/>
      <c r="BE155" s="1769"/>
    </row>
    <row r="156" spans="1:57" ht="15.75" customHeight="1">
      <c r="A156" s="1763"/>
      <c r="B156" s="1763"/>
      <c r="C156" s="2630" t="s">
        <v>2070</v>
      </c>
      <c r="D156" s="2631"/>
      <c r="E156" s="2631"/>
      <c r="F156" s="2631"/>
      <c r="G156" s="2631"/>
      <c r="H156" s="2631"/>
      <c r="I156" s="2631"/>
      <c r="J156" s="2631"/>
      <c r="K156" s="2631"/>
      <c r="L156" s="2631"/>
      <c r="M156" s="2632"/>
      <c r="N156" s="2633">
        <v>0</v>
      </c>
      <c r="O156" s="2633"/>
      <c r="P156" s="2633"/>
      <c r="Q156" s="2633"/>
      <c r="R156" s="2633"/>
      <c r="S156" s="2633"/>
      <c r="T156" s="2634"/>
      <c r="U156" s="2600"/>
      <c r="V156" s="2601"/>
      <c r="W156" s="2601"/>
      <c r="X156" s="2601"/>
      <c r="Y156" s="2601"/>
      <c r="Z156" s="2601"/>
      <c r="AA156" s="2601"/>
      <c r="AB156" s="2601"/>
      <c r="AC156" s="2601"/>
      <c r="AD156" s="2601"/>
      <c r="AE156" s="2635"/>
      <c r="AF156" s="1763"/>
      <c r="AG156" s="1763"/>
      <c r="AH156" s="2636"/>
      <c r="AI156" s="2637"/>
      <c r="AJ156" s="2637"/>
      <c r="AK156" s="2637"/>
      <c r="AL156" s="2637"/>
      <c r="AM156" s="2637"/>
      <c r="AN156" s="2637"/>
      <c r="AO156" s="2637"/>
      <c r="AP156" s="2637"/>
      <c r="AQ156" s="2637"/>
      <c r="AR156" s="2638"/>
      <c r="AS156" s="2639"/>
      <c r="AT156" s="2640"/>
      <c r="AU156" s="2640"/>
      <c r="AV156" s="2640"/>
      <c r="AW156" s="2641"/>
      <c r="AX156" s="1763"/>
      <c r="AY156" s="1763"/>
      <c r="AZ156" s="1763"/>
      <c r="BA156" s="1763"/>
      <c r="BB156" s="1763"/>
      <c r="BC156" s="1763"/>
      <c r="BD156" s="1763"/>
      <c r="BE156" s="1769"/>
    </row>
    <row r="157" spans="1:57" ht="15.75" customHeight="1" thickBot="1">
      <c r="A157" s="1763"/>
      <c r="B157" s="1763"/>
      <c r="C157" s="2611" t="s">
        <v>2071</v>
      </c>
      <c r="D157" s="2612"/>
      <c r="E157" s="2612"/>
      <c r="F157" s="2612"/>
      <c r="G157" s="2612"/>
      <c r="H157" s="2612"/>
      <c r="I157" s="2612"/>
      <c r="J157" s="2612"/>
      <c r="K157" s="2612"/>
      <c r="L157" s="2612"/>
      <c r="M157" s="2613"/>
      <c r="N157" s="2618">
        <f>SUM('Sources and Uses Budget'!B85:B86)</f>
        <v>2722000</v>
      </c>
      <c r="O157" s="2618"/>
      <c r="P157" s="2618"/>
      <c r="Q157" s="2618"/>
      <c r="R157" s="2618"/>
      <c r="S157" s="2618"/>
      <c r="T157" s="2619"/>
      <c r="U157" s="2606"/>
      <c r="V157" s="2607"/>
      <c r="W157" s="2607"/>
      <c r="X157" s="2607"/>
      <c r="Y157" s="2607"/>
      <c r="Z157" s="2607"/>
      <c r="AA157" s="2607"/>
      <c r="AB157" s="2607"/>
      <c r="AC157" s="2607"/>
      <c r="AD157" s="2607"/>
      <c r="AE157" s="2608"/>
      <c r="AF157" s="1763"/>
      <c r="AG157" s="1763"/>
      <c r="AH157" s="2620" t="s">
        <v>2467</v>
      </c>
      <c r="AI157" s="2621"/>
      <c r="AJ157" s="2621"/>
      <c r="AK157" s="2621"/>
      <c r="AL157" s="2621"/>
      <c r="AM157" s="2621"/>
      <c r="AN157" s="2621"/>
      <c r="AO157" s="2621"/>
      <c r="AP157" s="2621"/>
      <c r="AQ157" s="2621"/>
      <c r="AR157" s="2621"/>
      <c r="AS157" s="2622">
        <f>SUM(AS153:AW155)</f>
        <v>9000000</v>
      </c>
      <c r="AT157" s="2622"/>
      <c r="AU157" s="2622"/>
      <c r="AV157" s="2622"/>
      <c r="AW157" s="2622"/>
      <c r="AX157" s="1763"/>
      <c r="AY157" s="1763"/>
      <c r="AZ157" s="1763"/>
      <c r="BA157" s="1763"/>
      <c r="BB157" s="1763"/>
      <c r="BC157" s="1763"/>
      <c r="BD157" s="1763"/>
      <c r="BE157" s="1769"/>
    </row>
    <row r="158" spans="1:57" ht="15.75" customHeight="1" thickBot="1">
      <c r="A158" s="1763"/>
      <c r="B158" s="1763"/>
      <c r="C158" s="2611" t="s">
        <v>2073</v>
      </c>
      <c r="D158" s="2612"/>
      <c r="E158" s="2612"/>
      <c r="F158" s="2612"/>
      <c r="G158" s="2612"/>
      <c r="H158" s="2612"/>
      <c r="I158" s="2612"/>
      <c r="J158" s="2612"/>
      <c r="K158" s="2612"/>
      <c r="L158" s="2612"/>
      <c r="M158" s="2613"/>
      <c r="N158" s="2618">
        <f>'Sources and Uses Budget'!B8</f>
        <v>830000</v>
      </c>
      <c r="O158" s="2618"/>
      <c r="P158" s="2618"/>
      <c r="Q158" s="2618"/>
      <c r="R158" s="2618"/>
      <c r="S158" s="2618"/>
      <c r="T158" s="2619"/>
      <c r="U158" s="2606"/>
      <c r="V158" s="2607"/>
      <c r="W158" s="2607"/>
      <c r="X158" s="2607"/>
      <c r="Y158" s="2607"/>
      <c r="Z158" s="2607"/>
      <c r="AA158" s="2607"/>
      <c r="AB158" s="2607"/>
      <c r="AC158" s="2607"/>
      <c r="AD158" s="2607"/>
      <c r="AE158" s="260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1" t="s">
        <v>2074</v>
      </c>
      <c r="D159" s="2612"/>
      <c r="E159" s="2612"/>
      <c r="F159" s="2612"/>
      <c r="G159" s="2612"/>
      <c r="H159" s="2612"/>
      <c r="I159" s="2612"/>
      <c r="J159" s="2612"/>
      <c r="K159" s="2612"/>
      <c r="L159" s="2612"/>
      <c r="M159" s="2613"/>
      <c r="N159" s="2604">
        <v>0</v>
      </c>
      <c r="O159" s="2604"/>
      <c r="P159" s="2604"/>
      <c r="Q159" s="2604"/>
      <c r="R159" s="2604"/>
      <c r="S159" s="2604"/>
      <c r="T159" s="2605"/>
      <c r="U159" s="2606"/>
      <c r="V159" s="2607"/>
      <c r="W159" s="2607"/>
      <c r="X159" s="2607"/>
      <c r="Y159" s="2607"/>
      <c r="Z159" s="2607"/>
      <c r="AA159" s="2607"/>
      <c r="AB159" s="2607"/>
      <c r="AC159" s="2607"/>
      <c r="AD159" s="2607"/>
      <c r="AE159" s="2608"/>
      <c r="AF159" s="1763"/>
      <c r="AG159" s="1763"/>
      <c r="AH159" s="2614" t="s">
        <v>2468</v>
      </c>
      <c r="AI159" s="2615"/>
      <c r="AJ159" s="2615"/>
      <c r="AK159" s="2615"/>
      <c r="AL159" s="2615"/>
      <c r="AM159" s="2615"/>
      <c r="AN159" s="2615"/>
      <c r="AO159" s="2615"/>
      <c r="AP159" s="2615"/>
      <c r="AQ159" s="2615"/>
      <c r="AR159" s="2615"/>
      <c r="AS159" s="2616" t="s">
        <v>2469</v>
      </c>
      <c r="AT159" s="2616"/>
      <c r="AU159" s="2616"/>
      <c r="AV159" s="2616"/>
      <c r="AW159" s="2616"/>
      <c r="AX159" s="2616"/>
      <c r="AY159" s="2616" t="s">
        <v>2470</v>
      </c>
      <c r="AZ159" s="2616"/>
      <c r="BA159" s="2616"/>
      <c r="BB159" s="2616"/>
      <c r="BC159" s="2616"/>
      <c r="BD159" s="2617"/>
      <c r="BE159" s="1769"/>
    </row>
    <row r="160" spans="1:57" ht="15.75" customHeight="1">
      <c r="A160" s="1763"/>
      <c r="B160" s="1763"/>
      <c r="C160" s="2611" t="s">
        <v>2067</v>
      </c>
      <c r="D160" s="2612"/>
      <c r="E160" s="2612"/>
      <c r="F160" s="2612"/>
      <c r="G160" s="2612"/>
      <c r="H160" s="2612"/>
      <c r="I160" s="2612"/>
      <c r="J160" s="2612"/>
      <c r="K160" s="2612"/>
      <c r="L160" s="2612"/>
      <c r="M160" s="2613"/>
      <c r="N160" s="2604">
        <v>0</v>
      </c>
      <c r="O160" s="2604"/>
      <c r="P160" s="2604"/>
      <c r="Q160" s="2604"/>
      <c r="R160" s="2604"/>
      <c r="S160" s="2604"/>
      <c r="T160" s="2605"/>
      <c r="U160" s="2606"/>
      <c r="V160" s="2607"/>
      <c r="W160" s="2607"/>
      <c r="X160" s="2607"/>
      <c r="Y160" s="2607"/>
      <c r="Z160" s="2607"/>
      <c r="AA160" s="2607"/>
      <c r="AB160" s="2607"/>
      <c r="AC160" s="2607"/>
      <c r="AD160" s="2607"/>
      <c r="AE160" s="2608"/>
      <c r="AF160" s="1763"/>
      <c r="AG160" s="1763"/>
      <c r="AH160" s="2577" t="s">
        <v>2471</v>
      </c>
      <c r="AI160" s="2578"/>
      <c r="AJ160" s="2578"/>
      <c r="AK160" s="2578"/>
      <c r="AL160" s="2578"/>
      <c r="AM160" s="2578"/>
      <c r="AN160" s="2578"/>
      <c r="AO160" s="2578"/>
      <c r="AP160" s="2578"/>
      <c r="AQ160" s="2578"/>
      <c r="AR160" s="2578"/>
      <c r="AS160" s="2579">
        <v>1000000</v>
      </c>
      <c r="AT160" s="2579"/>
      <c r="AU160" s="2579"/>
      <c r="AV160" s="2579"/>
      <c r="AW160" s="2579"/>
      <c r="AX160" s="2579"/>
      <c r="AY160" s="2579">
        <v>500000</v>
      </c>
      <c r="AZ160" s="2579"/>
      <c r="BA160" s="2579"/>
      <c r="BB160" s="2579"/>
      <c r="BC160" s="2579"/>
      <c r="BD160" s="2580"/>
      <c r="BE160" s="1769"/>
    </row>
    <row r="161" spans="1:57" ht="15.75" customHeight="1">
      <c r="A161" s="1763"/>
      <c r="B161" s="1763"/>
      <c r="C161" s="2609" t="s">
        <v>308</v>
      </c>
      <c r="D161" s="2610"/>
      <c r="E161" s="2602" t="s">
        <v>2059</v>
      </c>
      <c r="F161" s="2602"/>
      <c r="G161" s="2602"/>
      <c r="H161" s="2602"/>
      <c r="I161" s="2602"/>
      <c r="J161" s="2602"/>
      <c r="K161" s="2602"/>
      <c r="L161" s="2602"/>
      <c r="M161" s="2603"/>
      <c r="N161" s="2604">
        <v>0</v>
      </c>
      <c r="O161" s="2604"/>
      <c r="P161" s="2604"/>
      <c r="Q161" s="2604"/>
      <c r="R161" s="2604"/>
      <c r="S161" s="2604"/>
      <c r="T161" s="2605"/>
      <c r="U161" s="2606"/>
      <c r="V161" s="2607"/>
      <c r="W161" s="2607"/>
      <c r="X161" s="2607"/>
      <c r="Y161" s="2607"/>
      <c r="Z161" s="2607"/>
      <c r="AA161" s="2607"/>
      <c r="AB161" s="2607"/>
      <c r="AC161" s="2607"/>
      <c r="AD161" s="2607"/>
      <c r="AE161" s="2608"/>
      <c r="AF161" s="1763"/>
      <c r="AG161" s="1763"/>
      <c r="AH161" s="2577" t="s">
        <v>2472</v>
      </c>
      <c r="AI161" s="2578"/>
      <c r="AJ161" s="2578"/>
      <c r="AK161" s="2578"/>
      <c r="AL161" s="2578"/>
      <c r="AM161" s="2578"/>
      <c r="AN161" s="2578"/>
      <c r="AO161" s="2578"/>
      <c r="AP161" s="2578"/>
      <c r="AQ161" s="2578"/>
      <c r="AR161" s="2578"/>
      <c r="AS161" s="2579">
        <v>2000000</v>
      </c>
      <c r="AT161" s="2579"/>
      <c r="AU161" s="2579"/>
      <c r="AV161" s="2579"/>
      <c r="AW161" s="2579"/>
      <c r="AX161" s="2579"/>
      <c r="AY161" s="2579">
        <v>250000</v>
      </c>
      <c r="AZ161" s="2579"/>
      <c r="BA161" s="2579"/>
      <c r="BB161" s="2579"/>
      <c r="BC161" s="2579"/>
      <c r="BD161" s="2580"/>
      <c r="BE161" s="1769"/>
    </row>
    <row r="162" spans="1:57" ht="15.75" customHeight="1">
      <c r="A162" s="1763"/>
      <c r="B162" s="1763"/>
      <c r="C162" s="2600" t="s">
        <v>308</v>
      </c>
      <c r="D162" s="2601"/>
      <c r="E162" s="2602" t="s">
        <v>2059</v>
      </c>
      <c r="F162" s="2602"/>
      <c r="G162" s="2602"/>
      <c r="H162" s="2602"/>
      <c r="I162" s="2602"/>
      <c r="J162" s="2602"/>
      <c r="K162" s="2602"/>
      <c r="L162" s="2602"/>
      <c r="M162" s="2603"/>
      <c r="N162" s="2604">
        <v>0</v>
      </c>
      <c r="O162" s="2604"/>
      <c r="P162" s="2604"/>
      <c r="Q162" s="2604"/>
      <c r="R162" s="2604"/>
      <c r="S162" s="2604"/>
      <c r="T162" s="2605"/>
      <c r="U162" s="2606"/>
      <c r="V162" s="2607"/>
      <c r="W162" s="2607"/>
      <c r="X162" s="2607"/>
      <c r="Y162" s="2607"/>
      <c r="Z162" s="2607"/>
      <c r="AA162" s="2607"/>
      <c r="AB162" s="2607"/>
      <c r="AC162" s="2607"/>
      <c r="AD162" s="2607"/>
      <c r="AE162" s="2608"/>
      <c r="AF162" s="1763"/>
      <c r="AG162" s="1763"/>
      <c r="AH162" s="2577" t="s">
        <v>2473</v>
      </c>
      <c r="AI162" s="2578"/>
      <c r="AJ162" s="2578"/>
      <c r="AK162" s="2578"/>
      <c r="AL162" s="2578"/>
      <c r="AM162" s="2578"/>
      <c r="AN162" s="2578"/>
      <c r="AO162" s="2578"/>
      <c r="AP162" s="2578"/>
      <c r="AQ162" s="2578"/>
      <c r="AR162" s="2578"/>
      <c r="AS162" s="2579">
        <v>25000000</v>
      </c>
      <c r="AT162" s="2579"/>
      <c r="AU162" s="2579"/>
      <c r="AV162" s="2579"/>
      <c r="AW162" s="2579"/>
      <c r="AX162" s="2579"/>
      <c r="AY162" s="2579">
        <v>1500000</v>
      </c>
      <c r="AZ162" s="2579"/>
      <c r="BA162" s="2579"/>
      <c r="BB162" s="2579"/>
      <c r="BC162" s="2579"/>
      <c r="BD162" s="2580"/>
      <c r="BE162" s="1769"/>
    </row>
    <row r="163" spans="1:57" ht="15.75" customHeight="1" thickBot="1">
      <c r="A163" s="1763"/>
      <c r="B163" s="1763"/>
      <c r="C163" s="2591" t="s">
        <v>308</v>
      </c>
      <c r="D163" s="2592"/>
      <c r="E163" s="2593" t="s">
        <v>2059</v>
      </c>
      <c r="F163" s="2593"/>
      <c r="G163" s="2593"/>
      <c r="H163" s="2593"/>
      <c r="I163" s="2593"/>
      <c r="J163" s="2593"/>
      <c r="K163" s="2593"/>
      <c r="L163" s="2593"/>
      <c r="M163" s="2594"/>
      <c r="N163" s="2595">
        <v>0</v>
      </c>
      <c r="O163" s="2595"/>
      <c r="P163" s="2595"/>
      <c r="Q163" s="2595"/>
      <c r="R163" s="2595"/>
      <c r="S163" s="2595"/>
      <c r="T163" s="2596"/>
      <c r="U163" s="2597"/>
      <c r="V163" s="2598"/>
      <c r="W163" s="2598"/>
      <c r="X163" s="2598"/>
      <c r="Y163" s="2598"/>
      <c r="Z163" s="2598"/>
      <c r="AA163" s="2598"/>
      <c r="AB163" s="2598"/>
      <c r="AC163" s="2598"/>
      <c r="AD163" s="2598"/>
      <c r="AE163" s="2599"/>
      <c r="AF163" s="1763"/>
      <c r="AG163" s="1763"/>
      <c r="AH163" s="2577" t="s">
        <v>2474</v>
      </c>
      <c r="AI163" s="2578"/>
      <c r="AJ163" s="2578"/>
      <c r="AK163" s="2578"/>
      <c r="AL163" s="2578"/>
      <c r="AM163" s="2578"/>
      <c r="AN163" s="2578"/>
      <c r="AO163" s="2578"/>
      <c r="AP163" s="2578"/>
      <c r="AQ163" s="2578"/>
      <c r="AR163" s="2578"/>
      <c r="AS163" s="2579">
        <v>1500000</v>
      </c>
      <c r="AT163" s="2579"/>
      <c r="AU163" s="2579"/>
      <c r="AV163" s="2579"/>
      <c r="AW163" s="2579"/>
      <c r="AX163" s="2579"/>
      <c r="AY163" s="2579">
        <v>250000</v>
      </c>
      <c r="AZ163" s="2579"/>
      <c r="BA163" s="2579"/>
      <c r="BB163" s="2579"/>
      <c r="BC163" s="2579"/>
      <c r="BD163" s="2580"/>
      <c r="BE163" s="1769"/>
    </row>
    <row r="164" spans="1:57" ht="15.75" customHeight="1">
      <c r="A164" s="1763"/>
      <c r="B164" s="1763"/>
      <c r="C164" s="2585" t="s">
        <v>2075</v>
      </c>
      <c r="D164" s="2586"/>
      <c r="E164" s="2586"/>
      <c r="F164" s="2586"/>
      <c r="G164" s="2586"/>
      <c r="H164" s="2586"/>
      <c r="I164" s="2586"/>
      <c r="J164" s="2586"/>
      <c r="K164" s="2586"/>
      <c r="L164" s="2586"/>
      <c r="M164" s="2587"/>
      <c r="N164" s="2588">
        <f>SUM(N156:T163)</f>
        <v>3552000</v>
      </c>
      <c r="O164" s="2589"/>
      <c r="P164" s="2589"/>
      <c r="Q164" s="2589"/>
      <c r="R164" s="2589"/>
      <c r="S164" s="2589"/>
      <c r="T164" s="2590"/>
      <c r="U164" s="1763"/>
      <c r="V164" s="1763"/>
      <c r="W164" s="1763"/>
      <c r="X164" s="1763"/>
      <c r="Y164" s="1763"/>
      <c r="Z164" s="1763"/>
      <c r="AA164" s="1763"/>
      <c r="AB164" s="1763"/>
      <c r="AC164" s="1763"/>
      <c r="AD164" s="1763"/>
      <c r="AE164" s="1763"/>
      <c r="AF164" s="1763"/>
      <c r="AG164" s="1763"/>
      <c r="AH164" s="2577" t="s">
        <v>2475</v>
      </c>
      <c r="AI164" s="2578"/>
      <c r="AJ164" s="2578"/>
      <c r="AK164" s="2578"/>
      <c r="AL164" s="2578"/>
      <c r="AM164" s="2578"/>
      <c r="AN164" s="2578"/>
      <c r="AO164" s="2578"/>
      <c r="AP164" s="2578"/>
      <c r="AQ164" s="2578"/>
      <c r="AR164" s="2578"/>
      <c r="AS164" s="2579">
        <v>500000</v>
      </c>
      <c r="AT164" s="2579"/>
      <c r="AU164" s="2579"/>
      <c r="AV164" s="2579"/>
      <c r="AW164" s="2579"/>
      <c r="AX164" s="2579"/>
      <c r="AY164" s="2579">
        <v>0</v>
      </c>
      <c r="AZ164" s="2579"/>
      <c r="BA164" s="2579"/>
      <c r="BB164" s="2579"/>
      <c r="BC164" s="2579"/>
      <c r="BD164" s="2580"/>
      <c r="BE164" s="1769"/>
    </row>
    <row r="165" spans="1:57" ht="15.75" customHeight="1" thickBot="1">
      <c r="A165" s="1763"/>
      <c r="B165" s="1763"/>
      <c r="C165" s="2573" t="s">
        <v>2076</v>
      </c>
      <c r="D165" s="2574"/>
      <c r="E165" s="2574"/>
      <c r="F165" s="2574"/>
      <c r="G165" s="2574"/>
      <c r="H165" s="2574"/>
      <c r="I165" s="2574"/>
      <c r="J165" s="2574"/>
      <c r="K165" s="2574"/>
      <c r="L165" s="2574"/>
      <c r="M165" s="2574"/>
      <c r="N165" s="2575">
        <f>(N154-N164)/J29</f>
        <v>403409.35365853657</v>
      </c>
      <c r="O165" s="2575"/>
      <c r="P165" s="2575"/>
      <c r="Q165" s="2575"/>
      <c r="R165" s="2575"/>
      <c r="S165" s="2575"/>
      <c r="T165" s="2576"/>
      <c r="U165" s="1770"/>
      <c r="V165" s="1763"/>
      <c r="W165" s="1763"/>
      <c r="X165" s="1763"/>
      <c r="Y165" s="1763"/>
      <c r="Z165" s="1763"/>
      <c r="AA165" s="1763"/>
      <c r="AB165" s="1763"/>
      <c r="AC165" s="1763"/>
      <c r="AD165" s="1763"/>
      <c r="AE165" s="1763"/>
      <c r="AF165" s="1763"/>
      <c r="AG165" s="1763"/>
      <c r="AH165" s="2577" t="s">
        <v>2476</v>
      </c>
      <c r="AI165" s="2578"/>
      <c r="AJ165" s="2578"/>
      <c r="AK165" s="2578"/>
      <c r="AL165" s="2578"/>
      <c r="AM165" s="2578"/>
      <c r="AN165" s="2578"/>
      <c r="AO165" s="2578"/>
      <c r="AP165" s="2578"/>
      <c r="AQ165" s="2578"/>
      <c r="AR165" s="2578"/>
      <c r="AS165" s="2579">
        <v>0</v>
      </c>
      <c r="AT165" s="2579"/>
      <c r="AU165" s="2579"/>
      <c r="AV165" s="2579"/>
      <c r="AW165" s="2579"/>
      <c r="AX165" s="2579"/>
      <c r="AY165" s="2579">
        <v>0</v>
      </c>
      <c r="AZ165" s="2579"/>
      <c r="BA165" s="2579"/>
      <c r="BB165" s="2579"/>
      <c r="BC165" s="2579"/>
      <c r="BD165" s="258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1" t="s">
        <v>2072</v>
      </c>
      <c r="AI166" s="2582"/>
      <c r="AJ166" s="2582"/>
      <c r="AK166" s="2582"/>
      <c r="AL166" s="2582"/>
      <c r="AM166" s="2582"/>
      <c r="AN166" s="2582"/>
      <c r="AO166" s="2582"/>
      <c r="AP166" s="2582"/>
      <c r="AQ166" s="2582"/>
      <c r="AR166" s="2582"/>
      <c r="AS166" s="2583">
        <f>SUM(AS160:AX165)</f>
        <v>30000000</v>
      </c>
      <c r="AT166" s="2583"/>
      <c r="AU166" s="2583"/>
      <c r="AV166" s="2583"/>
      <c r="AW166" s="2583"/>
      <c r="AX166" s="2583"/>
      <c r="AY166" s="2583">
        <f>SUM(AY160:BD165)</f>
        <v>2500000</v>
      </c>
      <c r="AZ166" s="2583"/>
      <c r="BA166" s="2583"/>
      <c r="BB166" s="2583"/>
      <c r="BC166" s="2583"/>
      <c r="BD166" s="258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0" t="s">
        <v>2077</v>
      </c>
      <c r="C168" s="2561"/>
      <c r="D168" s="2561"/>
      <c r="E168" s="2561"/>
      <c r="F168" s="2561"/>
      <c r="G168" s="2561"/>
      <c r="H168" s="2561"/>
      <c r="I168" s="2561"/>
      <c r="J168" s="2561"/>
      <c r="K168" s="2561"/>
      <c r="L168" s="2561"/>
      <c r="M168" s="2561"/>
      <c r="N168" s="2561"/>
      <c r="O168" s="2561"/>
      <c r="P168" s="2561"/>
      <c r="Q168" s="2561"/>
      <c r="R168" s="2561"/>
      <c r="S168" s="2561"/>
      <c r="T168" s="2561"/>
      <c r="U168" s="2561"/>
      <c r="V168" s="2561"/>
      <c r="W168" s="2561"/>
      <c r="X168" s="2561"/>
      <c r="Y168" s="2561"/>
      <c r="Z168" s="2561"/>
      <c r="AA168" s="2561"/>
      <c r="AB168" s="2561"/>
      <c r="AC168" s="2561"/>
      <c r="AD168" s="2561"/>
      <c r="AE168" s="2561"/>
      <c r="AF168" s="2561"/>
      <c r="AG168" s="2561"/>
      <c r="AH168" s="2561"/>
      <c r="AI168" s="2561"/>
      <c r="AJ168" s="2561"/>
      <c r="AK168" s="2561"/>
      <c r="AL168" s="2561"/>
      <c r="AM168" s="2561"/>
      <c r="AN168" s="2561"/>
      <c r="AO168" s="2561"/>
      <c r="AP168" s="2561"/>
      <c r="AQ168" s="2561"/>
      <c r="AR168" s="2561"/>
      <c r="AS168" s="2561"/>
      <c r="AT168" s="2561"/>
      <c r="AU168" s="2561"/>
      <c r="AV168" s="2561"/>
      <c r="AW168" s="2561"/>
      <c r="AX168" s="2561"/>
      <c r="AY168" s="2561"/>
      <c r="AZ168" s="2561"/>
      <c r="BA168" s="2561"/>
      <c r="BB168" s="2561"/>
      <c r="BC168" s="2561"/>
      <c r="BD168" s="2562"/>
      <c r="BE168" s="1769"/>
    </row>
    <row r="169" spans="1:57" ht="15.75" customHeight="1">
      <c r="A169" s="1763"/>
      <c r="B169" s="2563"/>
      <c r="C169" s="2564"/>
      <c r="D169" s="2564"/>
      <c r="E169" s="2564"/>
      <c r="F169" s="2564"/>
      <c r="G169" s="2564"/>
      <c r="H169" s="2564"/>
      <c r="I169" s="2564"/>
      <c r="J169" s="2564"/>
      <c r="K169" s="2564"/>
      <c r="L169" s="2564"/>
      <c r="M169" s="2564"/>
      <c r="N169" s="2564"/>
      <c r="O169" s="2564"/>
      <c r="P169" s="2564"/>
      <c r="Q169" s="2564"/>
      <c r="R169" s="2564"/>
      <c r="S169" s="2564"/>
      <c r="T169" s="2564"/>
      <c r="U169" s="2564"/>
      <c r="V169" s="2564"/>
      <c r="W169" s="2564"/>
      <c r="X169" s="2564"/>
      <c r="Y169" s="2564"/>
      <c r="Z169" s="2564"/>
      <c r="AA169" s="2564"/>
      <c r="AB169" s="2564"/>
      <c r="AC169" s="2564"/>
      <c r="AD169" s="2564"/>
      <c r="AE169" s="2564"/>
      <c r="AF169" s="2564"/>
      <c r="AG169" s="2564"/>
      <c r="AH169" s="2564"/>
      <c r="AI169" s="2564"/>
      <c r="AJ169" s="2564"/>
      <c r="AK169" s="2564"/>
      <c r="AL169" s="2564"/>
      <c r="AM169" s="2564"/>
      <c r="AN169" s="2564"/>
      <c r="AO169" s="2564"/>
      <c r="AP169" s="2564"/>
      <c r="AQ169" s="2564"/>
      <c r="AR169" s="2564"/>
      <c r="AS169" s="2564"/>
      <c r="AT169" s="2564"/>
      <c r="AU169" s="2564"/>
      <c r="AV169" s="2564"/>
      <c r="AW169" s="2564"/>
      <c r="AX169" s="2564"/>
      <c r="AY169" s="2564"/>
      <c r="AZ169" s="2564"/>
      <c r="BA169" s="2564"/>
      <c r="BB169" s="2564"/>
      <c r="BC169" s="2564"/>
      <c r="BD169" s="2565"/>
      <c r="BE169" s="1769"/>
    </row>
    <row r="170" spans="1:57" ht="15.75" customHeight="1">
      <c r="A170" s="1763"/>
      <c r="B170" s="2566" t="s">
        <v>2078</v>
      </c>
      <c r="C170" s="2567"/>
      <c r="D170" s="2567"/>
      <c r="E170" s="2567"/>
      <c r="F170" s="2567"/>
      <c r="G170" s="2567"/>
      <c r="H170" s="2567"/>
      <c r="I170" s="2567"/>
      <c r="J170" s="2567"/>
      <c r="K170" s="2567"/>
      <c r="L170" s="2567"/>
      <c r="M170" s="2567"/>
      <c r="N170" s="2567"/>
      <c r="O170" s="2567"/>
      <c r="P170" s="2567"/>
      <c r="Q170" s="2567"/>
      <c r="R170" s="2567"/>
      <c r="S170" s="2567"/>
      <c r="T170" s="2567"/>
      <c r="U170" s="2567"/>
      <c r="V170" s="2567"/>
      <c r="W170" s="2567"/>
      <c r="X170" s="2567"/>
      <c r="Y170" s="2567"/>
      <c r="Z170" s="2567"/>
      <c r="AA170" s="2567"/>
      <c r="AB170" s="2567"/>
      <c r="AC170" s="2567"/>
      <c r="AD170" s="2567"/>
      <c r="AE170" s="2567"/>
      <c r="AF170" s="2567"/>
      <c r="AG170" s="2567"/>
      <c r="AH170" s="2567"/>
      <c r="AI170" s="2567"/>
      <c r="AJ170" s="2567"/>
      <c r="AK170" s="2567"/>
      <c r="AL170" s="2567"/>
      <c r="AM170" s="2567"/>
      <c r="AN170" s="2567"/>
      <c r="AO170" s="2567"/>
      <c r="AP170" s="2567"/>
      <c r="AQ170" s="2567"/>
      <c r="AR170" s="2567"/>
      <c r="AS170" s="2567"/>
      <c r="AT170" s="2567"/>
      <c r="AU170" s="2567"/>
      <c r="AV170" s="2567"/>
      <c r="AW170" s="2567"/>
      <c r="AX170" s="2567"/>
      <c r="AY170" s="2567"/>
      <c r="AZ170" s="2567"/>
      <c r="BA170" s="2567"/>
      <c r="BB170" s="2567"/>
      <c r="BC170" s="2567"/>
      <c r="BD170" s="2568"/>
      <c r="BE170" s="1769"/>
    </row>
    <row r="171" spans="1:57" ht="15.75" customHeight="1">
      <c r="A171" s="1763"/>
      <c r="B171" s="2566" t="s">
        <v>2079</v>
      </c>
      <c r="C171" s="2567"/>
      <c r="D171" s="2567"/>
      <c r="E171" s="2567"/>
      <c r="F171" s="2567"/>
      <c r="G171" s="2567"/>
      <c r="H171" s="2567"/>
      <c r="I171" s="2567"/>
      <c r="J171" s="2567"/>
      <c r="K171" s="2567"/>
      <c r="L171" s="2567"/>
      <c r="M171" s="2567"/>
      <c r="N171" s="2567"/>
      <c r="O171" s="2567"/>
      <c r="P171" s="2567"/>
      <c r="Q171" s="2567"/>
      <c r="R171" s="2567"/>
      <c r="S171" s="2567"/>
      <c r="T171" s="2567"/>
      <c r="U171" s="2567"/>
      <c r="V171" s="2567"/>
      <c r="W171" s="2567"/>
      <c r="X171" s="2567"/>
      <c r="Y171" s="2567"/>
      <c r="Z171" s="2567"/>
      <c r="AA171" s="2567"/>
      <c r="AB171" s="2567"/>
      <c r="AC171" s="2567"/>
      <c r="AD171" s="2567"/>
      <c r="AE171" s="2567"/>
      <c r="AF171" s="2567"/>
      <c r="AG171" s="2567"/>
      <c r="AH171" s="2567"/>
      <c r="AI171" s="2567"/>
      <c r="AJ171" s="2567"/>
      <c r="AK171" s="2567"/>
      <c r="AL171" s="2567"/>
      <c r="AM171" s="2567"/>
      <c r="AN171" s="2567"/>
      <c r="AO171" s="2567"/>
      <c r="AP171" s="2567"/>
      <c r="AQ171" s="2567"/>
      <c r="AR171" s="2567"/>
      <c r="AS171" s="2567"/>
      <c r="AT171" s="2567"/>
      <c r="AU171" s="2567"/>
      <c r="AV171" s="2567"/>
      <c r="AW171" s="2567"/>
      <c r="AX171" s="2567"/>
      <c r="AY171" s="2567"/>
      <c r="AZ171" s="2567"/>
      <c r="BA171" s="2567"/>
      <c r="BB171" s="2567"/>
      <c r="BC171" s="2567"/>
      <c r="BD171" s="256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9" t="s">
        <v>2080</v>
      </c>
      <c r="C173" s="2570"/>
      <c r="D173" s="2570"/>
      <c r="E173" s="2570"/>
      <c r="F173" s="2570"/>
      <c r="G173" s="2570"/>
      <c r="H173" s="2570"/>
      <c r="I173" s="2570"/>
      <c r="J173" s="2570"/>
      <c r="K173" s="2570"/>
      <c r="L173" s="2570"/>
      <c r="M173" s="2570"/>
      <c r="N173" s="2570"/>
      <c r="O173" s="2570"/>
      <c r="P173" s="2570"/>
      <c r="Q173" s="2570"/>
      <c r="R173" s="2570"/>
      <c r="S173" s="2570"/>
      <c r="T173" s="2570"/>
      <c r="U173" s="2570"/>
      <c r="V173" s="2570"/>
      <c r="W173" s="2570"/>
      <c r="X173" s="2570"/>
      <c r="Y173" s="2570"/>
      <c r="Z173" s="2570"/>
      <c r="AA173" s="2570"/>
      <c r="AB173" s="2570"/>
      <c r="AC173" s="2570"/>
      <c r="AD173" s="2570"/>
      <c r="AE173" s="2570"/>
      <c r="AF173" s="2570"/>
      <c r="AG173" s="2570"/>
      <c r="AH173" s="2570"/>
      <c r="AI173" s="2570"/>
      <c r="AJ173" s="2570"/>
      <c r="AK173" s="2570"/>
      <c r="AL173" s="2570"/>
      <c r="AM173" s="2570"/>
      <c r="AN173" s="2570"/>
      <c r="AO173" s="2570"/>
      <c r="AP173" s="2570"/>
      <c r="AQ173" s="2570"/>
      <c r="AR173" s="2570"/>
      <c r="AS173" s="2570"/>
      <c r="AT173" s="2570"/>
      <c r="AU173" s="2570"/>
      <c r="AV173" s="2570"/>
      <c r="AW173" s="2570"/>
      <c r="AX173" s="2570"/>
      <c r="AY173" s="2570"/>
      <c r="AZ173" s="2570"/>
      <c r="BA173" s="2570"/>
      <c r="BB173" s="2570"/>
      <c r="BC173" s="2570"/>
      <c r="BD173" s="257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2" t="s">
        <v>2082</v>
      </c>
      <c r="I177" s="2572"/>
      <c r="J177" s="2572"/>
      <c r="K177" s="2572"/>
      <c r="L177" s="2572"/>
      <c r="M177" s="2572"/>
      <c r="N177" s="2572"/>
      <c r="O177" s="2572"/>
      <c r="P177" s="2572"/>
      <c r="Q177" s="2572"/>
      <c r="R177" s="2572"/>
      <c r="S177" s="2572"/>
      <c r="T177" s="2572"/>
      <c r="U177" s="2572"/>
      <c r="V177" s="2572"/>
      <c r="W177" s="2572"/>
      <c r="X177" s="2572"/>
      <c r="Y177" s="2572"/>
      <c r="Z177" s="2572"/>
      <c r="AA177" s="2572"/>
      <c r="AB177" s="2572"/>
      <c r="AC177" s="2572"/>
      <c r="AD177" s="2572"/>
      <c r="AE177" s="2572"/>
      <c r="AF177" s="2572"/>
      <c r="AG177" s="2572"/>
      <c r="AH177" s="2572"/>
      <c r="AI177" s="2572"/>
      <c r="AJ177" s="2572"/>
      <c r="AK177" s="2572"/>
      <c r="AL177" s="2572"/>
      <c r="AM177" s="2572"/>
      <c r="AN177" s="2572"/>
      <c r="AO177" s="2572"/>
      <c r="AP177" s="2572"/>
      <c r="AQ177" s="2572"/>
      <c r="AR177" s="2572"/>
      <c r="AS177" s="2572"/>
      <c r="AT177" s="2572"/>
      <c r="AU177" s="2572"/>
      <c r="AV177" s="2572"/>
      <c r="AW177" s="2572"/>
      <c r="AX177" s="2572"/>
      <c r="AY177" s="257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8" t="s">
        <v>2445</v>
      </c>
      <c r="I179" s="2558"/>
      <c r="J179" s="2558"/>
      <c r="K179" s="2558"/>
      <c r="L179" s="2558"/>
      <c r="M179" s="2558"/>
      <c r="N179" s="2558"/>
      <c r="O179" s="2558"/>
      <c r="P179" s="2558"/>
      <c r="Q179" s="2558"/>
      <c r="R179" s="2558"/>
      <c r="S179" s="2558"/>
      <c r="T179" s="2558"/>
      <c r="U179" s="2558"/>
      <c r="V179" s="2558"/>
      <c r="W179" s="2558"/>
      <c r="X179" s="2558"/>
      <c r="Y179" s="2558"/>
      <c r="Z179" s="2558"/>
      <c r="AA179" s="2558"/>
      <c r="AB179" s="2558"/>
      <c r="AC179" s="2558"/>
      <c r="AD179" s="2558"/>
      <c r="AE179" s="2558"/>
      <c r="AF179" s="2558"/>
      <c r="AG179" s="2558"/>
      <c r="AH179" s="2558"/>
      <c r="AI179" s="2558"/>
      <c r="AJ179" s="2558"/>
      <c r="AK179" s="2558"/>
      <c r="AL179" s="2558"/>
      <c r="AM179" s="2558"/>
      <c r="AN179" s="2558"/>
      <c r="AO179" s="2558"/>
      <c r="AP179" s="2558"/>
      <c r="AQ179" s="2558"/>
      <c r="AR179" s="2558"/>
      <c r="AS179" s="2558"/>
      <c r="AT179" s="2558"/>
      <c r="AU179" s="2558"/>
      <c r="AV179" s="2558"/>
      <c r="AW179" s="2558"/>
      <c r="AX179" s="2558"/>
      <c r="AY179" s="2558"/>
      <c r="AZ179" s="2558"/>
      <c r="BA179" s="1763"/>
      <c r="BB179" s="1763"/>
      <c r="BC179" s="1763"/>
      <c r="BD179" s="1769"/>
      <c r="BE179" s="1769"/>
    </row>
    <row r="180" spans="1:57" ht="15.75" customHeight="1">
      <c r="A180" s="1763"/>
      <c r="B180" s="1762"/>
      <c r="C180" s="1763"/>
      <c r="D180" s="1763"/>
      <c r="E180" s="1763"/>
      <c r="F180" s="1763"/>
      <c r="G180" s="1763"/>
      <c r="H180" s="2558"/>
      <c r="I180" s="2558"/>
      <c r="J180" s="2558"/>
      <c r="K180" s="2558"/>
      <c r="L180" s="2558"/>
      <c r="M180" s="2558"/>
      <c r="N180" s="2558"/>
      <c r="O180" s="2558"/>
      <c r="P180" s="2558"/>
      <c r="Q180" s="2558"/>
      <c r="R180" s="2558"/>
      <c r="S180" s="2558"/>
      <c r="T180" s="2558"/>
      <c r="U180" s="2558"/>
      <c r="V180" s="2558"/>
      <c r="W180" s="2558"/>
      <c r="X180" s="2558"/>
      <c r="Y180" s="2558"/>
      <c r="Z180" s="2558"/>
      <c r="AA180" s="2558"/>
      <c r="AB180" s="2558"/>
      <c r="AC180" s="2558"/>
      <c r="AD180" s="2558"/>
      <c r="AE180" s="2558"/>
      <c r="AF180" s="2558"/>
      <c r="AG180" s="2558"/>
      <c r="AH180" s="2558"/>
      <c r="AI180" s="2558"/>
      <c r="AJ180" s="2558"/>
      <c r="AK180" s="2558"/>
      <c r="AL180" s="2558"/>
      <c r="AM180" s="2558"/>
      <c r="AN180" s="2558"/>
      <c r="AO180" s="2558"/>
      <c r="AP180" s="2558"/>
      <c r="AQ180" s="2558"/>
      <c r="AR180" s="2558"/>
      <c r="AS180" s="2558"/>
      <c r="AT180" s="2558"/>
      <c r="AU180" s="2558"/>
      <c r="AV180" s="2558"/>
      <c r="AW180" s="2558"/>
      <c r="AX180" s="2558"/>
      <c r="AY180" s="2558"/>
      <c r="AZ180" s="2558"/>
      <c r="BA180" s="1763"/>
      <c r="BB180" s="1763"/>
      <c r="BC180" s="1763"/>
      <c r="BD180" s="1769"/>
      <c r="BE180" s="1769"/>
    </row>
    <row r="181" spans="1:57" ht="15.75" customHeight="1">
      <c r="A181" s="1763"/>
      <c r="B181" s="1762"/>
      <c r="C181" s="1763"/>
      <c r="D181" s="1763"/>
      <c r="E181" s="1763"/>
      <c r="F181" s="1763"/>
      <c r="G181" s="1763"/>
      <c r="H181" s="2558"/>
      <c r="I181" s="2558"/>
      <c r="J181" s="2558"/>
      <c r="K181" s="2558"/>
      <c r="L181" s="2558"/>
      <c r="M181" s="2558"/>
      <c r="N181" s="2558"/>
      <c r="O181" s="2558"/>
      <c r="P181" s="2558"/>
      <c r="Q181" s="2558"/>
      <c r="R181" s="2558"/>
      <c r="S181" s="2558"/>
      <c r="T181" s="2558"/>
      <c r="U181" s="2558"/>
      <c r="V181" s="2558"/>
      <c r="W181" s="2558"/>
      <c r="X181" s="2558"/>
      <c r="Y181" s="2558"/>
      <c r="Z181" s="2558"/>
      <c r="AA181" s="2558"/>
      <c r="AB181" s="2558"/>
      <c r="AC181" s="2558"/>
      <c r="AD181" s="2558"/>
      <c r="AE181" s="2558"/>
      <c r="AF181" s="2558"/>
      <c r="AG181" s="2558"/>
      <c r="AH181" s="2558"/>
      <c r="AI181" s="2558"/>
      <c r="AJ181" s="2558"/>
      <c r="AK181" s="2558"/>
      <c r="AL181" s="2558"/>
      <c r="AM181" s="2558"/>
      <c r="AN181" s="2558"/>
      <c r="AO181" s="2558"/>
      <c r="AP181" s="2558"/>
      <c r="AQ181" s="2558"/>
      <c r="AR181" s="2558"/>
      <c r="AS181" s="2558"/>
      <c r="AT181" s="2558"/>
      <c r="AU181" s="2558"/>
      <c r="AV181" s="2558"/>
      <c r="AW181" s="2558"/>
      <c r="AX181" s="2558"/>
      <c r="AY181" s="2558"/>
      <c r="AZ181" s="255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9" t="s">
        <v>2083</v>
      </c>
      <c r="I184" s="2559"/>
      <c r="J184" s="2559"/>
      <c r="K184" s="2559"/>
      <c r="L184" s="2559"/>
      <c r="M184" s="2559"/>
      <c r="N184" s="2559"/>
      <c r="O184" s="2559"/>
      <c r="P184" s="2559"/>
      <c r="Q184" s="2559"/>
      <c r="R184" s="2559"/>
      <c r="S184" s="2559"/>
      <c r="T184" s="2559"/>
      <c r="U184" s="2559"/>
      <c r="V184" s="2559"/>
      <c r="W184" s="2559"/>
      <c r="X184" s="2559"/>
      <c r="Y184" s="2559"/>
      <c r="Z184" s="2559"/>
      <c r="AA184" s="2559"/>
      <c r="AB184" s="2559"/>
      <c r="AC184" s="2559"/>
      <c r="AD184" s="2559"/>
      <c r="AE184" s="2559"/>
      <c r="AF184" s="2559"/>
      <c r="AG184" s="2559"/>
      <c r="AH184" s="2559"/>
      <c r="AI184" s="2559"/>
      <c r="AJ184" s="2559"/>
      <c r="AK184" s="2559"/>
      <c r="AL184" s="2559"/>
      <c r="AM184" s="2559"/>
      <c r="AN184" s="2559"/>
      <c r="AO184" s="2559"/>
      <c r="AP184" s="2559"/>
      <c r="AQ184" s="2559"/>
      <c r="AR184" s="2559"/>
      <c r="AS184" s="2559"/>
      <c r="AT184" s="2559"/>
      <c r="AU184" s="2559"/>
      <c r="AV184" s="255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2" t="s">
        <v>2084</v>
      </c>
      <c r="I186" s="2552"/>
      <c r="J186" s="2552"/>
      <c r="K186" s="2552"/>
      <c r="L186" s="1775"/>
      <c r="M186" s="1775"/>
      <c r="N186" s="1775"/>
      <c r="O186" s="1775"/>
      <c r="P186" s="1775"/>
      <c r="Q186" s="1775"/>
      <c r="R186" s="1775"/>
      <c r="S186" s="2553"/>
      <c r="T186" s="2554"/>
      <c r="U186" s="2554"/>
      <c r="V186" s="2554"/>
      <c r="W186" s="2554"/>
      <c r="X186" s="2554"/>
      <c r="Y186" s="2554"/>
      <c r="Z186" s="2554"/>
      <c r="AA186" s="2554"/>
      <c r="AB186" s="2554"/>
      <c r="AC186" s="2554"/>
      <c r="AD186" s="2554"/>
      <c r="AE186" s="2554"/>
      <c r="AF186" s="2554"/>
      <c r="AG186" s="2554"/>
      <c r="AH186" s="2554"/>
      <c r="AI186" s="2554"/>
      <c r="AJ186" s="255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2" t="s">
        <v>2085</v>
      </c>
      <c r="I188" s="2552"/>
      <c r="J188" s="2552"/>
      <c r="K188" s="1796"/>
      <c r="L188" s="1775"/>
      <c r="M188" s="1775"/>
      <c r="N188" s="1775"/>
      <c r="O188" s="1775"/>
      <c r="P188" s="1775"/>
      <c r="Q188" s="1775"/>
      <c r="R188" s="1775"/>
      <c r="S188" s="2553"/>
      <c r="T188" s="2554"/>
      <c r="U188" s="2554"/>
      <c r="V188" s="2554"/>
      <c r="W188" s="2554"/>
      <c r="X188" s="2554"/>
      <c r="Y188" s="2554"/>
      <c r="Z188" s="2554"/>
      <c r="AA188" s="2554"/>
      <c r="AB188" s="2554"/>
      <c r="AC188" s="2554"/>
      <c r="AD188" s="2554"/>
      <c r="AE188" s="2554"/>
      <c r="AF188" s="2554"/>
      <c r="AG188" s="2554"/>
      <c r="AH188" s="2554"/>
      <c r="AI188" s="2554"/>
      <c r="AJ188" s="255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2" t="s">
        <v>464</v>
      </c>
      <c r="I190" s="2552"/>
      <c r="J190" s="1796"/>
      <c r="K190" s="1796"/>
      <c r="L190" s="1775"/>
      <c r="M190" s="1775"/>
      <c r="N190" s="1775"/>
      <c r="O190" s="1775"/>
      <c r="P190" s="1775"/>
      <c r="Q190" s="1775"/>
      <c r="R190" s="1775"/>
      <c r="S190" s="2553"/>
      <c r="T190" s="2554"/>
      <c r="U190" s="2554"/>
      <c r="V190" s="2554"/>
      <c r="W190" s="2554"/>
      <c r="X190" s="2554"/>
      <c r="Y190" s="2554"/>
      <c r="Z190" s="2554"/>
      <c r="AA190" s="2554"/>
      <c r="AB190" s="2554"/>
      <c r="AC190" s="2554"/>
      <c r="AD190" s="2554"/>
      <c r="AE190" s="2554"/>
      <c r="AF190" s="2554"/>
      <c r="AG190" s="2554"/>
      <c r="AH190" s="2554"/>
      <c r="AI190" s="2554"/>
      <c r="AJ190" s="255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6" t="s">
        <v>2086</v>
      </c>
      <c r="I192" s="2556"/>
      <c r="J192" s="2556"/>
      <c r="K192" s="2556"/>
      <c r="L192" s="2556"/>
      <c r="M192" s="2556"/>
      <c r="N192" s="2556"/>
      <c r="O192" s="2556"/>
      <c r="P192" s="1775"/>
      <c r="Q192" s="1775"/>
      <c r="R192" s="1775"/>
      <c r="S192" s="2553"/>
      <c r="T192" s="2554"/>
      <c r="U192" s="2554"/>
      <c r="V192" s="2554"/>
      <c r="W192" s="2554"/>
      <c r="X192" s="2554"/>
      <c r="Y192" s="2554"/>
      <c r="Z192" s="2554"/>
      <c r="AA192" s="2554"/>
      <c r="AB192" s="2554"/>
      <c r="AC192" s="2554"/>
      <c r="AD192" s="2554"/>
      <c r="AE192" s="2554"/>
      <c r="AF192" s="2554"/>
      <c r="AG192" s="2554"/>
      <c r="AH192" s="2554"/>
      <c r="AI192" s="2554"/>
      <c r="AJ192" s="255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7" t="s">
        <v>2087</v>
      </c>
      <c r="I194" s="2557"/>
      <c r="J194" s="1775"/>
      <c r="K194" s="1775"/>
      <c r="L194" s="1775"/>
      <c r="M194" s="1775"/>
      <c r="N194" s="1775"/>
      <c r="O194" s="1775"/>
      <c r="P194" s="1775"/>
      <c r="Q194" s="1775"/>
      <c r="R194" s="1775"/>
      <c r="S194" s="2553"/>
      <c r="T194" s="2554"/>
      <c r="U194" s="2554"/>
      <c r="V194" s="2554"/>
      <c r="W194" s="2554"/>
      <c r="X194" s="2554"/>
      <c r="Y194" s="2554"/>
      <c r="Z194" s="2554"/>
      <c r="AA194" s="2554"/>
      <c r="AB194" s="2554"/>
      <c r="AC194" s="2554"/>
      <c r="AD194" s="2554"/>
      <c r="AE194" s="2554"/>
      <c r="AF194" s="2554"/>
      <c r="AG194" s="2554"/>
      <c r="AH194" s="2554"/>
      <c r="AI194" s="2554"/>
      <c r="AJ194" s="255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90" zoomScaleNormal="100" zoomScaleSheetLayoutView="100" workbookViewId="0">
      <selection activeCell="F298" sqref="F298:AD302"/>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1"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7773437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29" t="s">
        <v>1550</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3"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8" t="s">
        <v>1555</v>
      </c>
      <c r="AF7" s="3018"/>
      <c r="AG7" s="3018"/>
      <c r="AH7" s="3018"/>
      <c r="AI7" s="3018"/>
      <c r="AJ7" s="3018"/>
      <c r="AK7" s="3018"/>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2" t="s">
        <v>626</v>
      </c>
      <c r="C12" s="3002"/>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1"/>
      <c r="AH12" s="3031"/>
      <c r="AI12" s="3031"/>
      <c r="AJ12" s="303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2" t="s">
        <v>626</v>
      </c>
      <c r="C15" s="3002"/>
      <c r="D15" s="936"/>
      <c r="E15" s="3019" t="s">
        <v>1558</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29"/>
      <c r="AL15" s="929"/>
      <c r="AM15" s="929"/>
      <c r="AN15" s="925"/>
      <c r="AO15" s="939">
        <f>IF($B24="yes",20,0)</f>
        <v>0</v>
      </c>
      <c r="AP15" s="51"/>
    </row>
    <row r="16" spans="1:42" s="926" customFormat="1" ht="12.75" customHeight="1">
      <c r="A16" s="929"/>
      <c r="B16" s="929"/>
      <c r="C16" s="929"/>
      <c r="D16" s="940"/>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29"/>
      <c r="AL16" s="929"/>
      <c r="AM16" s="929"/>
      <c r="AN16" s="925"/>
      <c r="AO16" s="926">
        <f>IF(SUM(AO12:AO15)&gt;20,20,(SUM(AO12:AO15)))</f>
        <v>0</v>
      </c>
      <c r="AP16" s="926" t="s">
        <v>1559</v>
      </c>
    </row>
    <row r="17" spans="1:42" s="926" customFormat="1" ht="12.75" customHeight="1">
      <c r="A17" s="929"/>
      <c r="B17" s="929"/>
      <c r="C17" s="929"/>
      <c r="D17" s="940"/>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2" t="s">
        <v>626</v>
      </c>
      <c r="C21" s="3002"/>
      <c r="D21" s="936"/>
      <c r="E21" s="3003" t="s">
        <v>1561</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29"/>
      <c r="AL21" s="929"/>
      <c r="AM21" s="929"/>
      <c r="AN21" s="925"/>
      <c r="AO21" s="926">
        <f>SUM(AO20)</f>
        <v>0</v>
      </c>
      <c r="AP21" s="926" t="s">
        <v>1559</v>
      </c>
    </row>
    <row r="22" spans="1:42" s="926" customFormat="1" ht="12.75" customHeight="1">
      <c r="A22" s="929"/>
      <c r="B22" s="929"/>
      <c r="C22" s="929"/>
      <c r="D22" s="939"/>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2" t="s">
        <v>626</v>
      </c>
      <c r="C24" s="3002"/>
      <c r="D24" s="936"/>
      <c r="E24" s="3009" t="s">
        <v>1562</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29"/>
      <c r="AL24" s="929"/>
      <c r="AM24" s="929"/>
      <c r="AN24" s="925"/>
      <c r="AO24" s="939">
        <f>IF($B39="yes",6,0)</f>
        <v>0</v>
      </c>
    </row>
    <row r="25" spans="1:42" s="926" customFormat="1" ht="12.75" customHeight="1">
      <c r="A25" s="929"/>
      <c r="B25" s="929"/>
      <c r="C25" s="929"/>
      <c r="D25" s="939"/>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2" t="s">
        <v>626</v>
      </c>
      <c r="C29" s="3002"/>
      <c r="D29" s="936"/>
      <c r="E29" s="3009" t="s">
        <v>1564</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29"/>
      <c r="AL29" s="929"/>
      <c r="AM29" s="929"/>
      <c r="AN29" s="925"/>
      <c r="AO29" s="939">
        <f>IF($B49="yes",6,0)</f>
        <v>0</v>
      </c>
    </row>
    <row r="30" spans="1:42" s="926" customFormat="1" ht="12.75" customHeight="1">
      <c r="A30" s="929"/>
      <c r="B30" s="929"/>
      <c r="C30" s="929"/>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29"/>
      <c r="AL30" s="929"/>
      <c r="AM30" s="929"/>
      <c r="AN30" s="925"/>
      <c r="AO30" s="926">
        <f>IF(SUM(AO23:AO29)&gt;6,6,(SUM(AO23:AO29)))</f>
        <v>0</v>
      </c>
      <c r="AP30" s="926" t="s">
        <v>1559</v>
      </c>
    </row>
    <row r="31" spans="1:42" s="926" customFormat="1" ht="12.75" customHeight="1">
      <c r="A31" s="929"/>
      <c r="B31" s="929"/>
      <c r="C31" s="929"/>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6" t="s">
        <v>2314</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29"/>
      <c r="AM34" s="929"/>
      <c r="AN34" s="925"/>
    </row>
    <row r="35" spans="1:41" s="926" customFormat="1" ht="12.75" customHeight="1">
      <c r="A35" s="929"/>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2" t="s">
        <v>626</v>
      </c>
      <c r="C37" s="3002"/>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2" t="s">
        <v>626</v>
      </c>
      <c r="C39" s="3002"/>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2" t="s">
        <v>626</v>
      </c>
      <c r="C41" s="3002"/>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2" t="s">
        <v>626</v>
      </c>
      <c r="C43" s="3002"/>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2" t="s">
        <v>626</v>
      </c>
      <c r="C45" s="3002"/>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2" t="s">
        <v>626</v>
      </c>
      <c r="C47" s="3002"/>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2" t="s">
        <v>626</v>
      </c>
      <c r="C49" s="3002"/>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3">
        <f>AO32</f>
        <v>0</v>
      </c>
      <c r="AL51" s="3034"/>
      <c r="AM51" s="303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8" t="s">
        <v>1576</v>
      </c>
      <c r="AF54" s="3018"/>
      <c r="AG54" s="3018"/>
      <c r="AH54" s="3018"/>
      <c r="AI54" s="3018"/>
      <c r="AJ54" s="3018"/>
      <c r="AK54" s="3018"/>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2" t="s">
        <v>626</v>
      </c>
      <c r="C57" s="3002"/>
      <c r="D57" s="936" t="s">
        <v>1577</v>
      </c>
      <c r="E57" s="3019" t="s">
        <v>2167</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2"/>
      <c r="AL57" s="929"/>
      <c r="AM57" s="929"/>
      <c r="AN57" s="925"/>
      <c r="AO57" s="939">
        <f>IF($B57="yes",10,0)</f>
        <v>0</v>
      </c>
    </row>
    <row r="58" spans="1:50" s="926" customFormat="1" ht="12.75" customHeight="1">
      <c r="A58" s="927"/>
      <c r="B58" s="929"/>
      <c r="C58" s="929"/>
      <c r="D58" s="940"/>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2"/>
      <c r="AL58" s="929"/>
      <c r="AM58" s="929"/>
      <c r="AN58" s="925"/>
      <c r="AO58" s="939">
        <f>IF($B62="yes",10,0)</f>
        <v>10</v>
      </c>
    </row>
    <row r="59" spans="1:50" s="926" customFormat="1" ht="12.75" customHeight="1">
      <c r="A59" s="927"/>
      <c r="B59" s="929"/>
      <c r="C59" s="929"/>
      <c r="D59" s="940"/>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2"/>
      <c r="AL59" s="929"/>
      <c r="AM59" s="929"/>
      <c r="AN59" s="925"/>
      <c r="AO59" s="939">
        <f>IF($B69="yes",10,0)</f>
        <v>0</v>
      </c>
    </row>
    <row r="60" spans="1:50" s="926" customFormat="1" ht="12.75" customHeight="1">
      <c r="A60" s="927"/>
      <c r="B60" s="929"/>
      <c r="C60" s="929"/>
      <c r="D60" s="940"/>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2" t="s">
        <v>578</v>
      </c>
      <c r="C62" s="3002"/>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8" t="s">
        <v>626</v>
      </c>
      <c r="F63" s="3002"/>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7" t="s">
        <v>626</v>
      </c>
      <c r="F64" s="2998"/>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7" t="s">
        <v>626</v>
      </c>
      <c r="F65" s="2998"/>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8" t="s">
        <v>578</v>
      </c>
      <c r="F67" s="3002"/>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2" t="s">
        <v>626</v>
      </c>
      <c r="C69" s="3002"/>
      <c r="D69" s="936" t="s">
        <v>1582</v>
      </c>
      <c r="E69" s="3009" t="s">
        <v>2168</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2"/>
      <c r="AL69" s="929"/>
      <c r="AM69" s="929"/>
      <c r="AN69" s="925"/>
    </row>
    <row r="70" spans="1:40" s="926" customFormat="1" ht="12.75" customHeight="1">
      <c r="A70" s="927"/>
      <c r="B70" s="929"/>
      <c r="C70" s="929"/>
      <c r="D70" s="939"/>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3">
        <f>IF(AK51&gt;0,0,AO60)</f>
        <v>10</v>
      </c>
      <c r="AL72" s="3034"/>
      <c r="AM72" s="303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8" t="s">
        <v>1555</v>
      </c>
      <c r="AF75" s="3018"/>
      <c r="AG75" s="3018"/>
      <c r="AH75" s="3018"/>
      <c r="AI75" s="3018"/>
      <c r="AJ75" s="3018"/>
      <c r="AK75" s="3018"/>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2" t="s">
        <v>578</v>
      </c>
      <c r="C78" s="3002"/>
      <c r="D78" s="936" t="s">
        <v>1577</v>
      </c>
      <c r="E78" s="3041" t="s">
        <v>1587</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2"/>
      <c r="AL78" s="929"/>
      <c r="AM78" s="929"/>
      <c r="AN78" s="925"/>
    </row>
    <row r="79" spans="1:40" s="926" customFormat="1" ht="12.75" customHeight="1">
      <c r="A79" s="927"/>
      <c r="B79" s="928"/>
      <c r="C79" s="928"/>
      <c r="D79" s="928"/>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7">
        <f>Application!AH753</f>
        <v>0.44938271604938262</v>
      </c>
      <c r="F81" s="3048"/>
      <c r="G81" s="3048"/>
      <c r="H81" s="3048"/>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9">
        <f>0.6-ROUNDUP(E81,2)</f>
        <v>0.14999999999999997</v>
      </c>
      <c r="F82" s="3050"/>
      <c r="G82" s="3050"/>
      <c r="H82" s="3050"/>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9">
        <f>IF(E82*200&gt;20,20,E82*200)</f>
        <v>20</v>
      </c>
      <c r="F83" s="3040"/>
      <c r="G83" s="3040"/>
      <c r="H83" s="3040"/>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2" t="s">
        <v>626</v>
      </c>
      <c r="C86" s="3002"/>
      <c r="D86" s="936" t="s">
        <v>1579</v>
      </c>
      <c r="E86" s="3041" t="s">
        <v>2152</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2"/>
      <c r="AL86" s="929"/>
      <c r="AM86" s="929"/>
      <c r="AN86" s="925"/>
    </row>
    <row r="87" spans="1:47" s="926" customFormat="1" ht="12.75" customHeight="1">
      <c r="A87" s="927"/>
      <c r="B87" s="928"/>
      <c r="C87" s="928"/>
      <c r="D87" s="928"/>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2"/>
      <c r="AL87" s="929"/>
      <c r="AM87" s="929"/>
      <c r="AN87" s="925"/>
    </row>
    <row r="88" spans="1:47" s="926" customFormat="1" ht="12.75" customHeight="1">
      <c r="A88" s="927"/>
      <c r="B88" s="928"/>
      <c r="C88" s="928"/>
      <c r="D88" s="928"/>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2"/>
      <c r="AL88" s="929"/>
      <c r="AM88" s="929"/>
      <c r="AN88" s="925"/>
    </row>
    <row r="89" spans="1:47" s="926" customFormat="1" ht="12.75" customHeight="1">
      <c r="A89" s="927"/>
      <c r="B89" s="928"/>
      <c r="C89" s="928"/>
      <c r="D89" s="928"/>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7">
        <f>Application!AH753</f>
        <v>0.44938271604938262</v>
      </c>
      <c r="F91" s="3048"/>
      <c r="G91" s="3048"/>
      <c r="H91" s="3048"/>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7">
        <f ca="1">SUMIF(Application!AH728:AL752,0.2,Application!G728:J752)/Application!G753+SUMIF(Application!AH728:AL752,0.25,Application!G728:J752)/Application!G753+SUMIF(Application!AH728:AL752,0.3,Application!G728:J752)/Application!G753</f>
        <v>0.23456790123456789</v>
      </c>
      <c r="F92" s="3048"/>
      <c r="G92" s="3048"/>
      <c r="H92" s="3048"/>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7">
        <f ca="1">SUMIF(Application!AH728:AL752,0.35,Application!G728:J752)/Application!G753+SUMIF(Application!AH728:AL752,0.4,Application!G728:J752)/Application!G753+SUMIF(Application!AH728:AL752,0.45,Application!G728:J752)/Application!G753+SUMIF(Application!AH728:AL752,0.5,Application!G728:J752)/Application!G753</f>
        <v>0.51851851851851849</v>
      </c>
      <c r="F93" s="3048"/>
      <c r="G93" s="3048"/>
      <c r="H93" s="3048"/>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8">
        <f ca="1">IF(AND(E91&lt;=0.6,E92&gt;=0.1,OR(E93&gt;=0.1,E92=1)),20,0)</f>
        <v>20</v>
      </c>
      <c r="F94" s="3059"/>
      <c r="G94" s="3059"/>
      <c r="H94" s="3059"/>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3">
        <f>MAX(AP83,AP94)</f>
        <v>20</v>
      </c>
      <c r="AL97" s="3034"/>
      <c r="AM97" s="303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8" t="s">
        <v>1576</v>
      </c>
      <c r="AF100" s="3018"/>
      <c r="AG100" s="3018"/>
      <c r="AH100" s="3018"/>
      <c r="AI100" s="3018"/>
      <c r="AJ100" s="3018"/>
      <c r="AK100" s="3018"/>
      <c r="AL100" s="929"/>
      <c r="AM100" s="929"/>
      <c r="AN100" s="925"/>
      <c r="AO100" s="926" t="str">
        <f>Application!B728</f>
        <v>1 Bedroom</v>
      </c>
      <c r="AQ100" s="926">
        <f>Application!O728</f>
        <v>1010</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670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500</v>
      </c>
    </row>
    <row r="103" spans="1:49" s="926" customFormat="1" ht="12.75" customHeight="1">
      <c r="A103" s="929"/>
      <c r="B103" s="3002" t="s">
        <v>578</v>
      </c>
      <c r="C103" s="3002"/>
      <c r="D103" s="936" t="s">
        <v>1577</v>
      </c>
      <c r="E103" s="3041" t="s">
        <v>2300</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29"/>
      <c r="AL103" s="929"/>
      <c r="AM103" s="929"/>
      <c r="AN103" s="925"/>
      <c r="AO103" s="926" t="str">
        <f>Application!B731</f>
        <v>2 Bedrooms</v>
      </c>
      <c r="AQ103" s="926">
        <f>Application!O731</f>
        <v>1214</v>
      </c>
      <c r="AU103" s="926" t="s">
        <v>2280</v>
      </c>
      <c r="AV103" s="1665" t="s">
        <v>2281</v>
      </c>
      <c r="AW103" s="926" t="s">
        <v>2282</v>
      </c>
    </row>
    <row r="104" spans="1:49" s="926" customFormat="1" ht="12.75" customHeight="1">
      <c r="A104" s="929"/>
      <c r="B104" s="928"/>
      <c r="C104" s="928"/>
      <c r="D104" s="928"/>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29"/>
      <c r="AL104" s="929"/>
      <c r="AM104" s="929"/>
      <c r="AN104" s="925"/>
      <c r="AO104" s="926" t="str">
        <f>Application!B732</f>
        <v>2 Bedrooms</v>
      </c>
      <c r="AQ104" s="926">
        <f>Application!O732</f>
        <v>1010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29"/>
      <c r="AL105" s="929"/>
      <c r="AM105" s="929"/>
      <c r="AN105" s="925"/>
      <c r="AO105" s="926" t="str">
        <f>Application!B733</f>
        <v>2 Bedrooms</v>
      </c>
      <c r="AQ105" s="926">
        <f>Application!O733</f>
        <v>806</v>
      </c>
      <c r="AU105" s="1668" t="str">
        <f>J112</f>
        <v>1-bedroom</v>
      </c>
      <c r="AV105" s="926">
        <f t="array" ref="AV105">SUM(IF(Application!B728:F752="1 Bedroom",Application!G728:J752))</f>
        <v>12</v>
      </c>
      <c r="AW105" s="1703">
        <f>AV105/AV110</f>
        <v>0.14814814814814814</v>
      </c>
    </row>
    <row r="106" spans="1:49" s="926" customFormat="1" ht="12.75" customHeight="1">
      <c r="A106" s="929"/>
      <c r="B106" s="928"/>
      <c r="C106" s="928"/>
      <c r="D106" s="928"/>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29"/>
      <c r="AL106" s="929"/>
      <c r="AM106" s="929"/>
      <c r="AN106" s="925"/>
      <c r="AO106" s="926" t="str">
        <f>Application!B734</f>
        <v>2 Bedrooms</v>
      </c>
      <c r="AQ106" s="926">
        <f>Application!O734</f>
        <v>602</v>
      </c>
      <c r="AU106" s="1668" t="str">
        <f>O112</f>
        <v>2-bedroom</v>
      </c>
      <c r="AV106" s="926">
        <f t="array" ref="AV106">SUM(IF(Application!B728:F752="2 Bedrooms",Application!G728:J752))</f>
        <v>41</v>
      </c>
      <c r="AW106" s="1703">
        <f>AV106/AV110</f>
        <v>0.50617283950617287</v>
      </c>
    </row>
    <row r="107" spans="1:49" s="926" customFormat="1" ht="12.75" customHeight="1">
      <c r="A107" s="929"/>
      <c r="B107" s="928"/>
      <c r="C107" s="928"/>
      <c r="D107" s="928"/>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29"/>
      <c r="AL107" s="929"/>
      <c r="AM107" s="929"/>
      <c r="AN107" s="925"/>
      <c r="AO107" s="926" t="str">
        <f>Application!B735</f>
        <v>3 Bedrooms</v>
      </c>
      <c r="AQ107" s="926">
        <f>Application!O735</f>
        <v>1403</v>
      </c>
      <c r="AU107" s="1668" t="str">
        <f>T112</f>
        <v>3-bedroom</v>
      </c>
      <c r="AV107" s="926">
        <f t="array" ref="AV107">SUM(IF(Application!B728:F752="3 Bedrooms",Application!G728:J752))</f>
        <v>28</v>
      </c>
      <c r="AW107" s="1703">
        <f>AV107/AV110</f>
        <v>0.34567901234567899</v>
      </c>
    </row>
    <row r="108" spans="1:49" s="926" customFormat="1" ht="12.75" customHeight="1">
      <c r="A108" s="929"/>
      <c r="B108" s="928"/>
      <c r="C108" s="928"/>
      <c r="D108" s="928"/>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29"/>
      <c r="AL108" s="929"/>
      <c r="AM108" s="929"/>
      <c r="AN108" s="925"/>
      <c r="AO108" s="926" t="str">
        <f>Application!B736</f>
        <v>3 Bedrooms</v>
      </c>
      <c r="AQ108" s="926">
        <f>Application!O736</f>
        <v>1168</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29"/>
      <c r="AL109" s="929"/>
      <c r="AM109" s="929"/>
      <c r="AN109" s="925"/>
      <c r="AO109" s="926" t="str">
        <f>Application!B737</f>
        <v>3 Bedrooms</v>
      </c>
      <c r="AQ109" s="926">
        <f>Application!O737</f>
        <v>932</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29"/>
      <c r="AL110" s="929"/>
      <c r="AM110" s="929"/>
      <c r="AN110" s="925"/>
      <c r="AO110" s="926" t="str">
        <f>Application!B738</f>
        <v>3 Bedrooms</v>
      </c>
      <c r="AQ110" s="926">
        <f>Application!O738</f>
        <v>696</v>
      </c>
      <c r="AV110" s="926">
        <f>SUM(AV104:AV109)</f>
        <v>81</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47" t="s">
        <v>1878</v>
      </c>
      <c r="F112" s="3048"/>
      <c r="G112" s="3048"/>
      <c r="H112" s="3048"/>
      <c r="I112" s="1422"/>
      <c r="J112" s="3048" t="s">
        <v>1931</v>
      </c>
      <c r="K112" s="3048"/>
      <c r="L112" s="3048"/>
      <c r="M112" s="3048"/>
      <c r="N112" s="1422"/>
      <c r="O112" s="3048" t="s">
        <v>1932</v>
      </c>
      <c r="P112" s="3048"/>
      <c r="Q112" s="3048"/>
      <c r="R112" s="3048"/>
      <c r="S112" s="1422"/>
      <c r="T112" s="3048" t="s">
        <v>1596</v>
      </c>
      <c r="U112" s="3048"/>
      <c r="V112" s="3048"/>
      <c r="W112" s="3048"/>
      <c r="X112" s="1422"/>
      <c r="Y112" s="3048" t="s">
        <v>1933</v>
      </c>
      <c r="Z112" s="3048"/>
      <c r="AA112" s="3048"/>
      <c r="AB112" s="3048"/>
      <c r="AC112" s="1422"/>
      <c r="AD112" s="3048" t="s">
        <v>1934</v>
      </c>
      <c r="AE112" s="3048"/>
      <c r="AF112" s="3048"/>
      <c r="AG112" s="3048"/>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0"/>
      <c r="F115" s="3037"/>
      <c r="G115" s="3037"/>
      <c r="H115" s="3037"/>
      <c r="I115" s="1424"/>
      <c r="J115" s="3037">
        <v>1250</v>
      </c>
      <c r="K115" s="3037"/>
      <c r="L115" s="3037"/>
      <c r="M115" s="3037"/>
      <c r="N115" s="1424"/>
      <c r="O115" s="3037">
        <v>1500</v>
      </c>
      <c r="P115" s="3037"/>
      <c r="Q115" s="3037"/>
      <c r="R115" s="3037"/>
      <c r="S115" s="1424"/>
      <c r="T115" s="3037">
        <v>1825</v>
      </c>
      <c r="U115" s="3037"/>
      <c r="V115" s="3037"/>
      <c r="W115" s="3037"/>
      <c r="X115" s="1424"/>
      <c r="Y115" s="3037"/>
      <c r="Z115" s="3037"/>
      <c r="AA115" s="3037"/>
      <c r="AB115" s="3037"/>
      <c r="AC115" s="1424"/>
      <c r="AD115" s="3037"/>
      <c r="AE115" s="3037"/>
      <c r="AF115" s="3037"/>
      <c r="AG115" s="303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8">
        <f>Application!DX663</f>
        <v>0</v>
      </c>
      <c r="F118" s="2996"/>
      <c r="G118" s="2996"/>
      <c r="H118" s="2996"/>
      <c r="I118" s="1424"/>
      <c r="J118" s="2996">
        <f>Application!EC663</f>
        <v>726.66666666666663</v>
      </c>
      <c r="K118" s="2996"/>
      <c r="L118" s="2996"/>
      <c r="M118" s="2996"/>
      <c r="N118" s="1424"/>
      <c r="O118" s="2996">
        <f>Application!EH663</f>
        <v>890.58536585365846</v>
      </c>
      <c r="P118" s="2996"/>
      <c r="Q118" s="2996"/>
      <c r="R118" s="2996"/>
      <c r="S118" s="1428"/>
      <c r="T118" s="2996">
        <f>Application!EM663</f>
        <v>1091.8571428571429</v>
      </c>
      <c r="U118" s="2996"/>
      <c r="V118" s="2996"/>
      <c r="W118" s="2996"/>
      <c r="X118" s="1428"/>
      <c r="Y118" s="2996">
        <f>Application!ER663</f>
        <v>0</v>
      </c>
      <c r="Z118" s="2996"/>
      <c r="AA118" s="2996"/>
      <c r="AB118" s="2996"/>
      <c r="AC118" s="1428"/>
      <c r="AD118" s="2996">
        <f>Application!EW663</f>
        <v>0</v>
      </c>
      <c r="AE118" s="2996"/>
      <c r="AF118" s="2996"/>
      <c r="AG118" s="299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0" t="e">
        <f>(E115-E118)/E115</f>
        <v>#DIV/0!</v>
      </c>
      <c r="F121" s="3261"/>
      <c r="G121" s="3261"/>
      <c r="H121" s="3262"/>
      <c r="I121" s="967"/>
      <c r="J121" s="3260">
        <f>(J115-J118)/J115</f>
        <v>0.41866666666666669</v>
      </c>
      <c r="K121" s="3261"/>
      <c r="L121" s="3261"/>
      <c r="M121" s="3262"/>
      <c r="N121" s="967"/>
      <c r="O121" s="3260">
        <f>(O115-O118)/O115</f>
        <v>0.40627642276422771</v>
      </c>
      <c r="P121" s="3261"/>
      <c r="Q121" s="3261"/>
      <c r="R121" s="3262"/>
      <c r="S121" s="967"/>
      <c r="T121" s="3260">
        <f>(T115-T118)/T115</f>
        <v>0.40172211350293541</v>
      </c>
      <c r="U121" s="3261"/>
      <c r="V121" s="3261"/>
      <c r="W121" s="3262"/>
      <c r="X121" s="967"/>
      <c r="Y121" s="3260" t="e">
        <f>(Y115-Y118)/Y115</f>
        <v>#DIV/0!</v>
      </c>
      <c r="Z121" s="3261"/>
      <c r="AA121" s="3261"/>
      <c r="AB121" s="3262"/>
      <c r="AC121" s="967"/>
      <c r="AD121" s="3260" t="e">
        <f>(AD115-AD118)/AD115</f>
        <v>#DIV/0!</v>
      </c>
      <c r="AE121" s="3261"/>
      <c r="AF121" s="3261"/>
      <c r="AG121" s="326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3" t="e">
        <f>IF(((E121-0.1)*AW104)&gt;0,((E121-0.1)*AW104),0)</f>
        <v>#DIV/0!</v>
      </c>
      <c r="F124" s="2994"/>
      <c r="G124" s="2994"/>
      <c r="H124" s="2995"/>
      <c r="I124" s="967"/>
      <c r="J124" s="2993">
        <f>IF(((J121-0.1)*AW105)&gt;0,((J121-0.1)*AW105),0)</f>
        <v>4.7209876543209871E-2</v>
      </c>
      <c r="K124" s="2994"/>
      <c r="L124" s="2994"/>
      <c r="M124" s="2995"/>
      <c r="N124" s="967"/>
      <c r="O124" s="2993">
        <f>IF(((O121-0.1)*AW106)&gt;0,((O121-0.1)*AW106),0)</f>
        <v>0.15502880658436219</v>
      </c>
      <c r="P124" s="2994"/>
      <c r="Q124" s="2994"/>
      <c r="R124" s="2995"/>
      <c r="S124" s="967"/>
      <c r="T124" s="2993">
        <f>IF(((T121-0.1)*AW107)&gt;0,((T121-0.1)*AW107),0)</f>
        <v>0.10429900219854557</v>
      </c>
      <c r="U124" s="2994"/>
      <c r="V124" s="2994"/>
      <c r="W124" s="2995"/>
      <c r="X124" s="967"/>
      <c r="Y124" s="2993" t="e">
        <f>IF(((Y121-0.1)*AW108)&gt;0,((Y121-0.1)*AW108),0)</f>
        <v>#DIV/0!</v>
      </c>
      <c r="Z124" s="2994"/>
      <c r="AA124" s="2994"/>
      <c r="AB124" s="2995"/>
      <c r="AC124" s="967"/>
      <c r="AD124" s="2993" t="e">
        <f>IF(((AD121-0.1)*AW109)&gt;0,((AD121-0.1)*AW109),0)</f>
        <v>#DIV/0!</v>
      </c>
      <c r="AE124" s="2994"/>
      <c r="AF124" s="2994"/>
      <c r="AG124" s="299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0">
        <f>ROUNDDOWN(SUMIF(E124:AG124,"&gt;0"),2)</f>
        <v>0.3</v>
      </c>
      <c r="F126" s="3261"/>
      <c r="G126" s="3261"/>
      <c r="H126" s="3262"/>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3">
        <f>IF((E126*100)&gt;10,10,E126*100)</f>
        <v>10</v>
      </c>
      <c r="F127" s="3034"/>
      <c r="G127" s="3034"/>
      <c r="H127" s="3035"/>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3">
        <f>E127</f>
        <v>10</v>
      </c>
      <c r="AL131" s="3034"/>
      <c r="AM131" s="303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18" t="s">
        <v>1576</v>
      </c>
      <c r="AF134" s="3018"/>
      <c r="AG134" s="3018"/>
      <c r="AH134" s="3018"/>
      <c r="AI134" s="3018"/>
      <c r="AJ134" s="3018"/>
      <c r="AK134" s="3018"/>
      <c r="AL134" s="981"/>
      <c r="AM134" s="982"/>
      <c r="AN134" s="983"/>
      <c r="AO134" s="926"/>
    </row>
    <row r="135" spans="1:52" s="928" customFormat="1" ht="12.9"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6" t="s">
        <v>1600</v>
      </c>
      <c r="AG136" s="3056"/>
      <c r="AH136" s="3056"/>
      <c r="AI136" s="3056"/>
      <c r="AJ136" s="3056"/>
      <c r="AK136" s="3056"/>
      <c r="AL136" s="3056"/>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7" t="s">
        <v>2522</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3" t="s">
        <v>1603</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2"/>
      <c r="AN141" s="922"/>
      <c r="AO141" s="990" t="s">
        <v>1603</v>
      </c>
      <c r="AP141" s="991">
        <v>7</v>
      </c>
    </row>
    <row r="142" spans="1:52" s="923" customFormat="1" ht="12.9"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74" t="s">
        <v>626</v>
      </c>
      <c r="AC143" s="307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3" t="s">
        <v>1605</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76">
        <f>IF($AB$143="N/A",VLOOKUP($B$141,$AO$139:$AP$142,2,FALSE),VLOOKUP($B$146,$AO$144:$AP$147,2,FALSE))</f>
        <v>7</v>
      </c>
      <c r="AK149" s="307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6" t="s">
        <v>1614</v>
      </c>
      <c r="AG151" s="3056"/>
      <c r="AH151" s="3056"/>
      <c r="AI151" s="3056"/>
      <c r="AJ151" s="3056"/>
      <c r="AK151" s="3056"/>
      <c r="AL151" s="3056"/>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3" t="s">
        <v>1612</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26"/>
      <c r="AK153" s="926"/>
      <c r="AL153" s="926"/>
      <c r="AM153" s="1009"/>
      <c r="AN153" s="996"/>
      <c r="AO153" s="1000" t="s">
        <v>316</v>
      </c>
      <c r="AP153" s="994"/>
    </row>
    <row r="154" spans="1:42" s="939" customFormat="1" ht="12.9"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4" t="s">
        <v>626</v>
      </c>
      <c r="AD155" s="3074"/>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3" t="s">
        <v>1605</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57" t="s">
        <v>2544</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5">
        <f>IF($AC$155="N/A",VLOOKUP($C$153,$AO$153:$AP$156,2,FALSE),VLOOKUP($C$157,$AO$160:$AP$162,2,FALSE))</f>
        <v>3</v>
      </c>
      <c r="AK163" s="307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3">
        <f>$AJ$149+$AJ$163</f>
        <v>10</v>
      </c>
      <c r="AL166" s="3034"/>
      <c r="AM166" s="303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0" t="s">
        <v>1576</v>
      </c>
      <c r="AF169" s="3070"/>
      <c r="AG169" s="3070"/>
      <c r="AH169" s="3070"/>
      <c r="AI169" s="3070"/>
      <c r="AJ169" s="3070"/>
      <c r="AK169" s="3070"/>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71" t="s">
        <v>1152</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19"/>
      <c r="AE171" s="1019"/>
      <c r="AF171" s="3056" t="s">
        <v>1625</v>
      </c>
      <c r="AG171" s="3056"/>
      <c r="AH171" s="3056"/>
      <c r="AI171" s="3056"/>
      <c r="AJ171" s="3056"/>
      <c r="AK171" s="3056"/>
      <c r="AL171" s="3056"/>
      <c r="AN171" s="996"/>
      <c r="AP171" s="939" t="s">
        <v>1154</v>
      </c>
      <c r="AQ171" s="939">
        <v>10</v>
      </c>
    </row>
    <row r="172" spans="1:81" s="939" customFormat="1" ht="12.75" customHeight="1">
      <c r="A172" s="923"/>
      <c r="B172" s="3072" t="s">
        <v>2153</v>
      </c>
      <c r="C172" s="3072"/>
      <c r="D172" s="3072"/>
      <c r="E172" s="3072"/>
      <c r="F172" s="3072"/>
      <c r="G172" s="3072"/>
      <c r="H172" s="3072"/>
      <c r="I172" s="3072"/>
      <c r="J172" s="3072"/>
      <c r="K172" s="3072"/>
      <c r="L172" s="3072"/>
      <c r="M172" s="3072"/>
      <c r="N172" s="3072"/>
      <c r="O172" s="3072"/>
      <c r="P172" s="3072"/>
      <c r="Q172" s="3072"/>
      <c r="R172" s="3072"/>
      <c r="S172" s="3072"/>
      <c r="T172" s="3057" t="s">
        <v>626</v>
      </c>
      <c r="U172" s="3057"/>
      <c r="V172" s="3057"/>
      <c r="W172" s="3057"/>
      <c r="X172" s="3057"/>
      <c r="Y172" s="3057"/>
      <c r="Z172" s="3057"/>
      <c r="AA172" s="3057"/>
      <c r="AB172" s="3057"/>
      <c r="AC172" s="3057"/>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80">
        <f>IF(AK72&gt;0,VLOOKUP($B$171,AP168:AQ175,2,FALSE),0)</f>
        <v>10</v>
      </c>
      <c r="AL174" s="3081"/>
      <c r="AM174" s="3082"/>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0" t="s">
        <v>1634</v>
      </c>
      <c r="AF177" s="3070"/>
      <c r="AG177" s="3070"/>
      <c r="AH177" s="3070"/>
      <c r="AI177" s="3070"/>
      <c r="AJ177" s="3070"/>
      <c r="AK177" s="307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2" t="s">
        <v>2545</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3"/>
      <c r="AD182" s="3065">
        <v>13000000</v>
      </c>
      <c r="AE182" s="3065"/>
      <c r="AF182" s="3065"/>
      <c r="AG182" s="3065"/>
      <c r="AH182" s="3065"/>
      <c r="AI182" s="3065"/>
      <c r="AJ182" s="3065"/>
      <c r="AK182" s="1020"/>
    </row>
    <row r="183" spans="1:37">
      <c r="A183" s="1012"/>
      <c r="B183" s="3062" t="s">
        <v>2546</v>
      </c>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3"/>
      <c r="AD183" s="3065">
        <v>2157893</v>
      </c>
      <c r="AE183" s="3065"/>
      <c r="AF183" s="3065"/>
      <c r="AG183" s="3065"/>
      <c r="AH183" s="3065"/>
      <c r="AI183" s="3065"/>
      <c r="AJ183" s="3065"/>
      <c r="AK183" s="1020"/>
    </row>
    <row r="184" spans="1:37">
      <c r="A184" s="1012"/>
      <c r="B184" s="3062" t="s">
        <v>2547</v>
      </c>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3"/>
      <c r="AD184" s="3065">
        <v>820000</v>
      </c>
      <c r="AE184" s="3065"/>
      <c r="AF184" s="3065"/>
      <c r="AG184" s="3065"/>
      <c r="AH184" s="3065"/>
      <c r="AI184" s="3065"/>
      <c r="AJ184" s="3065"/>
      <c r="AK184" s="1020"/>
    </row>
    <row r="185" spans="1:37">
      <c r="A185" s="1012"/>
      <c r="B185" s="3062" t="s">
        <v>2548</v>
      </c>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3"/>
      <c r="AD185" s="3065">
        <v>820000</v>
      </c>
      <c r="AE185" s="3065"/>
      <c r="AF185" s="3065"/>
      <c r="AG185" s="3065"/>
      <c r="AH185" s="3065"/>
      <c r="AI185" s="3065"/>
      <c r="AJ185" s="3065"/>
      <c r="AK185" s="1020"/>
    </row>
    <row r="186" spans="1:37">
      <c r="A186" s="101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3"/>
      <c r="AD186" s="3065"/>
      <c r="AE186" s="3065"/>
      <c r="AF186" s="3065"/>
      <c r="AG186" s="3065"/>
      <c r="AH186" s="3065"/>
      <c r="AI186" s="3065"/>
      <c r="AJ186" s="3065"/>
      <c r="AK186" s="1020"/>
    </row>
    <row r="187" spans="1:37">
      <c r="A187" s="101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3"/>
      <c r="AD187" s="3065"/>
      <c r="AE187" s="3065"/>
      <c r="AF187" s="3065"/>
      <c r="AG187" s="3065"/>
      <c r="AH187" s="3065"/>
      <c r="AI187" s="3065"/>
      <c r="AJ187" s="3065"/>
      <c r="AK187" s="1020"/>
    </row>
    <row r="188" spans="1:37">
      <c r="A188" s="101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3"/>
      <c r="AD188" s="3065"/>
      <c r="AE188" s="3065"/>
      <c r="AF188" s="3065"/>
      <c r="AG188" s="3065"/>
      <c r="AH188" s="3065"/>
      <c r="AI188" s="3065"/>
      <c r="AJ188" s="3065"/>
      <c r="AK188" s="1020"/>
    </row>
    <row r="189" spans="1:37">
      <c r="A189" s="101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3"/>
      <c r="AD189" s="3065"/>
      <c r="AE189" s="3065"/>
      <c r="AF189" s="3065"/>
      <c r="AG189" s="3065"/>
      <c r="AH189" s="3065"/>
      <c r="AI189" s="3065"/>
      <c r="AJ189" s="3065"/>
      <c r="AK189" s="1020"/>
    </row>
    <row r="190" spans="1:37">
      <c r="A190" s="101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3"/>
      <c r="AD190" s="3065"/>
      <c r="AE190" s="3065"/>
      <c r="AF190" s="3065"/>
      <c r="AG190" s="3065"/>
      <c r="AH190" s="3065"/>
      <c r="AI190" s="3065"/>
      <c r="AJ190" s="3065"/>
      <c r="AK190" s="1020"/>
    </row>
    <row r="191" spans="1:37">
      <c r="A191" s="101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3"/>
      <c r="AD191" s="3065"/>
      <c r="AE191" s="3065"/>
      <c r="AF191" s="3065"/>
      <c r="AG191" s="3065"/>
      <c r="AH191" s="3065"/>
      <c r="AI191" s="3065"/>
      <c r="AJ191" s="3065"/>
      <c r="AK191" s="1020"/>
    </row>
    <row r="192" spans="1:37">
      <c r="A192" s="1012"/>
      <c r="B192" s="3230" t="s">
        <v>1922</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3"/>
      <c r="AD192" s="3087">
        <f>AB243</f>
        <v>0</v>
      </c>
      <c r="AE192" s="3087"/>
      <c r="AF192" s="3087"/>
      <c r="AG192" s="3087"/>
      <c r="AH192" s="3087"/>
      <c r="AI192" s="3087"/>
      <c r="AJ192" s="3087"/>
      <c r="AK192" s="1020"/>
    </row>
    <row r="193" spans="1:37">
      <c r="A193" s="1012"/>
      <c r="B193" s="3228" t="s">
        <v>1885</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3"/>
      <c r="AD193" s="3088">
        <f>'Sources and Uses Budget'!B15</f>
        <v>0</v>
      </c>
      <c r="AE193" s="3088"/>
      <c r="AF193" s="3088"/>
      <c r="AG193" s="3088"/>
      <c r="AH193" s="3088"/>
      <c r="AI193" s="3088"/>
      <c r="AJ193" s="308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2">
        <f>SUM(AD182:AJ192)-AD193</f>
        <v>16797893</v>
      </c>
      <c r="AE194" s="3092"/>
      <c r="AF194" s="3092"/>
      <c r="AG194" s="3092"/>
      <c r="AH194" s="3092"/>
      <c r="AI194" s="3092"/>
      <c r="AJ194" s="309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8" t="s">
        <v>1902</v>
      </c>
      <c r="J205" s="3068"/>
      <c r="K205" s="3068"/>
      <c r="L205" s="987"/>
      <c r="M205" s="987"/>
      <c r="N205" s="987"/>
      <c r="O205" s="987"/>
      <c r="P205" s="987"/>
      <c r="Q205" s="987"/>
      <c r="R205" s="987"/>
      <c r="S205" s="987"/>
      <c r="T205" s="3264" t="s">
        <v>1896</v>
      </c>
      <c r="U205" s="3264"/>
      <c r="V205" s="3264"/>
      <c r="W205" s="3264"/>
      <c r="X205" s="3264"/>
      <c r="Y205" s="3264"/>
      <c r="Z205" s="1397"/>
      <c r="AA205" s="1398"/>
      <c r="AB205" s="3061" t="s">
        <v>1897</v>
      </c>
      <c r="AC205" s="3061"/>
      <c r="AD205" s="3061"/>
      <c r="AE205" s="3061"/>
      <c r="AF205" s="3061"/>
      <c r="AG205" s="3061"/>
      <c r="AH205" s="1367"/>
      <c r="AI205" s="1367"/>
      <c r="AJ205" s="1367"/>
      <c r="AK205" s="1020"/>
    </row>
    <row r="206" spans="1:37">
      <c r="A206" s="1012"/>
      <c r="B206" s="3066" t="s">
        <v>1875</v>
      </c>
      <c r="C206" s="3066"/>
      <c r="D206" s="3066"/>
      <c r="E206" s="3066"/>
      <c r="F206" s="3066"/>
      <c r="G206" s="3066"/>
      <c r="I206" s="3067" t="s">
        <v>1903</v>
      </c>
      <c r="J206" s="3067"/>
      <c r="K206" s="3067"/>
      <c r="L206" s="1699"/>
      <c r="N206" s="3054" t="s">
        <v>1898</v>
      </c>
      <c r="O206" s="3054"/>
      <c r="P206" s="3054"/>
      <c r="Q206" s="3054"/>
      <c r="R206" s="3054"/>
      <c r="T206" s="3054" t="s">
        <v>1899</v>
      </c>
      <c r="U206" s="3054"/>
      <c r="V206" s="3054"/>
      <c r="W206" s="3054"/>
      <c r="X206" s="3054"/>
      <c r="Y206" s="3054"/>
      <c r="Z206" s="1399"/>
      <c r="AA206" s="1398"/>
      <c r="AB206" s="3231" t="s">
        <v>1900</v>
      </c>
      <c r="AC206" s="3231"/>
      <c r="AD206" s="3231"/>
      <c r="AE206" s="3231"/>
      <c r="AF206" s="3231"/>
      <c r="AG206" s="3231"/>
      <c r="AH206" s="1367"/>
      <c r="AI206" s="1367"/>
      <c r="AJ206" s="1367"/>
      <c r="AK206" s="1020"/>
    </row>
    <row r="207" spans="1:37">
      <c r="A207" s="1012"/>
      <c r="B207" s="3069" t="s">
        <v>1381</v>
      </c>
      <c r="C207" s="3069"/>
      <c r="D207" s="3069"/>
      <c r="E207" s="3069"/>
      <c r="F207" s="3069"/>
      <c r="G207" s="3069"/>
      <c r="H207" s="1401"/>
      <c r="I207" s="3052"/>
      <c r="J207" s="3052"/>
      <c r="K207" s="3052"/>
      <c r="L207" s="1699"/>
      <c r="N207" s="3055"/>
      <c r="O207" s="3055"/>
      <c r="P207" s="3055"/>
      <c r="Q207" s="3055"/>
      <c r="R207" s="3055"/>
      <c r="T207" s="3229"/>
      <c r="U207" s="3229"/>
      <c r="V207" s="3229"/>
      <c r="W207" s="3229"/>
      <c r="X207" s="3229"/>
      <c r="Y207" s="3229"/>
      <c r="Z207" s="1400"/>
      <c r="AA207" s="1400"/>
      <c r="AB207" s="3051">
        <f t="shared" ref="AB207:AB216" si="0">MAX(($T207-$N207)*$I207*12,0)</f>
        <v>0</v>
      </c>
      <c r="AC207" s="3051"/>
      <c r="AD207" s="3051"/>
      <c r="AE207" s="3051"/>
      <c r="AF207" s="3051"/>
      <c r="AG207" s="3051"/>
      <c r="AH207" s="1367"/>
      <c r="AI207" s="1367"/>
      <c r="AJ207" s="1367"/>
      <c r="AK207" s="1020"/>
    </row>
    <row r="208" spans="1:37">
      <c r="A208" s="1012"/>
      <c r="B208" s="3069" t="s">
        <v>1381</v>
      </c>
      <c r="C208" s="3069"/>
      <c r="D208" s="3069"/>
      <c r="E208" s="3069"/>
      <c r="F208" s="3069"/>
      <c r="G208" s="3069"/>
      <c r="I208" s="3052"/>
      <c r="J208" s="3052"/>
      <c r="K208" s="3052"/>
      <c r="L208" s="1699"/>
      <c r="N208" s="3055"/>
      <c r="O208" s="3055"/>
      <c r="P208" s="3055"/>
      <c r="Q208" s="3055"/>
      <c r="R208" s="3055"/>
      <c r="T208" s="3229"/>
      <c r="U208" s="3229"/>
      <c r="V208" s="3229"/>
      <c r="W208" s="3229"/>
      <c r="X208" s="3229"/>
      <c r="Y208" s="3229"/>
      <c r="Z208" s="1400"/>
      <c r="AA208" s="1400"/>
      <c r="AB208" s="3051">
        <f t="shared" si="0"/>
        <v>0</v>
      </c>
      <c r="AC208" s="3051"/>
      <c r="AD208" s="3051"/>
      <c r="AE208" s="3051"/>
      <c r="AF208" s="3051"/>
      <c r="AG208" s="3051"/>
      <c r="AH208" s="1367"/>
      <c r="AI208" s="1367"/>
      <c r="AJ208" s="1367"/>
      <c r="AK208" s="1020"/>
    </row>
    <row r="209" spans="1:37">
      <c r="A209" s="1012"/>
      <c r="B209" s="3069" t="s">
        <v>1381</v>
      </c>
      <c r="C209" s="3069"/>
      <c r="D209" s="3069"/>
      <c r="E209" s="3069"/>
      <c r="F209" s="3069"/>
      <c r="G209" s="3069"/>
      <c r="I209" s="3052"/>
      <c r="J209" s="3052"/>
      <c r="K209" s="3052"/>
      <c r="L209" s="1699"/>
      <c r="N209" s="3055"/>
      <c r="O209" s="3055"/>
      <c r="P209" s="3055"/>
      <c r="Q209" s="3055"/>
      <c r="R209" s="3055"/>
      <c r="T209" s="3229"/>
      <c r="U209" s="3229"/>
      <c r="V209" s="3229"/>
      <c r="W209" s="3229"/>
      <c r="X209" s="3229"/>
      <c r="Y209" s="3229"/>
      <c r="Z209" s="1400"/>
      <c r="AA209" s="1400"/>
      <c r="AB209" s="3051">
        <f t="shared" si="0"/>
        <v>0</v>
      </c>
      <c r="AC209" s="3051"/>
      <c r="AD209" s="3051"/>
      <c r="AE209" s="3051"/>
      <c r="AF209" s="3051"/>
      <c r="AG209" s="3051"/>
      <c r="AH209" s="1367"/>
      <c r="AI209" s="1367"/>
      <c r="AJ209" s="1367"/>
      <c r="AK209" s="1020"/>
    </row>
    <row r="210" spans="1:37">
      <c r="A210" s="1012"/>
      <c r="B210" s="3069" t="s">
        <v>1381</v>
      </c>
      <c r="C210" s="3069"/>
      <c r="D210" s="3069"/>
      <c r="E210" s="3069"/>
      <c r="F210" s="3069"/>
      <c r="G210" s="3069"/>
      <c r="I210" s="3052"/>
      <c r="J210" s="3052"/>
      <c r="K210" s="3052"/>
      <c r="L210" s="1699"/>
      <c r="N210" s="3055"/>
      <c r="O210" s="3055"/>
      <c r="P210" s="3055"/>
      <c r="Q210" s="3055"/>
      <c r="R210" s="3055"/>
      <c r="T210" s="3229"/>
      <c r="U210" s="3229"/>
      <c r="V210" s="3229"/>
      <c r="W210" s="3229"/>
      <c r="X210" s="3229"/>
      <c r="Y210" s="3229"/>
      <c r="Z210" s="1400"/>
      <c r="AA210" s="1400"/>
      <c r="AB210" s="3051">
        <f t="shared" si="0"/>
        <v>0</v>
      </c>
      <c r="AC210" s="3051"/>
      <c r="AD210" s="3051"/>
      <c r="AE210" s="3051"/>
      <c r="AF210" s="3051"/>
      <c r="AG210" s="3051"/>
      <c r="AH210" s="1367"/>
      <c r="AI210" s="1367"/>
      <c r="AJ210" s="1367"/>
      <c r="AK210" s="1020"/>
    </row>
    <row r="211" spans="1:37">
      <c r="A211" s="1012"/>
      <c r="B211" s="3069" t="s">
        <v>1381</v>
      </c>
      <c r="C211" s="3069"/>
      <c r="D211" s="3069"/>
      <c r="E211" s="3069"/>
      <c r="F211" s="3069"/>
      <c r="G211" s="3069"/>
      <c r="I211" s="3052"/>
      <c r="J211" s="3052"/>
      <c r="K211" s="3052"/>
      <c r="L211" s="1711"/>
      <c r="N211" s="3055"/>
      <c r="O211" s="3055"/>
      <c r="P211" s="3055"/>
      <c r="Q211" s="3055"/>
      <c r="R211" s="3055"/>
      <c r="T211" s="3229"/>
      <c r="U211" s="3229"/>
      <c r="V211" s="3229"/>
      <c r="W211" s="3229"/>
      <c r="X211" s="3229"/>
      <c r="Y211" s="3229"/>
      <c r="Z211" s="1400"/>
      <c r="AA211" s="1400"/>
      <c r="AB211" s="3051">
        <f t="shared" si="0"/>
        <v>0</v>
      </c>
      <c r="AC211" s="3051"/>
      <c r="AD211" s="3051"/>
      <c r="AE211" s="3051"/>
      <c r="AF211" s="3051"/>
      <c r="AG211" s="3051"/>
      <c r="AH211" s="1367"/>
      <c r="AI211" s="1367"/>
      <c r="AJ211" s="1367"/>
      <c r="AK211" s="1020"/>
    </row>
    <row r="212" spans="1:37">
      <c r="A212" s="1012"/>
      <c r="B212" s="3069" t="s">
        <v>1381</v>
      </c>
      <c r="C212" s="3069"/>
      <c r="D212" s="3069"/>
      <c r="E212" s="3069"/>
      <c r="F212" s="3069"/>
      <c r="G212" s="3069"/>
      <c r="I212" s="3052"/>
      <c r="J212" s="3052"/>
      <c r="K212" s="3052"/>
      <c r="L212" s="1711"/>
      <c r="N212" s="3055"/>
      <c r="O212" s="3055"/>
      <c r="P212" s="3055"/>
      <c r="Q212" s="3055"/>
      <c r="R212" s="3055"/>
      <c r="T212" s="3229"/>
      <c r="U212" s="3229"/>
      <c r="V212" s="3229"/>
      <c r="W212" s="3229"/>
      <c r="X212" s="3229"/>
      <c r="Y212" s="3229"/>
      <c r="Z212" s="1400"/>
      <c r="AA212" s="1400"/>
      <c r="AB212" s="3051">
        <f t="shared" si="0"/>
        <v>0</v>
      </c>
      <c r="AC212" s="3051"/>
      <c r="AD212" s="3051"/>
      <c r="AE212" s="3051"/>
      <c r="AF212" s="3051"/>
      <c r="AG212" s="3051"/>
      <c r="AH212" s="1367"/>
      <c r="AI212" s="1367"/>
      <c r="AJ212" s="1367"/>
      <c r="AK212" s="1020"/>
    </row>
    <row r="213" spans="1:37">
      <c r="A213" s="1012"/>
      <c r="B213" s="3069" t="s">
        <v>1381</v>
      </c>
      <c r="C213" s="3069"/>
      <c r="D213" s="3069"/>
      <c r="E213" s="3069"/>
      <c r="F213" s="3069"/>
      <c r="G213" s="3069"/>
      <c r="I213" s="3052"/>
      <c r="J213" s="3052"/>
      <c r="K213" s="3052"/>
      <c r="L213" s="1711"/>
      <c r="N213" s="3055"/>
      <c r="O213" s="3055"/>
      <c r="P213" s="3055"/>
      <c r="Q213" s="3055"/>
      <c r="R213" s="3055"/>
      <c r="T213" s="3229"/>
      <c r="U213" s="3229"/>
      <c r="V213" s="3229"/>
      <c r="W213" s="3229"/>
      <c r="X213" s="3229"/>
      <c r="Y213" s="3229"/>
      <c r="Z213" s="1400"/>
      <c r="AA213" s="1400"/>
      <c r="AB213" s="3051">
        <f t="shared" si="0"/>
        <v>0</v>
      </c>
      <c r="AC213" s="3051"/>
      <c r="AD213" s="3051"/>
      <c r="AE213" s="3051"/>
      <c r="AF213" s="3051"/>
      <c r="AG213" s="3051"/>
      <c r="AH213" s="1367"/>
      <c r="AI213" s="1367"/>
      <c r="AJ213" s="1367"/>
      <c r="AK213" s="1020"/>
    </row>
    <row r="214" spans="1:37">
      <c r="A214" s="1012"/>
      <c r="B214" s="3069" t="s">
        <v>1381</v>
      </c>
      <c r="C214" s="3069"/>
      <c r="D214" s="3069"/>
      <c r="E214" s="3069"/>
      <c r="F214" s="3069"/>
      <c r="G214" s="3069"/>
      <c r="I214" s="3052"/>
      <c r="J214" s="3052"/>
      <c r="K214" s="3052"/>
      <c r="L214" s="1711"/>
      <c r="N214" s="3055"/>
      <c r="O214" s="3055"/>
      <c r="P214" s="3055"/>
      <c r="Q214" s="3055"/>
      <c r="R214" s="3055"/>
      <c r="T214" s="3229"/>
      <c r="U214" s="3229"/>
      <c r="V214" s="3229"/>
      <c r="W214" s="3229"/>
      <c r="X214" s="3229"/>
      <c r="Y214" s="3229"/>
      <c r="Z214" s="1400"/>
      <c r="AA214" s="1400"/>
      <c r="AB214" s="3051">
        <f t="shared" si="0"/>
        <v>0</v>
      </c>
      <c r="AC214" s="3051"/>
      <c r="AD214" s="3051"/>
      <c r="AE214" s="3051"/>
      <c r="AF214" s="3051"/>
      <c r="AG214" s="3051"/>
      <c r="AH214" s="1367"/>
      <c r="AI214" s="1367"/>
      <c r="AJ214" s="1367"/>
      <c r="AK214" s="1020"/>
    </row>
    <row r="215" spans="1:37">
      <c r="A215" s="1012"/>
      <c r="B215" s="3069" t="s">
        <v>1381</v>
      </c>
      <c r="C215" s="3069"/>
      <c r="D215" s="3069"/>
      <c r="E215" s="3069"/>
      <c r="F215" s="3069"/>
      <c r="G215" s="3069"/>
      <c r="I215" s="3052"/>
      <c r="J215" s="3052"/>
      <c r="K215" s="3052"/>
      <c r="L215" s="1711"/>
      <c r="N215" s="3055"/>
      <c r="O215" s="3055"/>
      <c r="P215" s="3055"/>
      <c r="Q215" s="3055"/>
      <c r="R215" s="3055"/>
      <c r="T215" s="3229"/>
      <c r="U215" s="3229"/>
      <c r="V215" s="3229"/>
      <c r="W215" s="3229"/>
      <c r="X215" s="3229"/>
      <c r="Y215" s="3229"/>
      <c r="Z215" s="1400"/>
      <c r="AA215" s="1400"/>
      <c r="AB215" s="3051">
        <f t="shared" si="0"/>
        <v>0</v>
      </c>
      <c r="AC215" s="3051"/>
      <c r="AD215" s="3051"/>
      <c r="AE215" s="3051"/>
      <c r="AF215" s="3051"/>
      <c r="AG215" s="3051"/>
      <c r="AH215" s="1367"/>
      <c r="AI215" s="1367"/>
      <c r="AJ215" s="1367"/>
      <c r="AK215" s="1020"/>
    </row>
    <row r="216" spans="1:37">
      <c r="A216" s="1012"/>
      <c r="B216" s="3069" t="s">
        <v>1381</v>
      </c>
      <c r="C216" s="3069"/>
      <c r="D216" s="3069"/>
      <c r="E216" s="3069"/>
      <c r="F216" s="3069"/>
      <c r="G216" s="3069"/>
      <c r="I216" s="3053"/>
      <c r="J216" s="3053"/>
      <c r="K216" s="3053"/>
      <c r="L216" s="1711"/>
      <c r="N216" s="3055"/>
      <c r="O216" s="3055"/>
      <c r="P216" s="3055"/>
      <c r="Q216" s="3055"/>
      <c r="R216" s="3055"/>
      <c r="T216" s="3229"/>
      <c r="U216" s="3229"/>
      <c r="V216" s="3229"/>
      <c r="W216" s="3229"/>
      <c r="X216" s="3229"/>
      <c r="Y216" s="3229"/>
      <c r="Z216" s="1400"/>
      <c r="AA216" s="1400"/>
      <c r="AB216" s="3239">
        <f t="shared" si="0"/>
        <v>0</v>
      </c>
      <c r="AC216" s="3239"/>
      <c r="AD216" s="3239"/>
      <c r="AE216" s="3239"/>
      <c r="AF216" s="3239"/>
      <c r="AG216" s="323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51">
        <f>SUM(AB207:AB216)</f>
        <v>0</v>
      </c>
      <c r="AC217" s="3051"/>
      <c r="AD217" s="3051"/>
      <c r="AE217" s="3051"/>
      <c r="AF217" s="3051"/>
      <c r="AG217" s="305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2"/>
      <c r="AC223" s="3232"/>
      <c r="AD223" s="3232"/>
      <c r="AE223" s="3232"/>
      <c r="AF223" s="3232"/>
      <c r="AG223" s="3232"/>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2"/>
      <c r="AC226" s="3232"/>
      <c r="AD226" s="3232"/>
      <c r="AE226" s="3232"/>
      <c r="AF226" s="3232"/>
      <c r="AG226" s="3232"/>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3"/>
      <c r="AC227" s="3263"/>
      <c r="AD227" s="3263"/>
      <c r="AE227" s="3263"/>
      <c r="AF227" s="3263"/>
      <c r="AG227" s="326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0">
        <f>IFERROR(AB226/AB227,0)</f>
        <v>0</v>
      </c>
      <c r="AC228" s="3240"/>
      <c r="AD228" s="3240"/>
      <c r="AE228" s="3240"/>
      <c r="AF228" s="3240"/>
      <c r="AG228" s="324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7">
        <f>MAX(AB223,AB228)</f>
        <v>0</v>
      </c>
      <c r="AC230" s="3227"/>
      <c r="AD230" s="3227"/>
      <c r="AE230" s="3227"/>
      <c r="AF230" s="3227"/>
      <c r="AG230" s="322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3">
        <f>AB217+AB230</f>
        <v>0</v>
      </c>
      <c r="AC233" s="3063"/>
      <c r="AD233" s="3063"/>
      <c r="AE233" s="3063"/>
      <c r="AF233" s="3063"/>
      <c r="AG233" s="306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6">
        <v>0.05</v>
      </c>
      <c r="AC234" s="3096"/>
      <c r="AD234" s="3096"/>
      <c r="AE234" s="3096"/>
      <c r="AF234" s="3096"/>
      <c r="AG234" s="3096"/>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7">
        <f>AB233-(AB233*AB234)</f>
        <v>0</v>
      </c>
      <c r="AC235" s="3097"/>
      <c r="AD235" s="3097"/>
      <c r="AE235" s="3097"/>
      <c r="AF235" s="3097"/>
      <c r="AG235" s="3097"/>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3">
        <f>AB235/AB241</f>
        <v>0</v>
      </c>
      <c r="AC237" s="3063"/>
      <c r="AD237" s="3063"/>
      <c r="AE237" s="3063"/>
      <c r="AF237" s="3063"/>
      <c r="AG237" s="306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4">
        <v>15</v>
      </c>
      <c r="AC239" s="3064"/>
      <c r="AD239" s="3064"/>
      <c r="AE239" s="3064"/>
      <c r="AF239" s="3064"/>
      <c r="AG239" s="3064"/>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8">
        <v>0.04</v>
      </c>
      <c r="AC240" s="3098"/>
      <c r="AD240" s="3098"/>
      <c r="AE240" s="3098"/>
      <c r="AF240" s="3098"/>
      <c r="AG240" s="309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9">
        <v>1.1499999999999999</v>
      </c>
      <c r="AC241" s="3099"/>
      <c r="AD241" s="3099"/>
      <c r="AE241" s="3099"/>
      <c r="AF241" s="3099"/>
      <c r="AG241" s="309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9">
        <f>PV(AB240/12,AB239*12,-AB237/12, ,0)</f>
        <v>0</v>
      </c>
      <c r="AC243" s="3090"/>
      <c r="AD243" s="3090"/>
      <c r="AE243" s="3090"/>
      <c r="AF243" s="3090"/>
      <c r="AG243" s="309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3">
        <f>IFERROR(('Sources and Uses Budget'!D105/'Sources and Uses Budget'!B105),0)</f>
        <v>0</v>
      </c>
      <c r="AC249" s="3094"/>
      <c r="AD249" s="3094"/>
      <c r="AE249" s="3094"/>
      <c r="AF249" s="3094"/>
      <c r="AG249" s="309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3">
        <f>AD194*(1-AB249)</f>
        <v>16797893</v>
      </c>
      <c r="AH251" s="3083"/>
      <c r="AI251" s="3083"/>
      <c r="AJ251" s="3083"/>
      <c r="AK251" s="3083"/>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3">
        <f>'Sources and Uses Budget'!C105</f>
        <v>36631567</v>
      </c>
      <c r="AH252" s="3083"/>
      <c r="AI252" s="3083"/>
      <c r="AJ252" s="3083"/>
      <c r="AK252" s="308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4">
        <f>ROUNDDOWN(IF(AND(C274="Yes",AK72=10),((AG251*2)/AG252),AG251/AG252),2)</f>
        <v>0.45</v>
      </c>
      <c r="AH253" s="3084"/>
      <c r="AI253" s="3084"/>
      <c r="AJ253" s="3084"/>
      <c r="AK253" s="3084"/>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85">
        <f>IF(AG253=0,0,IF((AG253*100)&gt;8,8,(AG253*100)))</f>
        <v>8</v>
      </c>
      <c r="AL256" s="3085"/>
      <c r="AM256" s="3086"/>
    </row>
    <row r="257" spans="1:81" ht="13.8"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65" customHeight="1">
      <c r="A261" s="1056"/>
      <c r="B261" s="1061"/>
      <c r="C261" s="3077" t="s">
        <v>578</v>
      </c>
      <c r="D261" s="3077"/>
      <c r="E261" s="936"/>
      <c r="F261" s="3248" t="s">
        <v>2328</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39"/>
      <c r="AF261" s="1062"/>
      <c r="AG261" s="3078" t="s">
        <v>1625</v>
      </c>
      <c r="AH261" s="3078"/>
      <c r="AI261" s="3078"/>
      <c r="AJ261" s="3078"/>
      <c r="AK261" s="1022"/>
      <c r="AL261" s="1022"/>
      <c r="AM261" s="1022"/>
      <c r="AN261" s="1057"/>
      <c r="AO261" s="939"/>
      <c r="AS261" s="21"/>
      <c r="AT261" s="21"/>
    </row>
    <row r="262" spans="1:81" ht="13.65" customHeight="1">
      <c r="A262" s="1056"/>
      <c r="B262" s="1061"/>
      <c r="C262" s="1063"/>
      <c r="D262" s="939"/>
      <c r="E262" s="936"/>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39"/>
      <c r="AF263" s="1062"/>
      <c r="AG263" s="1062"/>
      <c r="AH263" s="1062"/>
      <c r="AI263" s="1062"/>
      <c r="AJ263" s="939"/>
      <c r="AK263" s="1022"/>
      <c r="AL263" s="1022"/>
      <c r="AM263" s="1022"/>
      <c r="AN263" s="1057"/>
      <c r="AO263" s="939"/>
      <c r="AP263" s="1064"/>
      <c r="AS263" s="21"/>
      <c r="AT263" s="21"/>
    </row>
    <row r="264" spans="1:81" ht="13.65" customHeight="1">
      <c r="A264" s="1056"/>
      <c r="B264" s="1061"/>
      <c r="C264" s="3079"/>
      <c r="D264" s="3079"/>
      <c r="E264" s="936"/>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39"/>
      <c r="AF264" s="1062"/>
      <c r="AG264" s="3078"/>
      <c r="AH264" s="3078"/>
      <c r="AI264" s="3078"/>
      <c r="AJ264" s="3078"/>
      <c r="AK264" s="1022"/>
      <c r="AL264" s="1022"/>
      <c r="AM264" s="1022"/>
      <c r="AN264" s="1057"/>
      <c r="AS264" s="21"/>
      <c r="AT264" s="21"/>
    </row>
    <row r="265" spans="1:81" ht="13.6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85">
        <f>IF($C$261="yes",10,0)</f>
        <v>10</v>
      </c>
      <c r="AL267" s="3085"/>
      <c r="AM267" s="3086"/>
      <c r="AN267" s="110"/>
      <c r="AR267" s="21"/>
    </row>
    <row r="268" spans="1:81" ht="13.8" thickBot="1"/>
    <row r="269" spans="1:81" ht="13.8"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6" t="s">
        <v>1644</v>
      </c>
      <c r="B274" s="3106"/>
      <c r="C274" s="3077" t="s">
        <v>626</v>
      </c>
      <c r="D274" s="3077"/>
      <c r="E274" s="936"/>
      <c r="F274" s="3107" t="s">
        <v>1645</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0" t="s">
        <v>1647</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c r="A278" s="1070"/>
      <c r="B278" s="1061"/>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00" t="s">
        <v>1648</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0" t="s">
        <v>1649</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6" t="s">
        <v>1650</v>
      </c>
      <c r="B284" s="3106"/>
      <c r="C284" s="3077" t="s">
        <v>626</v>
      </c>
      <c r="D284" s="3077"/>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00" t="s">
        <v>1653</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0"/>
      <c r="AF285" s="940"/>
      <c r="AG285" s="940"/>
      <c r="AH285" s="940"/>
      <c r="AI285" s="940"/>
      <c r="AJ285" s="939"/>
      <c r="AK285" s="1022"/>
      <c r="AL285" s="1022"/>
      <c r="AM285" s="1022"/>
      <c r="AR285" s="1082"/>
    </row>
    <row r="286" spans="1:53" ht="15" customHeight="1">
      <c r="A286" s="1056"/>
      <c r="B286" s="940"/>
      <c r="C286" s="939"/>
      <c r="D286" s="940"/>
      <c r="E286" s="939"/>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0"/>
      <c r="AF286" s="940"/>
      <c r="AG286" s="940"/>
      <c r="AH286" s="940"/>
      <c r="AI286" s="940"/>
      <c r="AJ286" s="939"/>
      <c r="AK286" s="1022"/>
      <c r="AL286" s="1022"/>
      <c r="AM286" s="1022"/>
      <c r="AR286" s="1082"/>
    </row>
    <row r="287" spans="1:53">
      <c r="A287" s="1056"/>
      <c r="B287" s="940"/>
      <c r="C287" s="939"/>
      <c r="D287" s="940"/>
      <c r="E287" s="939"/>
      <c r="F287" s="3100" t="s">
        <v>1648</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0"/>
      <c r="AF288" s="940"/>
      <c r="AG288" s="940"/>
      <c r="AH288" s="940"/>
      <c r="AI288" s="940"/>
      <c r="AJ288" s="939"/>
      <c r="AK288" s="1022"/>
      <c r="AL288" s="1022"/>
      <c r="AM288" s="1022"/>
      <c r="AP288" s="1075"/>
      <c r="AQ288" s="964"/>
      <c r="AR288" s="1082"/>
    </row>
    <row r="289" spans="1:60">
      <c r="A289" s="1056"/>
      <c r="B289" s="940"/>
      <c r="C289" s="939"/>
      <c r="D289" s="940"/>
      <c r="E289" s="939"/>
      <c r="F289" s="3100" t="s">
        <v>1654</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0"/>
      <c r="AF289" s="940"/>
      <c r="AG289" s="940"/>
      <c r="AH289" s="940"/>
      <c r="AI289" s="940"/>
      <c r="AJ289" s="939"/>
      <c r="AK289" s="1022"/>
      <c r="AL289" s="1022"/>
      <c r="AM289" s="1022"/>
      <c r="AP289" s="1075"/>
      <c r="AQ289" s="964"/>
      <c r="AR289" s="1082"/>
    </row>
    <row r="290" spans="1:60">
      <c r="A290" s="1056"/>
      <c r="B290" s="940"/>
      <c r="C290" s="939"/>
      <c r="D290" s="940"/>
      <c r="E290" s="939"/>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06" t="s">
        <v>1655</v>
      </c>
      <c r="B292" s="3106"/>
      <c r="C292" s="3077" t="s">
        <v>578</v>
      </c>
      <c r="D292" s="3077"/>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00" t="s">
        <v>1656</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0"/>
      <c r="AF293" s="940"/>
      <c r="AG293" s="1008"/>
      <c r="AH293" s="940"/>
      <c r="AI293" s="940"/>
      <c r="AJ293" s="939"/>
      <c r="AK293" s="1022"/>
      <c r="AL293" s="1022"/>
      <c r="AM293" s="1022"/>
      <c r="AN293" s="110"/>
      <c r="AO293" s="51"/>
      <c r="AP293" s="946" t="s">
        <v>1381</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0" t="s">
        <v>2298</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16" t="s">
        <v>1941</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06" t="s">
        <v>1659</v>
      </c>
      <c r="B315" s="3106"/>
      <c r="C315" s="3077" t="s">
        <v>626</v>
      </c>
      <c r="D315" s="3077"/>
      <c r="E315" s="936"/>
      <c r="F315" s="3009" t="s">
        <v>1660</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0"/>
      <c r="AF316" s="940"/>
      <c r="AG316" s="940"/>
      <c r="AH316" s="940"/>
      <c r="AI316" s="940"/>
      <c r="AJ316" s="939"/>
      <c r="AK316" s="1022"/>
      <c r="AL316" s="1022"/>
      <c r="AM316" s="1022"/>
      <c r="AN316" s="110"/>
      <c r="AO316" s="51"/>
    </row>
    <row r="317" spans="1:60" ht="15" customHeight="1">
      <c r="A317" s="1056"/>
      <c r="B317" s="940"/>
      <c r="C317" s="940"/>
      <c r="D317" s="940"/>
      <c r="E317" s="940"/>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80">
        <f>AP279</f>
        <v>9</v>
      </c>
      <c r="AL320" s="3081"/>
      <c r="AM320" s="308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0" t="s">
        <v>1576</v>
      </c>
      <c r="AF323" s="3070"/>
      <c r="AG323" s="3070"/>
      <c r="AH323" s="3070"/>
      <c r="AI323" s="3070"/>
      <c r="AJ323" s="3070"/>
      <c r="AK323" s="307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1" t="s">
        <v>2120</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4"/>
      <c r="AL325" s="963"/>
      <c r="AM325" s="1023"/>
      <c r="AN325" s="996"/>
    </row>
    <row r="326" spans="1:42" s="939" customFormat="1" ht="12.75" customHeight="1">
      <c r="A326" s="1023"/>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4"/>
      <c r="AL326" s="963"/>
      <c r="AM326" s="1023"/>
      <c r="AN326" s="996"/>
    </row>
    <row r="327" spans="1:42" s="939" customFormat="1" ht="12.75" customHeight="1">
      <c r="A327" s="1023"/>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4"/>
      <c r="AL327" s="963"/>
      <c r="AM327" s="1023"/>
      <c r="AN327" s="996"/>
    </row>
    <row r="328" spans="1:42" s="939" customFormat="1" ht="12.75" customHeight="1">
      <c r="A328" s="1023"/>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4"/>
      <c r="AL328" s="963"/>
      <c r="AM328" s="1023"/>
      <c r="AN328" s="996"/>
    </row>
    <row r="329" spans="1:42" s="939" customFormat="1" ht="12.75" customHeight="1">
      <c r="A329" s="1023"/>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4"/>
      <c r="AL329" s="963"/>
      <c r="AM329" s="1023"/>
      <c r="AN329" s="996"/>
    </row>
    <row r="330" spans="1:42" s="939" customFormat="1" ht="12.75" customHeight="1">
      <c r="A330" s="1023"/>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4"/>
      <c r="AL330" s="963"/>
      <c r="AM330" s="1023"/>
      <c r="AN330" s="996"/>
    </row>
    <row r="331" spans="1:42" s="939" customFormat="1" ht="12.75" customHeight="1">
      <c r="A331" s="1023"/>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4"/>
      <c r="AL331" s="963"/>
      <c r="AM331" s="1023"/>
      <c r="AN331" s="996"/>
    </row>
    <row r="332" spans="1:42" ht="12.75" customHeight="1">
      <c r="A332" s="1023"/>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4"/>
      <c r="AL332" s="963"/>
      <c r="AM332" s="1023"/>
    </row>
    <row r="333" spans="1:42" s="939" customFormat="1" ht="12.75" customHeight="1">
      <c r="A333" s="1056"/>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6" t="s">
        <v>1600</v>
      </c>
      <c r="AG339" s="3056"/>
      <c r="AH339" s="3056"/>
      <c r="AI339" s="3056"/>
      <c r="AJ339" s="3056"/>
      <c r="AK339" s="3056"/>
      <c r="AL339" s="3056"/>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6" t="s">
        <v>1666</v>
      </c>
      <c r="AG346" s="3056"/>
      <c r="AH346" s="3056"/>
      <c r="AI346" s="3056"/>
      <c r="AJ346" s="3056"/>
      <c r="AK346" s="3056"/>
      <c r="AL346" s="3056"/>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6" t="s">
        <v>1640</v>
      </c>
      <c r="AG352" s="3056"/>
      <c r="AH352" s="3056"/>
      <c r="AI352" s="3056"/>
      <c r="AJ352" s="3056"/>
      <c r="AK352" s="3056"/>
      <c r="AL352" s="3056"/>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6" t="s">
        <v>1669</v>
      </c>
      <c r="AG358" s="3056"/>
      <c r="AH358" s="3056"/>
      <c r="AI358" s="3056"/>
      <c r="AJ358" s="3056"/>
      <c r="AK358" s="3056"/>
      <c r="AL358" s="3056"/>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3" t="s">
        <v>1381</v>
      </c>
      <c r="P362" s="3123"/>
      <c r="Q362" s="3123"/>
      <c r="R362" s="3123"/>
      <c r="S362" s="3123"/>
      <c r="T362" s="3123"/>
      <c r="U362" s="3123"/>
      <c r="V362" s="3123"/>
      <c r="W362" s="3123"/>
      <c r="X362" s="3123"/>
      <c r="Y362" s="3123"/>
      <c r="Z362" s="3123"/>
      <c r="AA362" s="3123"/>
      <c r="AB362" s="312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6" t="s">
        <v>1614</v>
      </c>
      <c r="AG364" s="3056"/>
      <c r="AH364" s="3056"/>
      <c r="AI364" s="3056"/>
      <c r="AJ364" s="3056"/>
      <c r="AK364" s="3056"/>
      <c r="AL364" s="3056"/>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20" t="s">
        <v>1668</v>
      </c>
      <c r="I367" s="312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22" t="s">
        <v>626</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74" t="s">
        <v>626</v>
      </c>
      <c r="C377" s="3074"/>
      <c r="D377" s="1548"/>
      <c r="E377" s="3101" t="s">
        <v>1673</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548"/>
      <c r="AI377" s="1548"/>
      <c r="AJ377" s="1548"/>
      <c r="AK377" s="1548"/>
      <c r="AL377" s="1548"/>
      <c r="AN377" s="996"/>
    </row>
    <row r="378" spans="1:46" s="939" customFormat="1" ht="12.75" customHeight="1">
      <c r="A378" s="1056"/>
      <c r="B378" s="1019"/>
      <c r="C378" s="1543"/>
      <c r="D378" s="1548"/>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548"/>
      <c r="AI378" s="1548"/>
      <c r="AJ378" s="1548"/>
      <c r="AK378" s="1548"/>
      <c r="AL378" s="1548"/>
      <c r="AN378" s="996"/>
    </row>
    <row r="379" spans="1:46" s="939" customFormat="1" ht="12.75" customHeight="1">
      <c r="A379" s="1056"/>
      <c r="B379" s="1019"/>
      <c r="C379" s="1543"/>
      <c r="D379" s="1548"/>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548"/>
      <c r="AI379" s="1548"/>
      <c r="AJ379" s="1548"/>
      <c r="AK379" s="1548"/>
      <c r="AL379" s="1548"/>
      <c r="AN379" s="996"/>
    </row>
    <row r="380" spans="1:46" s="939" customFormat="1" ht="12.75" customHeight="1">
      <c r="A380" s="1056"/>
      <c r="B380" s="1019"/>
      <c r="C380" s="1543"/>
      <c r="D380" s="1550"/>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80">
        <f>VLOOKUP($H$367,$AO$347:$AP$352,2,FALSE)+VLOOKUP($I$375,$AO$374:$AP$376,2,FALSE)</f>
        <v>3</v>
      </c>
      <c r="AK382" s="308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21" t="s">
        <v>2121</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28"/>
      <c r="AF386" s="3056" t="s">
        <v>1614</v>
      </c>
      <c r="AG386" s="3056"/>
      <c r="AH386" s="3056"/>
      <c r="AI386" s="3056"/>
      <c r="AJ386" s="3056"/>
      <c r="AK386" s="3056"/>
      <c r="AL386" s="3056"/>
      <c r="AM386" s="1022"/>
      <c r="AN386" s="1121"/>
    </row>
    <row r="387" spans="1:42" s="939" customFormat="1" ht="12.75" customHeight="1">
      <c r="A387" s="1122"/>
      <c r="B387" s="1019"/>
      <c r="C387" s="1543"/>
      <c r="D387" s="1102"/>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74" t="s">
        <v>626</v>
      </c>
      <c r="Y395" s="3074"/>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6" t="s">
        <v>1678</v>
      </c>
      <c r="AG397" s="3056"/>
      <c r="AH397" s="3056"/>
      <c r="AI397" s="3056"/>
      <c r="AJ397" s="3056"/>
      <c r="AK397" s="3056"/>
      <c r="AL397" s="305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20" t="s">
        <v>725</v>
      </c>
      <c r="I399" s="312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80">
        <f>VLOOKUP($H$399,$AO$366:$AP$368,2,FALSE)</f>
        <v>3</v>
      </c>
      <c r="AK401" s="3082"/>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6" t="s">
        <v>1614</v>
      </c>
      <c r="AG405" s="3056"/>
      <c r="AH405" s="3056"/>
      <c r="AI405" s="3056"/>
      <c r="AJ405" s="3056"/>
      <c r="AK405" s="3056"/>
      <c r="AL405" s="3056"/>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6" t="s">
        <v>1678</v>
      </c>
      <c r="AG408" s="3056"/>
      <c r="AH408" s="3056"/>
      <c r="AI408" s="3056"/>
      <c r="AJ408" s="3056"/>
      <c r="AK408" s="3056"/>
      <c r="AL408" s="3056"/>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20" t="s">
        <v>725</v>
      </c>
      <c r="I411" s="312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80">
        <f>VLOOKUP(H411,AT366:AU368,2,FALSE)</f>
        <v>3</v>
      </c>
      <c r="AK413" s="308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01" t="s">
        <v>1690</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3"/>
      <c r="AE418" s="923"/>
      <c r="AF418" s="3056" t="s">
        <v>1640</v>
      </c>
      <c r="AG418" s="3056"/>
      <c r="AH418" s="3056"/>
      <c r="AI418" s="3056"/>
      <c r="AJ418" s="3056"/>
      <c r="AK418" s="3056"/>
      <c r="AL418" s="3056"/>
      <c r="AN418" s="996"/>
    </row>
    <row r="419" spans="1:42" s="939" customFormat="1" ht="12.75" customHeight="1">
      <c r="B419" s="923"/>
      <c r="C419" s="982"/>
      <c r="D419" s="923"/>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3"/>
      <c r="AE419" s="923"/>
      <c r="AF419" s="923"/>
      <c r="AG419" s="923"/>
      <c r="AH419" s="923"/>
      <c r="AI419" s="923"/>
      <c r="AJ419" s="923"/>
      <c r="AK419" s="923"/>
      <c r="AL419" s="923"/>
      <c r="AN419" s="996"/>
    </row>
    <row r="420" spans="1:42" s="939" customFormat="1" ht="12.75" customHeight="1">
      <c r="B420" s="923"/>
      <c r="C420" s="982"/>
      <c r="D420" s="1102"/>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01" t="s">
        <v>1691</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3"/>
      <c r="AE422" s="923"/>
      <c r="AF422" s="3056" t="s">
        <v>1669</v>
      </c>
      <c r="AG422" s="3056"/>
      <c r="AH422" s="3056"/>
      <c r="AI422" s="3056"/>
      <c r="AJ422" s="3056"/>
      <c r="AK422" s="3056"/>
      <c r="AL422" s="3056"/>
      <c r="AN422" s="996"/>
    </row>
    <row r="423" spans="1:42" s="939" customFormat="1" ht="12.75" customHeight="1">
      <c r="B423" s="923"/>
      <c r="C423" s="982"/>
      <c r="D423" s="923"/>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3"/>
      <c r="AE423" s="923"/>
      <c r="AF423" s="923"/>
      <c r="AG423" s="923"/>
      <c r="AH423" s="923"/>
      <c r="AI423" s="923"/>
      <c r="AJ423" s="923"/>
      <c r="AK423" s="923"/>
      <c r="AL423" s="923"/>
      <c r="AN423" s="996"/>
    </row>
    <row r="424" spans="1:42" s="939" customFormat="1" ht="15" customHeight="1">
      <c r="B424" s="923"/>
      <c r="C424" s="982"/>
      <c r="D424" s="1102"/>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1" t="s">
        <v>1692</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3"/>
      <c r="AE426" s="923"/>
      <c r="AF426" s="3056" t="s">
        <v>1614</v>
      </c>
      <c r="AG426" s="3056"/>
      <c r="AH426" s="3056"/>
      <c r="AI426" s="3056"/>
      <c r="AJ426" s="3056"/>
      <c r="AK426" s="3056"/>
      <c r="AL426" s="3056"/>
      <c r="AN426" s="996"/>
    </row>
    <row r="427" spans="1:42" s="939" customFormat="1" ht="12.75" customHeight="1">
      <c r="A427" s="1056"/>
      <c r="B427" s="1019"/>
      <c r="C427" s="1544"/>
      <c r="D427" s="923"/>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3"/>
      <c r="AE427" s="3056"/>
      <c r="AF427" s="3056"/>
      <c r="AG427" s="3056"/>
      <c r="AH427" s="3056"/>
      <c r="AI427" s="3056"/>
      <c r="AJ427" s="3056"/>
      <c r="AK427" s="3056"/>
      <c r="AL427" s="1500"/>
      <c r="AM427" s="1022"/>
      <c r="AN427" s="996"/>
      <c r="AO427" s="939" t="s">
        <v>626</v>
      </c>
      <c r="AP427" s="1116">
        <v>0</v>
      </c>
    </row>
    <row r="428" spans="1:42" s="939" customFormat="1" ht="12.75" customHeight="1">
      <c r="A428" s="1122"/>
      <c r="B428" s="923"/>
      <c r="C428" s="923"/>
      <c r="D428" s="1102"/>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01" t="s">
        <v>1693</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3"/>
      <c r="AE430" s="923"/>
      <c r="AF430" s="3056" t="s">
        <v>1669</v>
      </c>
      <c r="AG430" s="3056"/>
      <c r="AH430" s="3056"/>
      <c r="AI430" s="3056"/>
      <c r="AJ430" s="3056"/>
      <c r="AK430" s="3056"/>
      <c r="AL430" s="3056"/>
      <c r="AN430" s="996"/>
    </row>
    <row r="431" spans="1:42" s="939" customFormat="1" ht="12.75" customHeight="1">
      <c r="A431" s="1111"/>
      <c r="B431" s="1019"/>
      <c r="C431" s="1560"/>
      <c r="D431" s="1102"/>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01" t="s">
        <v>1694</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3"/>
      <c r="AE434" s="923"/>
      <c r="AF434" s="3056" t="s">
        <v>1614</v>
      </c>
      <c r="AG434" s="3056"/>
      <c r="AH434" s="3056"/>
      <c r="AI434" s="3056"/>
      <c r="AJ434" s="3056"/>
      <c r="AK434" s="3056"/>
      <c r="AL434" s="3056"/>
      <c r="AM434" s="1061"/>
      <c r="AN434" s="996"/>
    </row>
    <row r="435" spans="1:42" s="939" customFormat="1" ht="12.75" customHeight="1">
      <c r="A435" s="1056"/>
      <c r="B435" s="1019"/>
      <c r="C435" s="1544"/>
      <c r="D435" s="1102"/>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01" t="s">
        <v>1695</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3"/>
      <c r="AE438" s="923"/>
      <c r="AF438" s="3056" t="s">
        <v>1678</v>
      </c>
      <c r="AG438" s="3056"/>
      <c r="AH438" s="3056"/>
      <c r="AI438" s="3056"/>
      <c r="AJ438" s="3056"/>
      <c r="AK438" s="3056"/>
      <c r="AL438" s="3056"/>
      <c r="AM438" s="1061"/>
      <c r="AN438" s="996"/>
    </row>
    <row r="439" spans="1:42" s="939" customFormat="1" ht="12.75" customHeight="1">
      <c r="A439" s="1503"/>
      <c r="B439" s="1002"/>
      <c r="C439" s="1541"/>
      <c r="D439" s="1102"/>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01" t="s">
        <v>1696</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3"/>
      <c r="AE442" s="923"/>
      <c r="AF442" s="3056" t="s">
        <v>1697</v>
      </c>
      <c r="AG442" s="3056"/>
      <c r="AH442" s="3056"/>
      <c r="AI442" s="3056"/>
      <c r="AJ442" s="3056"/>
      <c r="AK442" s="3056"/>
      <c r="AL442" s="3056"/>
      <c r="AM442" s="1061"/>
      <c r="AN442" s="996"/>
      <c r="AO442" s="1114" t="s">
        <v>725</v>
      </c>
      <c r="AP442" s="939">
        <v>3</v>
      </c>
    </row>
    <row r="443" spans="1:42" s="939" customFormat="1" ht="12.75" customHeight="1">
      <c r="A443" s="1503"/>
      <c r="B443" s="1002"/>
      <c r="C443" s="1541"/>
      <c r="D443" s="1102"/>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20" t="s">
        <v>725</v>
      </c>
      <c r="I446" s="312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80">
        <f>VLOOKUP($H$446,$AO$394:$AP$401,2,FALSE)</f>
        <v>5</v>
      </c>
      <c r="AK448" s="308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01" t="s">
        <v>2117</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3"/>
      <c r="AD452" s="923"/>
      <c r="AE452" s="926"/>
      <c r="AF452" s="3056" t="s">
        <v>1614</v>
      </c>
      <c r="AG452" s="3056"/>
      <c r="AH452" s="3056"/>
      <c r="AI452" s="3056"/>
      <c r="AJ452" s="3056"/>
      <c r="AK452" s="3056"/>
      <c r="AL452" s="3056"/>
      <c r="AM452" s="1022"/>
      <c r="AN452" s="997"/>
    </row>
    <row r="453" spans="1:42" s="998" customFormat="1" ht="12.75" customHeight="1">
      <c r="A453" s="1056"/>
      <c r="B453" s="1019"/>
      <c r="C453" s="1553"/>
      <c r="D453" s="1102"/>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3"/>
      <c r="AD453" s="923"/>
      <c r="AE453" s="1031"/>
      <c r="AF453" s="926"/>
      <c r="AG453" s="926"/>
      <c r="AH453" s="926"/>
      <c r="AI453" s="926"/>
      <c r="AJ453" s="926"/>
      <c r="AK453" s="926"/>
      <c r="AL453" s="926"/>
      <c r="AM453" s="1022"/>
      <c r="AN453" s="997"/>
      <c r="AO453" s="3124"/>
      <c r="AP453" s="3124"/>
    </row>
    <row r="454" spans="1:42" s="998" customFormat="1" ht="12.75" customHeight="1">
      <c r="A454" s="1056"/>
      <c r="B454" s="1019"/>
      <c r="C454" s="1553"/>
      <c r="D454" s="1102"/>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01" t="s">
        <v>2119</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3"/>
      <c r="AD457" s="923"/>
      <c r="AE457" s="923"/>
      <c r="AF457" s="3056" t="s">
        <v>1678</v>
      </c>
      <c r="AG457" s="3056"/>
      <c r="AH457" s="3056"/>
      <c r="AI457" s="3056"/>
      <c r="AJ457" s="3056"/>
      <c r="AK457" s="3056"/>
      <c r="AL457" s="3056"/>
      <c r="AM457" s="1022"/>
      <c r="AN457" s="996"/>
      <c r="AO457" s="1114" t="s">
        <v>542</v>
      </c>
      <c r="AP457" s="939">
        <v>1</v>
      </c>
    </row>
    <row r="458" spans="1:42" s="939" customFormat="1" ht="12" customHeight="1">
      <c r="A458" s="1022"/>
      <c r="B458" s="923"/>
      <c r="C458" s="1561"/>
      <c r="D458" s="923"/>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1" t="s">
        <v>2118</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20" t="s">
        <v>542</v>
      </c>
      <c r="I466" s="312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80">
        <f>VLOOKUP($H$466,$AO$413:$AP$415,2,FALSE)</f>
        <v>2</v>
      </c>
      <c r="AK468" s="3082"/>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25" t="s">
        <v>2122</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3"/>
      <c r="AD472" s="923"/>
      <c r="AE472" s="923"/>
      <c r="AF472" s="3056" t="s">
        <v>1614</v>
      </c>
      <c r="AG472" s="3056"/>
      <c r="AH472" s="3056"/>
      <c r="AI472" s="3056"/>
      <c r="AJ472" s="3056"/>
      <c r="AK472" s="3056"/>
      <c r="AL472" s="3056"/>
      <c r="AM472" s="1022"/>
      <c r="AN472" s="1129"/>
      <c r="AP472" s="1131" t="s">
        <v>1706</v>
      </c>
    </row>
    <row r="473" spans="1:43" s="1130" customFormat="1" ht="11.85" customHeight="1">
      <c r="A473" s="1056"/>
      <c r="B473" s="1019"/>
      <c r="C473" s="1543"/>
      <c r="D473" s="1102"/>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3"/>
      <c r="AD473" s="923"/>
      <c r="AE473" s="1019"/>
      <c r="AF473" s="923"/>
      <c r="AG473" s="923"/>
      <c r="AH473" s="923"/>
      <c r="AI473" s="923"/>
      <c r="AJ473" s="923"/>
      <c r="AK473" s="923"/>
      <c r="AL473" s="923"/>
      <c r="AM473" s="1022"/>
      <c r="AN473" s="1129"/>
      <c r="AP473" s="1131" t="s">
        <v>1707</v>
      </c>
    </row>
    <row r="474" spans="1:43" s="1130" customFormat="1" ht="13.95" customHeight="1">
      <c r="A474" s="1056"/>
      <c r="B474" s="1020"/>
      <c r="C474" s="1544"/>
      <c r="D474" s="1102"/>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3"/>
      <c r="AD474" s="923"/>
      <c r="AE474" s="1031"/>
      <c r="AF474" s="923"/>
      <c r="AG474" s="923"/>
      <c r="AH474" s="923"/>
      <c r="AI474" s="923"/>
      <c r="AJ474" s="923"/>
      <c r="AK474" s="923"/>
      <c r="AL474" s="923"/>
      <c r="AM474" s="1022"/>
      <c r="AN474" s="1129"/>
      <c r="AP474" s="1131" t="s">
        <v>1708</v>
      </c>
    </row>
    <row r="475" spans="1:43" s="1130" customFormat="1" ht="13.9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5" customHeight="1">
      <c r="A476" s="1056"/>
      <c r="B476" s="1002"/>
      <c r="C476" s="1541"/>
      <c r="D476" s="1102" t="s">
        <v>542</v>
      </c>
      <c r="E476" s="3126" t="s">
        <v>1709</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3"/>
      <c r="AD476" s="923"/>
      <c r="AE476" s="923"/>
      <c r="AF476" s="3056" t="s">
        <v>1678</v>
      </c>
      <c r="AG476" s="3056"/>
      <c r="AH476" s="3056"/>
      <c r="AI476" s="3056"/>
      <c r="AJ476" s="3056"/>
      <c r="AK476" s="3056"/>
      <c r="AL476" s="3056"/>
      <c r="AM476" s="1022"/>
      <c r="AN476" s="1132"/>
    </row>
    <row r="477" spans="1:43" s="1130" customFormat="1" ht="12.75" customHeight="1">
      <c r="A477" s="1056"/>
      <c r="B477" s="1019"/>
      <c r="C477" s="1543"/>
      <c r="D477" s="1019"/>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19"/>
      <c r="AD477" s="1019"/>
      <c r="AE477" s="1019"/>
      <c r="AF477" s="1019"/>
      <c r="AG477" s="1019"/>
      <c r="AH477" s="1019"/>
      <c r="AI477" s="1019"/>
      <c r="AJ477" s="923"/>
      <c r="AK477" s="1002"/>
      <c r="AL477" s="1002"/>
      <c r="AM477" s="1022"/>
      <c r="AN477" s="1129"/>
      <c r="AP477" s="939" t="s">
        <v>626</v>
      </c>
      <c r="AQ477" s="1116">
        <v>0</v>
      </c>
    </row>
    <row r="478" spans="1:43" s="1130" customFormat="1" ht="13.95" customHeight="1">
      <c r="A478" s="1056"/>
      <c r="B478" s="1019"/>
      <c r="C478" s="1543"/>
      <c r="D478" s="1019"/>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19"/>
      <c r="AD478" s="1019"/>
      <c r="AE478" s="1019"/>
      <c r="AF478" s="1019"/>
      <c r="AG478" s="1019"/>
      <c r="AH478" s="1019"/>
      <c r="AI478" s="1019"/>
      <c r="AJ478" s="923"/>
      <c r="AK478" s="1002"/>
      <c r="AL478" s="1002"/>
      <c r="AM478" s="1022"/>
      <c r="AN478" s="1129"/>
      <c r="AP478" s="1114" t="s">
        <v>725</v>
      </c>
      <c r="AQ478" s="939">
        <v>2</v>
      </c>
    </row>
    <row r="479" spans="1:43" s="1130" customFormat="1" ht="13.9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5" customHeight="1">
      <c r="A480" s="1056"/>
      <c r="B480" s="1019"/>
      <c r="C480" s="1543"/>
      <c r="D480" s="1019" t="s">
        <v>1670</v>
      </c>
      <c r="E480" s="1547"/>
      <c r="F480" s="1547"/>
      <c r="G480" s="1547"/>
      <c r="H480" s="3120" t="s">
        <v>626</v>
      </c>
      <c r="I480" s="312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80">
        <f>VLOOKUP($H$480,$AO$413:$AP$415,2,FALSE)</f>
        <v>0</v>
      </c>
      <c r="AK482" s="3082"/>
      <c r="AL482" s="1001"/>
      <c r="AM482" s="998"/>
      <c r="AN482" s="1134"/>
      <c r="AP482" s="3080"/>
      <c r="AQ482" s="308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01" t="s">
        <v>2123</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3"/>
      <c r="AD486" s="923"/>
      <c r="AE486" s="923"/>
      <c r="AF486" s="3056" t="s">
        <v>1614</v>
      </c>
      <c r="AG486" s="3056"/>
      <c r="AH486" s="3056"/>
      <c r="AI486" s="3056"/>
      <c r="AJ486" s="3056"/>
      <c r="AK486" s="3056"/>
      <c r="AL486" s="3056"/>
      <c r="AM486" s="1022"/>
      <c r="AN486" s="1129"/>
      <c r="AT486" s="51"/>
      <c r="AU486" s="51"/>
      <c r="AV486" s="51"/>
      <c r="AW486" s="51"/>
      <c r="AX486" s="51"/>
      <c r="AY486" s="51"/>
      <c r="AZ486" s="51"/>
    </row>
    <row r="487" spans="1:81" s="1130" customFormat="1">
      <c r="A487" s="1056"/>
      <c r="B487" s="1019"/>
      <c r="C487" s="1543"/>
      <c r="D487" s="1102"/>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01" t="s">
        <v>1713</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3"/>
      <c r="AD489" s="923"/>
      <c r="AE489" s="923"/>
      <c r="AF489" s="3056" t="s">
        <v>1678</v>
      </c>
      <c r="AG489" s="3056"/>
      <c r="AH489" s="3056"/>
      <c r="AI489" s="3056"/>
      <c r="AJ489" s="3056"/>
      <c r="AK489" s="3056"/>
      <c r="AL489" s="3056"/>
      <c r="AM489" s="1022"/>
      <c r="AN489" s="1129"/>
      <c r="AT489" s="51"/>
      <c r="AU489" s="51"/>
      <c r="AV489" s="51"/>
      <c r="AW489" s="51"/>
      <c r="AX489" s="51"/>
      <c r="AY489" s="51"/>
      <c r="AZ489" s="51"/>
    </row>
    <row r="490" spans="1:81" s="1130" customFormat="1">
      <c r="A490" s="1056"/>
      <c r="B490" s="1019"/>
      <c r="C490" s="1543"/>
      <c r="D490" s="1019"/>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20" t="s">
        <v>626</v>
      </c>
      <c r="I492" s="312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80">
        <f>VLOOKUP($H$492,$AO$427:$AP$429,2,FALSE)</f>
        <v>0</v>
      </c>
      <c r="AK494" s="308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01" t="s">
        <v>1716</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3"/>
      <c r="AD498" s="923"/>
      <c r="AE498" s="923"/>
      <c r="AF498" s="3056" t="s">
        <v>1614</v>
      </c>
      <c r="AG498" s="3056"/>
      <c r="AH498" s="3056"/>
      <c r="AI498" s="3056"/>
      <c r="AJ498" s="3056"/>
      <c r="AK498" s="3056"/>
      <c r="AL498" s="3056"/>
      <c r="AM498" s="1022"/>
      <c r="AN498" s="1129"/>
      <c r="AT498" s="51"/>
      <c r="AU498" s="51"/>
      <c r="AV498" s="51"/>
      <c r="AW498" s="51"/>
      <c r="AX498" s="51"/>
      <c r="AY498" s="51"/>
      <c r="AZ498" s="51"/>
    </row>
    <row r="499" spans="1:81" s="1130" customFormat="1">
      <c r="A499" s="1056"/>
      <c r="B499" s="923"/>
      <c r="C499" s="1541"/>
      <c r="D499" s="1102"/>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01" t="s">
        <v>1717</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5"/>
      <c r="AC503" s="923"/>
      <c r="AD503" s="923"/>
      <c r="AE503" s="923"/>
      <c r="AF503" s="3056" t="s">
        <v>1678</v>
      </c>
      <c r="AG503" s="3056"/>
      <c r="AH503" s="3056"/>
      <c r="AI503" s="3056"/>
      <c r="AJ503" s="3056"/>
      <c r="AK503" s="3056"/>
      <c r="AL503" s="3056"/>
      <c r="AM503" s="1022"/>
      <c r="AN503" s="1129"/>
      <c r="AO503" s="126"/>
      <c r="AP503" s="51"/>
    </row>
    <row r="504" spans="1:81" s="1130" customFormat="1">
      <c r="A504" s="1056"/>
      <c r="B504" s="1002"/>
      <c r="C504" s="1541"/>
      <c r="D504" s="1102"/>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20" t="s">
        <v>626</v>
      </c>
      <c r="I508" s="312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80">
        <f>VLOOKUP($H$508,$AO$441:$AP$443,2,FALSE)</f>
        <v>0</v>
      </c>
      <c r="AK510" s="308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01" t="s">
        <v>1719</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3"/>
      <c r="AD514" s="923"/>
      <c r="AE514" s="923"/>
      <c r="AF514" s="3056" t="s">
        <v>1678</v>
      </c>
      <c r="AG514" s="3056"/>
      <c r="AH514" s="3056"/>
      <c r="AI514" s="3056"/>
      <c r="AJ514" s="3056"/>
      <c r="AK514" s="3056"/>
      <c r="AL514" s="305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01" t="s">
        <v>1720</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3"/>
      <c r="AD517" s="923"/>
      <c r="AE517" s="923"/>
      <c r="AF517" s="3056" t="s">
        <v>1697</v>
      </c>
      <c r="AG517" s="3056"/>
      <c r="AH517" s="3056"/>
      <c r="AI517" s="3056"/>
      <c r="AJ517" s="3056"/>
      <c r="AK517" s="3056"/>
      <c r="AL517" s="305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20" t="s">
        <v>725</v>
      </c>
      <c r="I520" s="312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80">
        <f>VLOOKUP($H$520,$AO$455:$AP$457,2,FALSE)</f>
        <v>2</v>
      </c>
      <c r="AK522" s="308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65" customHeight="1">
      <c r="A526" s="1056"/>
      <c r="B526" s="1031"/>
      <c r="C526" s="1553"/>
      <c r="D526" s="1102" t="s">
        <v>725</v>
      </c>
      <c r="E526" s="3101" t="s">
        <v>2116</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3"/>
      <c r="AF526" s="3056" t="s">
        <v>1678</v>
      </c>
      <c r="AG526" s="3056"/>
      <c r="AH526" s="3056"/>
      <c r="AI526" s="3056"/>
      <c r="AJ526" s="3056"/>
      <c r="AK526" s="3056"/>
      <c r="AL526" s="3056"/>
      <c r="AM526" s="1027"/>
      <c r="AN526" s="1129"/>
    </row>
    <row r="527" spans="1:74" s="1130" customFormat="1" ht="13.65" customHeight="1">
      <c r="A527" s="1056"/>
      <c r="B527" s="1031"/>
      <c r="C527" s="1553"/>
      <c r="D527" s="1102"/>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3"/>
      <c r="AF527" s="1500"/>
      <c r="AG527" s="1500"/>
      <c r="AH527" s="1500"/>
      <c r="AI527" s="1500"/>
      <c r="AJ527" s="1500"/>
      <c r="AK527" s="1500"/>
      <c r="AL527" s="1500"/>
      <c r="AM527" s="1027"/>
      <c r="AN527" s="1129"/>
    </row>
    <row r="528" spans="1:74" s="1130" customFormat="1">
      <c r="A528" s="1056"/>
      <c r="B528" s="1031"/>
      <c r="C528" s="1553"/>
      <c r="D528" s="1102"/>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8" t="s">
        <v>2124</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3"/>
      <c r="AF531" s="3056" t="s">
        <v>1614</v>
      </c>
      <c r="AG531" s="3056"/>
      <c r="AH531" s="3056"/>
      <c r="AI531" s="3056"/>
      <c r="AJ531" s="3056"/>
      <c r="AK531" s="3056"/>
      <c r="AL531" s="3056"/>
      <c r="AM531" s="1027"/>
      <c r="AN531" s="996"/>
    </row>
    <row r="532" spans="1:81" s="939" customFormat="1" ht="12.75" customHeight="1">
      <c r="A532" s="1056"/>
      <c r="B532" s="1031"/>
      <c r="C532" s="1553"/>
      <c r="D532" s="1102"/>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20" t="s">
        <v>626</v>
      </c>
      <c r="I536" s="312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80">
        <f>VLOOKUP($H$536,$AP$477:$AQ$479,2,FALSE)</f>
        <v>0</v>
      </c>
      <c r="AK538" s="308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65" customHeight="1">
      <c r="A542" s="1056"/>
      <c r="B542" s="1031"/>
      <c r="C542" s="1553"/>
      <c r="D542" s="1102" t="s">
        <v>725</v>
      </c>
      <c r="E542" s="3101" t="s">
        <v>2115</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3"/>
      <c r="AF542" s="3056" t="s">
        <v>1724</v>
      </c>
      <c r="AG542" s="3056"/>
      <c r="AH542" s="3056"/>
      <c r="AI542" s="3056"/>
      <c r="AJ542" s="3056"/>
      <c r="AK542" s="3056"/>
      <c r="AL542" s="3056"/>
      <c r="AM542" s="1027"/>
      <c r="AN542" s="1129"/>
      <c r="AO542" s="1114" t="s">
        <v>578</v>
      </c>
      <c r="AP542" s="939">
        <v>8</v>
      </c>
      <c r="AT542" s="1139"/>
      <c r="AU542" s="1139"/>
      <c r="AV542" s="1139"/>
      <c r="AW542" s="1139"/>
      <c r="AX542" s="1139"/>
      <c r="AY542" s="1139"/>
      <c r="AZ542" s="1139"/>
    </row>
    <row r="543" spans="1:81" s="1130" customFormat="1" ht="13.65" customHeight="1">
      <c r="A543" s="1056"/>
      <c r="B543" s="1031"/>
      <c r="C543" s="1553"/>
      <c r="D543" s="1102"/>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120" t="s">
        <v>626</v>
      </c>
      <c r="I547" s="312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80">
        <f>VLOOKUP($H$547,$AO$541:$AP$542,2,FALSE)</f>
        <v>0</v>
      </c>
      <c r="AK549" s="308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80">
        <f>IF(($AJ$382+$AJ$401+$AJ$413+$AJ$448+$AJ$468+$AJ$482+$AJ$494+$AJ$510+$AJ$522+$AJ$538+AJ549)&gt;10,10,($AJ$382+$AJ$401+$AJ$413+$AJ$448+$AJ$468+$AJ$482+$AJ$494+$AJ$510+$AJ$522+$AJ$538+AJ549))</f>
        <v>10</v>
      </c>
      <c r="AL551" s="3081"/>
      <c r="AM551" s="308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80">
        <f>IF((AK320+AK551)&gt;20,20,(AK320+AK551))</f>
        <v>19</v>
      </c>
      <c r="AL553" s="3081"/>
      <c r="AM553" s="308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0" t="s">
        <v>1576</v>
      </c>
      <c r="AF556" s="3070"/>
      <c r="AG556" s="3070"/>
      <c r="AH556" s="3070"/>
      <c r="AI556" s="3070"/>
      <c r="AJ556" s="3070"/>
      <c r="AK556" s="307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7" t="s">
        <v>1729</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3"/>
      <c r="AL558" s="1023"/>
      <c r="AM558" s="1023"/>
      <c r="AN558" s="996"/>
    </row>
    <row r="559" spans="1:81" s="939" customFormat="1" ht="12.75" customHeight="1">
      <c r="A559" s="1023"/>
      <c r="B559" s="1024"/>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3"/>
      <c r="AL559" s="1023"/>
      <c r="AM559" s="1023"/>
      <c r="AN559" s="996"/>
    </row>
    <row r="560" spans="1:81" s="939" customFormat="1" ht="12.75" customHeight="1">
      <c r="A560" s="1023"/>
      <c r="B560" s="1024"/>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3"/>
      <c r="AL560" s="1023"/>
      <c r="AM560" s="1023"/>
      <c r="AN560" s="996"/>
      <c r="AQ560" s="1131"/>
      <c r="AR560" s="998"/>
    </row>
    <row r="561" spans="1:46" s="939" customFormat="1" ht="12.75" customHeight="1">
      <c r="A561" s="1023"/>
      <c r="B561" s="1114"/>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3"/>
      <c r="AL561" s="1023"/>
      <c r="AM561" s="1023"/>
      <c r="AN561" s="996"/>
      <c r="AQ561" s="1131"/>
      <c r="AR561" s="998"/>
    </row>
    <row r="562" spans="1:46" s="939" customFormat="1" ht="12.45" customHeight="1">
      <c r="A562" s="1023"/>
      <c r="B562" s="1114"/>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3"/>
      <c r="AL562" s="1023"/>
      <c r="AM562" s="1023"/>
      <c r="AN562" s="996"/>
      <c r="AQ562" s="1131"/>
      <c r="AR562" s="1131"/>
    </row>
    <row r="563" spans="1:46" s="939" customFormat="1" ht="24.9" customHeight="1">
      <c r="A563" s="1023"/>
      <c r="B563" s="1114"/>
      <c r="C563" s="3127" t="s">
        <v>1730</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3"/>
      <c r="AL563" s="1023"/>
      <c r="AM563" s="1023"/>
      <c r="AN563" s="996"/>
      <c r="AQ563" s="1131"/>
      <c r="AR563" s="1131"/>
    </row>
    <row r="564" spans="1:46" s="939" customFormat="1" ht="12.4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7" t="s">
        <v>2307</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3"/>
      <c r="AL565" s="1023"/>
      <c r="AM565" s="1023"/>
      <c r="AN565" s="996"/>
      <c r="AQ565" s="1131"/>
      <c r="AR565" s="1131"/>
    </row>
    <row r="566" spans="1:46" s="939" customFormat="1" ht="30" customHeight="1">
      <c r="A566" s="1023"/>
      <c r="B566" s="1114"/>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3"/>
      <c r="AL566" s="1023"/>
      <c r="AM566" s="1023"/>
      <c r="AN566" s="996"/>
      <c r="AQ566" s="998"/>
      <c r="AR566" s="1131"/>
    </row>
    <row r="567" spans="1:46" s="939" customFormat="1" ht="12.75" customHeight="1">
      <c r="A567" s="1023"/>
      <c r="B567" s="1114"/>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3"/>
      <c r="AL567" s="1023"/>
      <c r="AM567" s="1023"/>
      <c r="AN567" s="996"/>
      <c r="AQ567" s="998"/>
      <c r="AR567" s="1131"/>
    </row>
    <row r="568" spans="1:46" s="939" customFormat="1" ht="12.75" customHeight="1">
      <c r="A568" s="1023"/>
      <c r="B568" s="1114"/>
      <c r="C568" s="3127" t="s">
        <v>1731</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3"/>
      <c r="AL568" s="1023"/>
      <c r="AM568" s="1023"/>
      <c r="AN568" s="996"/>
      <c r="AQ568" s="1131"/>
      <c r="AR568" s="1131"/>
    </row>
    <row r="569" spans="1:46" s="939" customFormat="1" ht="12.75" customHeight="1">
      <c r="A569" s="1023"/>
      <c r="B569" s="1114"/>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3"/>
      <c r="AL569" s="1023"/>
      <c r="AM569" s="1023"/>
      <c r="AN569" s="996"/>
      <c r="AQ569" s="1131"/>
      <c r="AR569" s="1131"/>
    </row>
    <row r="570" spans="1:46" s="939" customFormat="1" ht="13.2" customHeight="1">
      <c r="A570" s="1023"/>
      <c r="B570" s="1114"/>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3"/>
      <c r="AL570" s="1023"/>
      <c r="AM570" s="1023"/>
      <c r="AN570" s="996"/>
      <c r="AQ570" s="1131"/>
      <c r="AR570" s="1131"/>
    </row>
    <row r="571" spans="1:46" s="939" customFormat="1" ht="12.75" customHeight="1">
      <c r="A571" s="1023"/>
      <c r="B571" s="1114"/>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3"/>
      <c r="AL571" s="1023"/>
      <c r="AM571" s="1023"/>
      <c r="AN571" s="996"/>
      <c r="AO571" s="1146"/>
      <c r="AP571" s="1146"/>
      <c r="AQ571" s="1131"/>
      <c r="AR571" s="998"/>
    </row>
    <row r="572" spans="1:46" s="939" customFormat="1" ht="11.85" customHeight="1">
      <c r="A572" s="1023"/>
      <c r="B572" s="1114"/>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3"/>
      <c r="AL572" s="1023"/>
      <c r="AM572" s="1023"/>
      <c r="AN572" s="996"/>
      <c r="AO572" s="1147" t="s">
        <v>117</v>
      </c>
      <c r="AP572" s="1148">
        <f>IF(C596="Yes",5,0)</f>
        <v>0</v>
      </c>
      <c r="AQ572" s="998"/>
      <c r="AR572" s="998"/>
      <c r="AS572" s="928" t="s">
        <v>1732</v>
      </c>
    </row>
    <row r="573" spans="1:46" s="939" customFormat="1" ht="12.75" customHeight="1">
      <c r="A573" s="1023"/>
      <c r="B573" s="1114"/>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3"/>
      <c r="AL573" s="1023"/>
      <c r="AM573" s="1023"/>
      <c r="AN573" s="996"/>
      <c r="AO573" s="1147" t="s">
        <v>118</v>
      </c>
      <c r="AP573" s="1148">
        <f>IF(C604="Yes",5,0)</f>
        <v>0</v>
      </c>
      <c r="AQ573" s="998"/>
      <c r="AR573" s="998"/>
      <c r="AS573" s="3134">
        <f>IF(Application!D210="Non-Targeted",(SUM(AQ581+AQ590)),AS577)</f>
        <v>10</v>
      </c>
      <c r="AT573" s="3134"/>
    </row>
    <row r="574" spans="1:46" s="939" customFormat="1" ht="12.75" customHeight="1">
      <c r="A574" s="1023"/>
      <c r="B574" s="1114"/>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3"/>
      <c r="AL574" s="1023"/>
      <c r="AM574" s="1023"/>
      <c r="AN574" s="996"/>
      <c r="AO574" s="1147" t="s">
        <v>124</v>
      </c>
      <c r="AP574" s="1148">
        <f>IF(C612="Yes",7,0)</f>
        <v>7</v>
      </c>
      <c r="AS574" s="928" t="s">
        <v>1733</v>
      </c>
    </row>
    <row r="575" spans="1:46" s="939" customFormat="1" ht="12.75" customHeight="1">
      <c r="A575" s="1023"/>
      <c r="B575" s="1114"/>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3"/>
      <c r="AL575" s="1023"/>
      <c r="AM575" s="1023"/>
      <c r="AN575" s="996"/>
      <c r="AO575" s="996"/>
      <c r="AP575" s="1148">
        <f>IF(C614="Yes",5,0)</f>
        <v>0</v>
      </c>
      <c r="AS575" s="3134">
        <f>IF(AND(AQ581&gt;0,AQ590&gt;0),(AQ581+AQ590)/2,0)</f>
        <v>0</v>
      </c>
      <c r="AT575" s="3134"/>
    </row>
    <row r="576" spans="1:46" s="939" customFormat="1" ht="12.75" customHeight="1">
      <c r="A576" s="1023"/>
      <c r="B576" s="1114"/>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3"/>
      <c r="AL576" s="1023"/>
      <c r="AM576" s="1023"/>
      <c r="AN576" s="996"/>
      <c r="AO576" s="1147" t="s">
        <v>616</v>
      </c>
      <c r="AP576" s="1148">
        <f>IF(C622="Yes",5,0)</f>
        <v>0</v>
      </c>
      <c r="AQ576" s="998"/>
      <c r="AR576" s="998"/>
      <c r="AS576" s="928" t="s">
        <v>2329</v>
      </c>
    </row>
    <row r="577" spans="1:81" s="939" customFormat="1" ht="12.75" customHeight="1">
      <c r="A577" s="1023"/>
      <c r="B577" s="1114"/>
      <c r="C577" s="3135" t="s">
        <v>1734</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3"/>
      <c r="AL577" s="1023"/>
      <c r="AM577" s="1023"/>
      <c r="AN577" s="996"/>
      <c r="AO577" s="996"/>
      <c r="AP577" s="1148">
        <f>IF(C624="Yes",3,0)</f>
        <v>3</v>
      </c>
      <c r="AS577" s="3134">
        <f>IF(AQ581=0,AQ590,AQ581)</f>
        <v>10</v>
      </c>
      <c r="AT577" s="3134"/>
    </row>
    <row r="578" spans="1:81" s="939" customFormat="1" ht="12.75" customHeight="1">
      <c r="A578" s="1023"/>
      <c r="B578" s="1114"/>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3"/>
      <c r="AL578" s="1023"/>
      <c r="AM578" s="1023"/>
      <c r="AN578" s="996"/>
      <c r="AO578" s="1147" t="s">
        <v>821</v>
      </c>
      <c r="AP578" s="1148">
        <f>IF(C627="Yes",5,0)</f>
        <v>0</v>
      </c>
    </row>
    <row r="579" spans="1:81" s="939" customFormat="1" ht="12.75" customHeight="1">
      <c r="A579" s="1023"/>
      <c r="B579" s="1114"/>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3"/>
      <c r="AL579" s="1023"/>
      <c r="AM579" s="1023"/>
      <c r="AN579" s="996"/>
      <c r="AO579" s="1147" t="s">
        <v>619</v>
      </c>
      <c r="AP579" s="1148">
        <f>IF(C636="Yes",5,0)</f>
        <v>0</v>
      </c>
    </row>
    <row r="580" spans="1:81" s="939" customFormat="1" ht="11.85" customHeight="1">
      <c r="A580" s="1023"/>
      <c r="B580" s="1114"/>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3"/>
      <c r="AL580" s="1023"/>
      <c r="AM580" s="1023"/>
      <c r="AN580" s="996"/>
      <c r="AO580" s="1149"/>
      <c r="AP580" s="1150">
        <f>IF(C638="Yes",3,0)</f>
        <v>0</v>
      </c>
    </row>
    <row r="581" spans="1:81" s="939" customFormat="1" ht="12.45" customHeight="1">
      <c r="A581" s="1023"/>
      <c r="B581" s="1114"/>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3"/>
      <c r="AL581" s="1023"/>
      <c r="AM581" s="1023"/>
      <c r="AN581" s="996"/>
      <c r="AO581" s="1151" t="s">
        <v>233</v>
      </c>
      <c r="AP581" s="1152">
        <f>SUM(AP572:AP580)</f>
        <v>10</v>
      </c>
      <c r="AQ581" s="3136">
        <f>IF(AP581&gt;0,AP581,0)</f>
        <v>10</v>
      </c>
      <c r="AR581" s="3136"/>
    </row>
    <row r="582" spans="1:81" s="939" customFormat="1" ht="12.75" customHeight="1">
      <c r="A582" s="1023"/>
      <c r="B582" s="1114"/>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7" t="s">
        <v>1735</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3"/>
      <c r="AL584" s="1023"/>
      <c r="AM584" s="1023"/>
      <c r="AN584" s="996"/>
      <c r="AO584" s="1147" t="s">
        <v>488</v>
      </c>
      <c r="AP584" s="1148">
        <f>IF(C657="Yes",5,0)</f>
        <v>0</v>
      </c>
    </row>
    <row r="585" spans="1:81" s="939" customFormat="1" ht="12.75" customHeight="1">
      <c r="A585" s="1023"/>
      <c r="B585" s="1114"/>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3"/>
      <c r="AL585" s="1023"/>
      <c r="AM585" s="1023"/>
      <c r="AN585" s="996"/>
      <c r="AO585" s="1147" t="s">
        <v>494</v>
      </c>
      <c r="AP585" s="1148">
        <f>IF(C664="Yes",5,0)</f>
        <v>0</v>
      </c>
    </row>
    <row r="586" spans="1:81" s="939" customFormat="1" ht="68.099999999999994" customHeight="1">
      <c r="A586" s="1023"/>
      <c r="B586" s="1114"/>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3"/>
      <c r="AL586" s="1023"/>
      <c r="AM586" s="1023"/>
      <c r="AN586" s="996"/>
      <c r="AO586" s="1147" t="s">
        <v>681</v>
      </c>
      <c r="AP586" s="1154">
        <f>IF(C668="Yes",5,0)</f>
        <v>0</v>
      </c>
      <c r="AQ586" s="998"/>
      <c r="AR586" s="998"/>
    </row>
    <row r="587" spans="1:81" s="939" customFormat="1" ht="12.4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36">
        <f>Application!CS663-U589</f>
        <v>178</v>
      </c>
      <c r="V588" s="3236"/>
      <c r="W588" s="323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37">
        <f>Application!AG756</f>
        <v>0</v>
      </c>
      <c r="V589" s="3237"/>
      <c r="W589" s="323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6">
        <f>IF(AP590&gt;0,AP590,0)</f>
        <v>0</v>
      </c>
      <c r="AR590" s="3136"/>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32" t="s">
        <v>1740</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9" t="s">
        <v>626</v>
      </c>
      <c r="D596" s="3077"/>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0" t="s">
        <v>1742</v>
      </c>
      <c r="AG596" s="3130"/>
      <c r="AH596" s="3130"/>
      <c r="AI596" s="3130"/>
      <c r="AJ596" s="3130"/>
      <c r="AK596" s="3130"/>
      <c r="AL596" s="313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32" t="s">
        <v>1743</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9" t="s">
        <v>626</v>
      </c>
      <c r="D604" s="3077"/>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0" t="s">
        <v>1742</v>
      </c>
      <c r="AG604" s="3130"/>
      <c r="AH604" s="3130"/>
      <c r="AI604" s="3130"/>
      <c r="AJ604" s="3130"/>
      <c r="AK604" s="3130"/>
      <c r="AL604" s="313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32" t="s">
        <v>1745</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9" t="s">
        <v>578</v>
      </c>
      <c r="D612" s="3077"/>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0" t="s">
        <v>1747</v>
      </c>
      <c r="AG612" s="3130"/>
      <c r="AH612" s="3130"/>
      <c r="AI612" s="3130"/>
      <c r="AJ612" s="3130"/>
      <c r="AK612" s="3130"/>
      <c r="AL612" s="313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9" t="s">
        <v>626</v>
      </c>
      <c r="D614" s="3077"/>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0" t="s">
        <v>1742</v>
      </c>
      <c r="AG614" s="3130"/>
      <c r="AH614" s="3130"/>
      <c r="AI614" s="3130"/>
      <c r="AJ614" s="3130"/>
      <c r="AK614" s="3130"/>
      <c r="AL614" s="313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32" t="s">
        <v>1751</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9" t="s">
        <v>626</v>
      </c>
      <c r="D622" s="3077"/>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0" t="s">
        <v>1742</v>
      </c>
      <c r="AG622" s="3130"/>
      <c r="AH622" s="3130"/>
      <c r="AI622" s="3130"/>
      <c r="AJ622" s="3130"/>
      <c r="AK622" s="3130"/>
      <c r="AL622" s="313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9" t="s">
        <v>578</v>
      </c>
      <c r="D624" s="3077"/>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0" t="s">
        <v>1754</v>
      </c>
      <c r="AG624" s="3130"/>
      <c r="AH624" s="3130"/>
      <c r="AI624" s="3130"/>
      <c r="AJ624" s="3130"/>
      <c r="AK624" s="3130"/>
      <c r="AL624" s="313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9" t="s">
        <v>626</v>
      </c>
      <c r="D627" s="3077"/>
      <c r="E627" s="1170" t="s">
        <v>1755</v>
      </c>
      <c r="F627" s="3132" t="s">
        <v>1756</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1742</v>
      </c>
      <c r="AG628" s="3138"/>
      <c r="AH628" s="3138"/>
      <c r="AI628" s="3138"/>
      <c r="AJ628" s="3138"/>
      <c r="AK628" s="3138"/>
      <c r="AL628" s="3139"/>
      <c r="AM628" s="1130"/>
      <c r="AN628" s="996"/>
      <c r="BS628" s="1130"/>
      <c r="BT628" s="1130"/>
      <c r="BY628" s="1130"/>
      <c r="BZ628" s="1130"/>
      <c r="CA628" s="1130"/>
      <c r="CB628" s="1130"/>
      <c r="CC628" s="1130"/>
    </row>
    <row r="629" spans="1:81" s="939" customFormat="1" ht="12.75" customHeight="1">
      <c r="A629" s="923"/>
      <c r="B629" s="51"/>
      <c r="C629" s="1188"/>
      <c r="D629" s="112"/>
      <c r="E629" s="1142"/>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0" t="s">
        <v>1758</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07"/>
      <c r="AG632" s="1207"/>
      <c r="AH632" s="1207"/>
      <c r="AI632" s="1207"/>
      <c r="AJ632" s="1207"/>
      <c r="AK632" s="1207"/>
      <c r="AL632" s="1208"/>
      <c r="AM632" s="1130"/>
    </row>
    <row r="633" spans="1:81">
      <c r="A633" s="923"/>
      <c r="C633" s="1188"/>
      <c r="D633" s="112"/>
      <c r="E633" s="1142"/>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09"/>
      <c r="AG633" s="987"/>
      <c r="AH633" s="1021"/>
      <c r="AI633" s="1021"/>
      <c r="AJ633" s="1021"/>
      <c r="AK633" s="1021"/>
      <c r="AL633" s="1189"/>
      <c r="AM633" s="1130"/>
    </row>
    <row r="634" spans="1:81" s="939" customFormat="1" ht="12.75" customHeight="1">
      <c r="A634" s="923"/>
      <c r="B634" s="51"/>
      <c r="C634" s="1188"/>
      <c r="D634" s="112"/>
      <c r="E634" s="1142"/>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1"/>
      <c r="AG634" s="1021"/>
      <c r="AH634" s="1021"/>
      <c r="AI634" s="1021"/>
      <c r="AJ634" s="1021"/>
      <c r="AK634" s="1021"/>
      <c r="AL634" s="1189"/>
      <c r="AM634" s="1130"/>
      <c r="AN634" s="996"/>
    </row>
    <row r="635" spans="1:81" s="939" customFormat="1" ht="12.75" customHeight="1">
      <c r="A635" s="923"/>
      <c r="B635" s="51"/>
      <c r="C635" s="1197"/>
      <c r="D635" s="1021"/>
      <c r="E635" s="1021"/>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1"/>
      <c r="AG635" s="1021"/>
      <c r="AH635" s="1021"/>
      <c r="AI635" s="1021"/>
      <c r="AJ635" s="1021"/>
      <c r="AK635" s="1021"/>
      <c r="AL635" s="1189"/>
      <c r="AM635" s="1130"/>
      <c r="AN635" s="996"/>
    </row>
    <row r="636" spans="1:81" s="939" customFormat="1" ht="12.75" customHeight="1">
      <c r="A636" s="923"/>
      <c r="B636" s="51"/>
      <c r="C636" s="3129" t="s">
        <v>626</v>
      </c>
      <c r="D636" s="3077"/>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8" t="s">
        <v>1742</v>
      </c>
      <c r="AG636" s="3138"/>
      <c r="AH636" s="3138"/>
      <c r="AI636" s="3138"/>
      <c r="AJ636" s="3138"/>
      <c r="AK636" s="3138"/>
      <c r="AL636" s="313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9" t="s">
        <v>626</v>
      </c>
      <c r="D638" s="3077"/>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8" t="s">
        <v>1754</v>
      </c>
      <c r="AG638" s="3138"/>
      <c r="AH638" s="3138"/>
      <c r="AI638" s="3138"/>
      <c r="AJ638" s="3138"/>
      <c r="AK638" s="3138"/>
      <c r="AL638" s="313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32" t="s">
        <v>1763</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09"/>
      <c r="AG643" s="987"/>
      <c r="AH643" s="1021"/>
      <c r="AI643" s="1021"/>
      <c r="AJ643" s="1021"/>
      <c r="AK643" s="1021"/>
      <c r="AL643" s="1189"/>
      <c r="AM643" s="1130"/>
      <c r="AN643" s="997"/>
      <c r="AO643" s="1021"/>
      <c r="AP643" s="1021"/>
    </row>
    <row r="644" spans="1:60" s="939" customFormat="1" ht="12.45" customHeight="1">
      <c r="A644" s="923"/>
      <c r="B644" s="51"/>
      <c r="C644" s="1188"/>
      <c r="D644" s="112"/>
      <c r="E644" s="1142"/>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1"/>
      <c r="AG644" s="1021"/>
      <c r="AH644" s="1021"/>
      <c r="AI644" s="1021"/>
      <c r="AJ644" s="1021"/>
      <c r="AK644" s="1021"/>
      <c r="AL644" s="1189"/>
      <c r="AM644" s="1130"/>
      <c r="AN644" s="996"/>
      <c r="AO644" s="1021"/>
      <c r="AP644" s="1021"/>
    </row>
    <row r="645" spans="1:60" s="939" customFormat="1" ht="12.75" customHeight="1">
      <c r="A645" s="923"/>
      <c r="B645" s="51"/>
      <c r="C645" s="3129" t="s">
        <v>626</v>
      </c>
      <c r="D645" s="3077"/>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8" t="s">
        <v>1742</v>
      </c>
      <c r="AG645" s="3138"/>
      <c r="AH645" s="3138"/>
      <c r="AI645" s="3138"/>
      <c r="AJ645" s="3138"/>
      <c r="AK645" s="3138"/>
      <c r="AL645" s="313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 customHeight="1">
      <c r="A648" s="923"/>
      <c r="C648" s="1206"/>
      <c r="D648" s="1207"/>
      <c r="E648" s="1170" t="s">
        <v>1765</v>
      </c>
      <c r="F648" s="3132" t="s">
        <v>1766</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0"/>
      <c r="AG653" s="1220"/>
      <c r="AH653" s="1220"/>
      <c r="AI653" s="1220"/>
      <c r="AJ653" s="1220"/>
      <c r="AK653" s="1220"/>
      <c r="AL653" s="1221"/>
      <c r="AM653" s="1130"/>
      <c r="AN653" s="996"/>
    </row>
    <row r="654" spans="1:60" s="939" customFormat="1" ht="12.75" customHeight="1">
      <c r="A654" s="923"/>
      <c r="B654" s="51"/>
      <c r="C654" s="1222"/>
      <c r="D654" s="1187"/>
      <c r="E654" s="1174"/>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0"/>
      <c r="AG654" s="1220"/>
      <c r="AH654" s="1220"/>
      <c r="AI654" s="1220"/>
      <c r="AJ654" s="1220"/>
      <c r="AK654" s="1220"/>
      <c r="AL654" s="1221"/>
      <c r="AM654" s="1130"/>
      <c r="AN654" s="996"/>
    </row>
    <row r="655" spans="1:60" s="939" customFormat="1" ht="12.75" customHeight="1">
      <c r="A655" s="923"/>
      <c r="B655" s="51"/>
      <c r="C655" s="1222"/>
      <c r="D655" s="1187"/>
      <c r="E655" s="1174"/>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0"/>
      <c r="AG655" s="1220"/>
      <c r="AH655" s="1220"/>
      <c r="AI655" s="1220"/>
      <c r="AJ655" s="1220"/>
      <c r="AK655" s="1220"/>
      <c r="AL655" s="1221"/>
      <c r="AM655" s="1130"/>
      <c r="AN655" s="996"/>
    </row>
    <row r="656" spans="1:60" s="939" customFormat="1" ht="17.25" customHeight="1">
      <c r="A656" s="923"/>
      <c r="B656" s="51"/>
      <c r="C656" s="1222"/>
      <c r="D656" s="1187"/>
      <c r="E656" s="1174"/>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1"/>
      <c r="AG656" s="1021"/>
      <c r="AH656" s="1021"/>
      <c r="AI656" s="1021"/>
      <c r="AJ656" s="1021"/>
      <c r="AK656" s="1021"/>
      <c r="AL656" s="1189"/>
      <c r="AM656" s="1130"/>
      <c r="AN656" s="996"/>
    </row>
    <row r="657" spans="1:54" s="939" customFormat="1" ht="12.75" customHeight="1">
      <c r="A657" s="923"/>
      <c r="B657" s="51"/>
      <c r="C657" s="3129" t="s">
        <v>626</v>
      </c>
      <c r="D657" s="3077"/>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8" t="s">
        <v>1742</v>
      </c>
      <c r="AG657" s="3138"/>
      <c r="AH657" s="3138"/>
      <c r="AI657" s="3138"/>
      <c r="AJ657" s="3138"/>
      <c r="AK657" s="3138"/>
      <c r="AL657" s="313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32" t="s">
        <v>1769</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29" t="s">
        <v>626</v>
      </c>
      <c r="D664" s="3077"/>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8" t="s">
        <v>1742</v>
      </c>
      <c r="AG664" s="3138"/>
      <c r="AH664" s="3138"/>
      <c r="AI664" s="3138"/>
      <c r="AJ664" s="3138"/>
      <c r="AK664" s="3138"/>
      <c r="AL664" s="3139"/>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2" t="s">
        <v>626</v>
      </c>
      <c r="D668" s="3143"/>
      <c r="E668" s="1170" t="s">
        <v>1778</v>
      </c>
      <c r="F668" s="3132" t="s">
        <v>1779</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1742</v>
      </c>
      <c r="AG668" s="3144"/>
      <c r="AH668" s="3144"/>
      <c r="AI668" s="3144"/>
      <c r="AJ668" s="3144"/>
      <c r="AK668" s="3144"/>
      <c r="AL668" s="3145"/>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7" customHeight="1">
      <c r="A670" s="923"/>
      <c r="B670" s="51"/>
      <c r="C670" s="1232"/>
      <c r="D670" s="1180"/>
      <c r="E670" s="1181"/>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29" t="s">
        <v>626</v>
      </c>
      <c r="D672" s="3077"/>
      <c r="E672" s="1170" t="s">
        <v>1784</v>
      </c>
      <c r="F672" s="3132" t="s">
        <v>1785</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1742</v>
      </c>
      <c r="AG672" s="3144"/>
      <c r="AH672" s="3144"/>
      <c r="AI672" s="3144"/>
      <c r="AJ672" s="3144"/>
      <c r="AK672" s="3144"/>
      <c r="AL672" s="3145"/>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0" t="s">
        <v>1788</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4"/>
      <c r="AH677" s="1169"/>
      <c r="AI677" s="1169"/>
      <c r="AJ677" s="1169"/>
      <c r="AK677" s="1169"/>
      <c r="AL677" s="1205"/>
      <c r="AM677" s="1130"/>
      <c r="AN677" s="996"/>
    </row>
    <row r="678" spans="1:54" s="939" customFormat="1" ht="12.75" customHeight="1">
      <c r="A678" s="923"/>
      <c r="B678" s="51"/>
      <c r="C678" s="1188"/>
      <c r="D678" s="112"/>
      <c r="E678" s="1142"/>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1"/>
      <c r="AH678" s="1021"/>
      <c r="AI678" s="1021"/>
      <c r="AJ678" s="1021"/>
      <c r="AK678" s="1021"/>
      <c r="AL678" s="1189"/>
      <c r="AM678" s="1130"/>
      <c r="AN678" s="996"/>
    </row>
    <row r="679" spans="1:54" s="939" customFormat="1" ht="12.75" customHeight="1">
      <c r="A679" s="923"/>
      <c r="B679" s="51"/>
      <c r="C679" s="1197"/>
      <c r="D679" s="1021"/>
      <c r="E679" s="1021"/>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1"/>
      <c r="AH679" s="1021"/>
      <c r="AI679" s="1021"/>
      <c r="AJ679" s="1021"/>
      <c r="AK679" s="1021"/>
      <c r="AL679" s="1189"/>
      <c r="AM679" s="1130"/>
      <c r="AN679" s="996"/>
    </row>
    <row r="680" spans="1:54" s="939" customFormat="1" ht="12.75" customHeight="1">
      <c r="A680" s="923"/>
      <c r="B680" s="51"/>
      <c r="C680" s="1197"/>
      <c r="D680" s="1021"/>
      <c r="E680" s="1021"/>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1"/>
      <c r="AH680" s="1021"/>
      <c r="AI680" s="1021"/>
      <c r="AJ680" s="1021"/>
      <c r="AK680" s="1021"/>
      <c r="AL680" s="1189"/>
      <c r="AM680" s="1130"/>
      <c r="AN680" s="996"/>
    </row>
    <row r="681" spans="1:54" s="939" customFormat="1" ht="12.75" customHeight="1">
      <c r="A681" s="923"/>
      <c r="B681" s="51"/>
      <c r="C681" s="3129" t="s">
        <v>626</v>
      </c>
      <c r="D681" s="3077"/>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0" t="s">
        <v>1742</v>
      </c>
      <c r="AG681" s="3130"/>
      <c r="AH681" s="3130"/>
      <c r="AI681" s="3130"/>
      <c r="AJ681" s="3130"/>
      <c r="AK681" s="3130"/>
      <c r="AL681" s="313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80">
        <f>IF(Application!D213="N/A",AS573,AS575)</f>
        <v>10</v>
      </c>
      <c r="AL684" s="3081"/>
      <c r="AM684" s="308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6" t="s">
        <v>1792</v>
      </c>
      <c r="AF687" s="3196"/>
      <c r="AG687" s="3196"/>
      <c r="AH687" s="3196"/>
      <c r="AI687" s="3196"/>
      <c r="AJ687" s="3196"/>
      <c r="AK687" s="3196"/>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46" t="s">
        <v>626</v>
      </c>
      <c r="D693" s="3147"/>
      <c r="E693" s="1244" t="s">
        <v>540</v>
      </c>
      <c r="F693" s="3148" t="s">
        <v>1798</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0" t="s">
        <v>626</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1" t="s">
        <v>578</v>
      </c>
      <c r="D697" s="3152"/>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58" t="s">
        <v>626</v>
      </c>
      <c r="W700" s="3158"/>
      <c r="X700" s="3158"/>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58" t="s">
        <v>626</v>
      </c>
      <c r="W702" s="3158"/>
      <c r="X702" s="3158"/>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58" t="s">
        <v>626</v>
      </c>
      <c r="W707" s="3158"/>
      <c r="X707" s="3158"/>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7"/>
      <c r="E710" s="315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58" t="s">
        <v>626</v>
      </c>
      <c r="W711" s="3158"/>
      <c r="X711" s="3158"/>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58" t="s">
        <v>626</v>
      </c>
      <c r="W713" s="3158"/>
      <c r="X713" s="3158"/>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6" t="s">
        <v>626</v>
      </c>
      <c r="D716" s="3147"/>
      <c r="E716" s="1244" t="s">
        <v>540</v>
      </c>
      <c r="F716" s="3148" t="s">
        <v>1798</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6" t="s">
        <v>626</v>
      </c>
      <c r="D720" s="3147"/>
      <c r="E720" s="1244" t="s">
        <v>798</v>
      </c>
      <c r="F720" s="3154" t="s">
        <v>1820</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8" hidden="1" thickTop="1">
      <c r="A723" s="1056"/>
      <c r="B723" s="939"/>
      <c r="C723" s="1247"/>
      <c r="D723" s="1184"/>
      <c r="E723" s="1248"/>
      <c r="F723" s="3156" t="s">
        <v>626</v>
      </c>
      <c r="G723" s="3156"/>
      <c r="H723" s="315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8"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8" hidden="1" thickTop="1">
      <c r="A725" s="1056"/>
      <c r="B725" s="939"/>
      <c r="C725" s="3146" t="s">
        <v>626</v>
      </c>
      <c r="D725" s="3147"/>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8"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8" hidden="1" thickTop="1">
      <c r="A727" s="1022"/>
      <c r="B727" s="939"/>
      <c r="C727" s="3169"/>
      <c r="D727" s="315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8" hidden="1" thickTop="1">
      <c r="A728" s="1022"/>
      <c r="B728" s="939"/>
      <c r="C728" s="1245"/>
      <c r="D728" s="1022"/>
      <c r="E728" s="1246"/>
      <c r="F728" s="940"/>
      <c r="G728" s="3170" t="s">
        <v>626</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8"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1" t="s">
        <v>626</v>
      </c>
      <c r="D730" s="3172"/>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8"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1" t="s">
        <v>626</v>
      </c>
      <c r="D734" s="3172"/>
      <c r="E734" s="1021"/>
      <c r="F734" s="1286" t="s">
        <v>1828</v>
      </c>
      <c r="G734" s="3173" t="s">
        <v>1829</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9" t="s">
        <v>626</v>
      </c>
      <c r="D738" s="3160"/>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1" t="s">
        <v>626</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80">
        <f>SUM(AG694:AG739)</f>
        <v>0</v>
      </c>
      <c r="AL750" s="3081"/>
      <c r="AM750" s="308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8"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0" t="s">
        <v>1843</v>
      </c>
      <c r="AF753" s="3070"/>
      <c r="AG753" s="3070"/>
      <c r="AH753" s="3070"/>
      <c r="AI753" s="3070"/>
      <c r="AJ753" s="3070"/>
      <c r="AK753" s="3070"/>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7" t="s">
        <v>578</v>
      </c>
      <c r="D756" s="3077"/>
      <c r="E756" s="940"/>
      <c r="F756" s="3163" t="s">
        <v>1844</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1"/>
      <c r="AN756" s="996"/>
    </row>
    <row r="757" spans="1:49" s="939" customFormat="1" ht="12.75" customHeight="1">
      <c r="A757" s="1008"/>
      <c r="B757" s="1008"/>
      <c r="C757" s="940"/>
      <c r="D757" s="940"/>
      <c r="E757" s="940"/>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7" t="s">
        <v>626</v>
      </c>
      <c r="D759" s="3077"/>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1" t="s">
        <v>1846</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1"/>
      <c r="AN760" s="996"/>
      <c r="AS760" s="1432"/>
      <c r="AT760" s="1432"/>
      <c r="AU760" s="1432"/>
      <c r="AV760" s="1432"/>
      <c r="AW760" s="1432"/>
    </row>
    <row r="761" spans="1:49" s="939" customFormat="1" ht="12.75" customHeight="1">
      <c r="A761" s="1022"/>
      <c r="B761" s="1301"/>
      <c r="C761" s="1301"/>
      <c r="D761" s="1301"/>
      <c r="E761" s="1301"/>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1" t="s">
        <v>1848</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0"/>
      <c r="AM763" s="1001"/>
      <c r="AN763" s="996"/>
      <c r="AT763" s="1085"/>
      <c r="AU763" s="1085"/>
      <c r="AV763" s="1085"/>
    </row>
    <row r="764" spans="1:49" s="939" customFormat="1" ht="12.75" customHeight="1">
      <c r="A764" s="1022"/>
      <c r="B764" s="1301"/>
      <c r="C764" s="1301"/>
      <c r="D764" s="1301"/>
      <c r="E764" s="1301"/>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4">
        <f>Application!AJ975</f>
        <v>33991516</v>
      </c>
      <c r="AQ765" s="3234"/>
      <c r="AR765" s="3234"/>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3">
        <f>'Sources and Uses Budget'!S107+'Sources and Uses Budget'!T107</f>
        <v>34364885</v>
      </c>
      <c r="AG766" s="3083"/>
      <c r="AH766" s="3083"/>
      <c r="AI766" s="3083"/>
      <c r="AJ766" s="3083"/>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6">
        <f>AP774</f>
        <v>69587525.799999997</v>
      </c>
      <c r="AG767" s="3246"/>
      <c r="AH767" s="3246"/>
      <c r="AI767" s="3246"/>
      <c r="AJ767" s="3246"/>
      <c r="AK767" s="1001"/>
      <c r="AL767" s="1001"/>
      <c r="AM767" s="1001"/>
      <c r="AN767" s="996"/>
      <c r="AP767" s="3234">
        <f>Application!AJ1024</f>
        <v>17335673.16</v>
      </c>
      <c r="AQ767" s="3234"/>
      <c r="AR767" s="323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7">
        <f>ROUNDDOWN(IF(C759="YES",((1-(AF766/AF767))*2),(1-(AF766/AF767))),2)</f>
        <v>0.5</v>
      </c>
      <c r="AG768" s="3247"/>
      <c r="AH768" s="3247"/>
      <c r="AI768" s="3247"/>
      <c r="AJ768" s="3247"/>
      <c r="AK768" s="1001"/>
      <c r="AL768" s="1001"/>
      <c r="AM768" s="1001"/>
      <c r="AN768" s="996"/>
      <c r="AP768" s="3238">
        <f>Application!AJ1028</f>
        <v>15636097.360000001</v>
      </c>
      <c r="AQ768" s="3238"/>
      <c r="AR768" s="323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3">
        <f>IF(((AP767+AP768)/AP765)&gt;0.8,0.8,((AP767+AP768)/AP765))</f>
        <v>0.8</v>
      </c>
      <c r="AQ769" s="3233"/>
      <c r="AR769" s="3233"/>
    </row>
    <row r="770" spans="1:44" s="939" customFormat="1" ht="12.75" customHeight="1">
      <c r="A770" s="1044"/>
      <c r="B770" s="3182" t="s">
        <v>1851</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1"/>
      <c r="AL770" s="1001"/>
      <c r="AM770" s="1001"/>
      <c r="AN770" s="996"/>
    </row>
    <row r="771" spans="1:44" s="939" customFormat="1" ht="12.75" customHeight="1">
      <c r="A771" s="1044"/>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1"/>
      <c r="AL771" s="1001"/>
      <c r="AM771" s="1001"/>
      <c r="AN771" s="996"/>
      <c r="AP771" s="3234">
        <f>AP772-AP767-AP768</f>
        <v>42394313</v>
      </c>
      <c r="AQ771" s="3235"/>
      <c r="AR771" s="3235"/>
    </row>
    <row r="772" spans="1:44" s="939" customFormat="1" ht="12.75" customHeight="1">
      <c r="A772" s="1044"/>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1"/>
      <c r="AL772" s="1001"/>
      <c r="AM772" s="1001"/>
      <c r="AN772" s="996"/>
      <c r="AP772" s="3234">
        <f>Application!AJ1032</f>
        <v>75366083.519999996</v>
      </c>
      <c r="AQ772" s="3234"/>
      <c r="AR772" s="323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91">
        <f>IF(AF768=0,0,IF((AF768*100)&gt;12,12,(AF768*100)))</f>
        <v>12</v>
      </c>
      <c r="AL774" s="3191"/>
      <c r="AM774" s="3192"/>
      <c r="AN774" s="996"/>
      <c r="AP774" s="3257">
        <f>AP771+(AP765*AP769)</f>
        <v>69587525.799999997</v>
      </c>
      <c r="AQ774" s="3258"/>
      <c r="AR774" s="325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3" t="s">
        <v>1853</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3"/>
      <c r="AP780" s="1316"/>
      <c r="AQ780" s="1315"/>
    </row>
    <row r="781" spans="1:44">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97" t="s">
        <v>1854</v>
      </c>
      <c r="U782" s="3198"/>
      <c r="V782" s="3198"/>
      <c r="W782" s="3198"/>
      <c r="X782" s="3198"/>
      <c r="Y782" s="3199"/>
      <c r="Z782" s="3197" t="s">
        <v>1855</v>
      </c>
      <c r="AA782" s="3198"/>
      <c r="AB782" s="3198"/>
      <c r="AC782" s="3198"/>
      <c r="AD782" s="3198"/>
      <c r="AE782" s="3199"/>
      <c r="AF782" s="3197" t="s">
        <v>1856</v>
      </c>
      <c r="AG782" s="3198"/>
      <c r="AH782" s="3198"/>
      <c r="AI782" s="3198"/>
      <c r="AJ782" s="3198"/>
      <c r="AK782" s="319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0"/>
      <c r="U783" s="3201"/>
      <c r="V783" s="3201"/>
      <c r="W783" s="3201"/>
      <c r="X783" s="3201"/>
      <c r="Y783" s="3202"/>
      <c r="Z783" s="3200"/>
      <c r="AA783" s="3201"/>
      <c r="AB783" s="3201"/>
      <c r="AC783" s="3201"/>
      <c r="AD783" s="3201"/>
      <c r="AE783" s="3202"/>
      <c r="AF783" s="3200"/>
      <c r="AG783" s="3201"/>
      <c r="AH783" s="3201"/>
      <c r="AI783" s="3201"/>
      <c r="AJ783" s="3201"/>
      <c r="AK783" s="3202"/>
      <c r="AL783" s="1318"/>
      <c r="AM783" s="1212"/>
      <c r="AO783" s="1316"/>
      <c r="AP783" s="1315"/>
      <c r="AQ783" s="1315"/>
    </row>
    <row r="784" spans="1:44">
      <c r="A784" s="1319" t="s">
        <v>798</v>
      </c>
      <c r="B784" s="3175" t="s">
        <v>1554</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18"/>
      <c r="AM784" s="1212"/>
      <c r="AO784" s="1315"/>
      <c r="AP784" s="1315"/>
      <c r="AQ784" s="1315"/>
    </row>
    <row r="785" spans="1:81">
      <c r="A785" s="1319" t="s">
        <v>1822</v>
      </c>
      <c r="B785" s="3175" t="s">
        <v>1575</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18"/>
      <c r="AM785" s="1212"/>
      <c r="AO785" s="1315"/>
      <c r="AP785" s="1315"/>
      <c r="AQ785" s="1315"/>
    </row>
    <row r="786" spans="1:81">
      <c r="A786" s="1319" t="s">
        <v>1831</v>
      </c>
      <c r="B786" s="3175" t="s">
        <v>1585</v>
      </c>
      <c r="C786" s="3175"/>
      <c r="D786" s="3175"/>
      <c r="E786" s="3175"/>
      <c r="F786" s="3175"/>
      <c r="G786" s="3175"/>
      <c r="H786" s="3175"/>
      <c r="I786" s="3175"/>
      <c r="J786" s="3175"/>
      <c r="K786" s="3175"/>
      <c r="L786" s="3175"/>
      <c r="M786" s="3175"/>
      <c r="N786" s="3175"/>
      <c r="O786" s="3175"/>
      <c r="P786" s="3175"/>
      <c r="Q786" s="3175"/>
      <c r="R786" s="3175"/>
      <c r="S786" s="3176"/>
      <c r="T786" s="3177">
        <f>AK97</f>
        <v>20</v>
      </c>
      <c r="U786" s="3178"/>
      <c r="V786" s="3178"/>
      <c r="W786" s="3178"/>
      <c r="X786" s="3178"/>
      <c r="Y786" s="3179"/>
      <c r="Z786" s="3180">
        <v>20</v>
      </c>
      <c r="AA786" s="3178"/>
      <c r="AB786" s="3178"/>
      <c r="AC786" s="3178"/>
      <c r="AD786" s="3178"/>
      <c r="AE786" s="3179"/>
      <c r="AF786" s="3181">
        <f>IF(T786&gt;Z786,Z786,T786)</f>
        <v>20</v>
      </c>
      <c r="AG786" s="3181"/>
      <c r="AH786" s="3181"/>
      <c r="AI786" s="3181"/>
      <c r="AJ786" s="3181"/>
      <c r="AK786" s="3181"/>
      <c r="AL786" s="1318"/>
      <c r="AM786" s="1212"/>
      <c r="AO786" s="1315"/>
      <c r="AP786" s="1315"/>
      <c r="AQ786" s="1315"/>
    </row>
    <row r="787" spans="1:81">
      <c r="A787" s="1319" t="s">
        <v>1857</v>
      </c>
      <c r="B787" s="3175" t="s">
        <v>1595</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18"/>
      <c r="AM787" s="1212"/>
      <c r="AO787" s="1315"/>
      <c r="AP787" s="1315"/>
      <c r="AQ787" s="1315"/>
    </row>
    <row r="788" spans="1:81">
      <c r="A788" s="1321" t="s">
        <v>1858</v>
      </c>
      <c r="B788" s="3175" t="s">
        <v>1859</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18"/>
      <c r="AM788" s="1212"/>
    </row>
    <row r="789" spans="1:81">
      <c r="A789" s="922"/>
      <c r="B789" s="1005"/>
      <c r="C789" s="3204" t="s">
        <v>1860</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18"/>
      <c r="AM789" s="1212"/>
    </row>
    <row r="790" spans="1:81">
      <c r="A790" s="1322"/>
      <c r="B790" s="1005"/>
      <c r="C790" s="3204" t="s">
        <v>1861</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18"/>
      <c r="AM790" s="1212"/>
      <c r="AO790" s="939"/>
    </row>
    <row r="791" spans="1:81">
      <c r="A791" s="1321" t="s">
        <v>1623</v>
      </c>
      <c r="B791" s="3175" t="s">
        <v>1862</v>
      </c>
      <c r="C791" s="3175"/>
      <c r="D791" s="3175"/>
      <c r="E791" s="3175"/>
      <c r="F791" s="3175"/>
      <c r="G791" s="3175"/>
      <c r="H791" s="3175"/>
      <c r="I791" s="3175"/>
      <c r="J791" s="3175"/>
      <c r="K791" s="3175"/>
      <c r="L791" s="3175"/>
      <c r="M791" s="3175"/>
      <c r="N791" s="3175"/>
      <c r="O791" s="3175"/>
      <c r="P791" s="3175"/>
      <c r="Q791" s="3175"/>
      <c r="R791" s="3175"/>
      <c r="S791" s="3176"/>
      <c r="T791" s="3203">
        <f>AK174</f>
        <v>10</v>
      </c>
      <c r="U791" s="3203"/>
      <c r="V791" s="3203"/>
      <c r="W791" s="3203"/>
      <c r="X791" s="3203"/>
      <c r="Y791" s="3203"/>
      <c r="Z791" s="3181">
        <v>10</v>
      </c>
      <c r="AA791" s="3181"/>
      <c r="AB791" s="3181"/>
      <c r="AC791" s="3181"/>
      <c r="AD791" s="3181"/>
      <c r="AE791" s="3181"/>
      <c r="AF791" s="3181">
        <f>IF(T791&gt;Z791,Z791,T791)</f>
        <v>10</v>
      </c>
      <c r="AG791" s="3181"/>
      <c r="AH791" s="3181"/>
      <c r="AI791" s="3181"/>
      <c r="AJ791" s="3181"/>
      <c r="AK791" s="3181"/>
      <c r="AL791" s="1318"/>
      <c r="AM791" s="1212"/>
    </row>
    <row r="792" spans="1:81">
      <c r="A792" s="1319" t="s">
        <v>1632</v>
      </c>
      <c r="B792" s="3175" t="s">
        <v>1633</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18"/>
      <c r="AM792" s="1212"/>
    </row>
    <row r="793" spans="1:81" s="921" customFormat="1" hidden="1">
      <c r="A793" s="1321" t="s">
        <v>624</v>
      </c>
      <c r="B793" s="3175" t="s">
        <v>1863</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175" t="s">
        <v>1864</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175" t="s">
        <v>1643</v>
      </c>
      <c r="C795" s="3175"/>
      <c r="D795" s="3175"/>
      <c r="E795" s="3175"/>
      <c r="F795" s="3175"/>
      <c r="G795" s="3175"/>
      <c r="H795" s="3175"/>
      <c r="I795" s="3175"/>
      <c r="J795" s="3175"/>
      <c r="K795" s="3175"/>
      <c r="L795" s="3175"/>
      <c r="M795" s="3175"/>
      <c r="N795" s="3175"/>
      <c r="O795" s="3175"/>
      <c r="P795" s="3175"/>
      <c r="Q795" s="3175"/>
      <c r="R795" s="3175"/>
      <c r="S795" s="3176"/>
      <c r="T795" s="3203">
        <f>AK553</f>
        <v>19</v>
      </c>
      <c r="U795" s="3203"/>
      <c r="V795" s="3203"/>
      <c r="W795" s="3203"/>
      <c r="X795" s="3203"/>
      <c r="Y795" s="3203"/>
      <c r="Z795" s="3210">
        <v>20</v>
      </c>
      <c r="AA795" s="3211"/>
      <c r="AB795" s="3211"/>
      <c r="AC795" s="3211"/>
      <c r="AD795" s="3211"/>
      <c r="AE795" s="3212"/>
      <c r="AF795" s="3210">
        <f>IF(T795&gt;Z795,Z795,T795)</f>
        <v>19</v>
      </c>
      <c r="AG795" s="3225"/>
      <c r="AH795" s="3225"/>
      <c r="AI795" s="3225"/>
      <c r="AJ795" s="3225"/>
      <c r="AK795" s="322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5">
        <f>AK320</f>
        <v>9</v>
      </c>
      <c r="U796" s="3075"/>
      <c r="V796" s="3075"/>
      <c r="W796" s="3075"/>
      <c r="X796" s="3075"/>
      <c r="Y796" s="3075"/>
      <c r="Z796" s="3080">
        <v>20</v>
      </c>
      <c r="AA796" s="3081"/>
      <c r="AB796" s="3081"/>
      <c r="AC796" s="3081"/>
      <c r="AD796" s="3081"/>
      <c r="AE796" s="3082"/>
      <c r="AF796" s="3207"/>
      <c r="AG796" s="3207"/>
      <c r="AH796" s="3207"/>
      <c r="AI796" s="3207"/>
      <c r="AJ796" s="3207"/>
      <c r="AK796" s="320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5">
        <f>AK551</f>
        <v>10</v>
      </c>
      <c r="U797" s="3075"/>
      <c r="V797" s="3075"/>
      <c r="W797" s="3075"/>
      <c r="X797" s="3075"/>
      <c r="Y797" s="3075"/>
      <c r="Z797" s="3080">
        <v>10</v>
      </c>
      <c r="AA797" s="3081"/>
      <c r="AB797" s="3081"/>
      <c r="AC797" s="3081"/>
      <c r="AD797" s="3081"/>
      <c r="AE797" s="3082"/>
      <c r="AF797" s="3207"/>
      <c r="AG797" s="3207"/>
      <c r="AH797" s="3207"/>
      <c r="AI797" s="3207"/>
      <c r="AJ797" s="3207"/>
      <c r="AK797" s="320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175" t="s">
        <v>908</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175" t="s">
        <v>1842</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08" t="s">
        <v>1867</v>
      </c>
      <c r="B800" s="3175"/>
      <c r="C800" s="3175"/>
      <c r="D800" s="3175"/>
      <c r="E800" s="3175"/>
      <c r="F800" s="3175"/>
      <c r="G800" s="3175"/>
      <c r="H800" s="3175"/>
      <c r="I800" s="3175"/>
      <c r="J800" s="3175"/>
      <c r="K800" s="3175"/>
      <c r="L800" s="3175"/>
      <c r="M800" s="3175"/>
      <c r="N800" s="3175"/>
      <c r="O800" s="3175"/>
      <c r="P800" s="3175"/>
      <c r="Q800" s="3175"/>
      <c r="R800" s="3175"/>
      <c r="S800" s="3176"/>
      <c r="T800" s="3209">
        <v>0</v>
      </c>
      <c r="U800" s="3209"/>
      <c r="V800" s="3209"/>
      <c r="W800" s="3209"/>
      <c r="X800" s="3209"/>
      <c r="Y800" s="3209"/>
      <c r="Z800" s="3206" t="s">
        <v>1868</v>
      </c>
      <c r="AA800" s="3206"/>
      <c r="AB800" s="3206"/>
      <c r="AC800" s="3206"/>
      <c r="AD800" s="3206"/>
      <c r="AE800" s="3206"/>
      <c r="AF800" s="3210">
        <f>IF(T800&gt;0,T800,0)</f>
        <v>0</v>
      </c>
      <c r="AG800" s="3211"/>
      <c r="AH800" s="3211"/>
      <c r="AI800" s="3211"/>
      <c r="AJ800" s="3211"/>
      <c r="AK800" s="321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
      <c r="A801" s="3213" t="s">
        <v>1869</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SUM(AF784:AK799)-AF800</f>
        <v>119</v>
      </c>
      <c r="AG801" s="3220"/>
      <c r="AH801" s="3220"/>
      <c r="AI801" s="3220"/>
      <c r="AJ801" s="3220"/>
      <c r="AK801" s="322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2021-04-23T23:58:28Z</cp:lastPrinted>
  <dcterms:created xsi:type="dcterms:W3CDTF">2007-12-27T18:26:28Z</dcterms:created>
  <dcterms:modified xsi:type="dcterms:W3CDTF">2022-03-16T22:00:35Z</dcterms:modified>
</cp:coreProperties>
</file>