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PROJECTS\2-Develop\Kelsey Civic Center\2. FINANCE\2.5 Funding Sources\2.5.4 Equity\TCAC Funding\Application Round 2 2022\Draft Application\Section 40 - Excel Application\"/>
    </mc:Choice>
  </mc:AlternateContent>
  <xr:revisionPtr revIDLastSave="0" documentId="13_ncr:1_{0356A8B9-024E-45B5-BA1F-941CBB4CC10B}" xr6:coauthVersionLast="47" xr6:coauthVersionMax="47" xr10:uidLastSave="{00000000-0000-0000-0000-000000000000}"/>
  <bookViews>
    <workbookView xWindow="-21045" yWindow="1005" windowWidth="19545" windowHeight="897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6" r:id="rId7"/>
    <sheet name="Sources and Basis Breakdown" sheetId="13" r:id="rId8"/>
    <sheet name="CalHFA Addendum" sheetId="25" r:id="rId9"/>
    <sheet name="CDLAC Tie Breaker"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6">#REF!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6">#REF!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6">#REF!</definedName>
    <definedName name="FMRS" localSheetId="7">#REF!</definedName>
    <definedName name="FMRS">#REF!</definedName>
    <definedName name="FMRS1" localSheetId="8">#REF!</definedName>
    <definedName name="FMRS1">#REF!</definedName>
    <definedName name="HudFmrs" localSheetId="9">Application!$BX$670:$CB$727</definedName>
    <definedName name="HudFmrs" localSheetId="6">Application!$BX$670:$CB$727</definedName>
    <definedName name="HudFmrs">Application!$BX$670:$CB$727</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6">#REF!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6">#REF!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6">'[6]Basis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9">'CDLAC Tie Breaker'!$1:$7</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6">[6]Feasibility!$X$4:$AL$75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6">[6]Feasibility!$X$78:$AM$145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6">[6]Feasibility!$A$152:$L$224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6">[6]Feasibility!$A$225:$L$310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6">#REF!</definedName>
    <definedName name="TC_Rent" localSheetId="14">[4]Application!$BC$683:$BI$740</definedName>
    <definedName name="TC_Rent" localSheetId="7">[2]Application!$BC$674:$BI$731</definedName>
    <definedName name="TC_Rent">Application!$BP$670:$BV$727</definedName>
    <definedName name="TcacRents" localSheetId="9">Application!$BQ$670:$BV$727</definedName>
    <definedName name="TcacRents" localSheetId="6">Application!$BQ$670:$BV$727</definedName>
    <definedName name="TcacRents">Application!$BQ$670:$BV$727</definedName>
    <definedName name="UnitSizes" localSheetId="9">Application!$BA$609:$BA$614</definedName>
    <definedName name="UnitSizes" localSheetId="6">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 i="4" l="1"/>
  <c r="A32" i="7"/>
  <c r="A31" i="7"/>
  <c r="E40" i="7"/>
  <c r="A40" i="7"/>
  <c r="S93" i="4"/>
  <c r="S45" i="4"/>
  <c r="S99" i="4"/>
  <c r="S95" i="4"/>
  <c r="S94" i="4"/>
  <c r="S92" i="4"/>
  <c r="S89" i="4"/>
  <c r="S87" i="4"/>
  <c r="S86" i="4"/>
  <c r="S85" i="4"/>
  <c r="S84" i="4"/>
  <c r="S80" i="4"/>
  <c r="S79" i="4"/>
  <c r="S67" i="4"/>
  <c r="S52" i="4"/>
  <c r="S50" i="4"/>
  <c r="S43" i="4"/>
  <c r="S40" i="4"/>
  <c r="S36" i="4"/>
  <c r="S33" i="4"/>
  <c r="S32" i="4"/>
  <c r="S31" i="4"/>
  <c r="S30" i="4"/>
  <c r="S29" i="4"/>
  <c r="C75" i="4"/>
  <c r="E99" i="4"/>
  <c r="E95" i="4"/>
  <c r="E94" i="4"/>
  <c r="E93" i="4"/>
  <c r="E92" i="4"/>
  <c r="E90" i="4"/>
  <c r="E89" i="4"/>
  <c r="E88" i="4"/>
  <c r="E87" i="4"/>
  <c r="E86" i="4"/>
  <c r="E85" i="4"/>
  <c r="E84" i="4"/>
  <c r="E83" i="4"/>
  <c r="E80" i="4"/>
  <c r="E79" i="4"/>
  <c r="E69" i="4"/>
  <c r="E67" i="4"/>
  <c r="E65" i="4"/>
  <c r="E61" i="4"/>
  <c r="E58" i="4"/>
  <c r="E56" i="4"/>
  <c r="E53" i="4"/>
  <c r="E52" i="4"/>
  <c r="E50" i="4"/>
  <c r="E46" i="4"/>
  <c r="E45" i="4"/>
  <c r="E43" i="4"/>
  <c r="E40" i="4"/>
  <c r="E36" i="4"/>
  <c r="E33" i="4"/>
  <c r="E32" i="4"/>
  <c r="E31" i="4"/>
  <c r="E29" i="4"/>
  <c r="E27" i="4"/>
  <c r="L30" i="4"/>
  <c r="K30" i="4"/>
  <c r="J30" i="4"/>
  <c r="I30" i="4"/>
  <c r="H30" i="4"/>
  <c r="G30" i="4"/>
  <c r="F30" i="4"/>
  <c r="N93" i="4"/>
  <c r="C88" i="4"/>
  <c r="C93" i="4"/>
  <c r="M99" i="4"/>
  <c r="M94" i="4"/>
  <c r="M93" i="4"/>
  <c r="M92" i="4"/>
  <c r="M87" i="4"/>
  <c r="M86" i="4"/>
  <c r="M85" i="4"/>
  <c r="M84" i="4"/>
  <c r="M80" i="4"/>
  <c r="M79" i="4"/>
  <c r="M76" i="4"/>
  <c r="M75" i="4"/>
  <c r="M69" i="4"/>
  <c r="M67" i="4"/>
  <c r="M65" i="4"/>
  <c r="M58" i="4"/>
  <c r="M53" i="4"/>
  <c r="M52" i="4"/>
  <c r="M50" i="4"/>
  <c r="M46" i="4"/>
  <c r="M45" i="4"/>
  <c r="M43" i="4"/>
  <c r="M40" i="4"/>
  <c r="M36" i="4"/>
  <c r="M33" i="4"/>
  <c r="M32" i="4"/>
  <c r="M31" i="4"/>
  <c r="M30" i="4"/>
  <c r="M29" i="4"/>
  <c r="M27" i="4"/>
  <c r="C45" i="4"/>
  <c r="C65" i="4"/>
  <c r="D93" i="4"/>
  <c r="D43" i="4"/>
  <c r="C43" i="4"/>
  <c r="D32" i="4"/>
  <c r="D33" i="4"/>
  <c r="C32" i="4"/>
  <c r="C33" i="4"/>
  <c r="AC884" i="3"/>
  <c r="AC891" i="3"/>
  <c r="D69" i="4"/>
  <c r="C69" i="4"/>
  <c r="AA934" i="3"/>
  <c r="AA933" i="3"/>
  <c r="I934" i="3"/>
  <c r="I933" i="3"/>
  <c r="AA932" i="3"/>
  <c r="AA916" i="3"/>
  <c r="AA915" i="3"/>
  <c r="AC886" i="3"/>
  <c r="AO645" i="3"/>
  <c r="AF637" i="3"/>
  <c r="AM568" i="3"/>
  <c r="C76" i="4"/>
  <c r="E30" i="4"/>
  <c r="T44" i="27"/>
  <c r="T42" i="27"/>
  <c r="T41" i="27"/>
  <c r="T36" i="27"/>
  <c r="T34" i="27"/>
  <c r="T33" i="27"/>
  <c r="L69" i="27"/>
  <c r="L68" i="27"/>
  <c r="L67" i="27"/>
  <c r="L66" i="27"/>
  <c r="L65" i="27"/>
  <c r="L64" i="27"/>
  <c r="L63" i="27"/>
  <c r="G67" i="27"/>
  <c r="L62" i="27"/>
  <c r="G62" i="27"/>
  <c r="AD199" i="26"/>
  <c r="G113" i="27"/>
  <c r="G112" i="27"/>
  <c r="G110" i="27"/>
  <c r="G90" i="27"/>
  <c r="G94" i="27"/>
  <c r="G88" i="27"/>
  <c r="G92" i="27"/>
  <c r="S44" i="27"/>
  <c r="S43" i="27"/>
  <c r="S38" i="27"/>
  <c r="S35" i="27"/>
  <c r="S27" i="27"/>
  <c r="N44" i="27"/>
  <c r="M44" i="27"/>
  <c r="L44" i="27"/>
  <c r="N43" i="27"/>
  <c r="M43" i="27"/>
  <c r="T43" i="27"/>
  <c r="L43" i="27"/>
  <c r="N42" i="27"/>
  <c r="M42" i="27"/>
  <c r="S42" i="27"/>
  <c r="L42" i="27"/>
  <c r="N41" i="27"/>
  <c r="M41" i="27"/>
  <c r="S41" i="27"/>
  <c r="L41" i="27"/>
  <c r="N40" i="27"/>
  <c r="M40" i="27"/>
  <c r="O40" i="27"/>
  <c r="L40" i="27"/>
  <c r="N39" i="27"/>
  <c r="M39" i="27"/>
  <c r="S39" i="27"/>
  <c r="L39" i="27"/>
  <c r="N38" i="27"/>
  <c r="M38" i="27"/>
  <c r="P38" i="27" a="1"/>
  <c r="P38" i="27"/>
  <c r="L38" i="27"/>
  <c r="N37" i="27"/>
  <c r="M37" i="27"/>
  <c r="P37" i="27" a="1"/>
  <c r="P37" i="27"/>
  <c r="L37" i="27"/>
  <c r="N36" i="27"/>
  <c r="M36" i="27"/>
  <c r="S36" i="27"/>
  <c r="L36" i="27"/>
  <c r="N35" i="27"/>
  <c r="M35" i="27"/>
  <c r="T35" i="27"/>
  <c r="L35" i="27"/>
  <c r="N34" i="27"/>
  <c r="M34" i="27"/>
  <c r="S34" i="27"/>
  <c r="L34" i="27"/>
  <c r="N33" i="27"/>
  <c r="M33" i="27"/>
  <c r="S33" i="27"/>
  <c r="L33" i="27"/>
  <c r="N32" i="27"/>
  <c r="M32" i="27"/>
  <c r="T32" i="27"/>
  <c r="L32" i="27"/>
  <c r="N31" i="27"/>
  <c r="M31" i="27"/>
  <c r="S31" i="27"/>
  <c r="L31" i="27"/>
  <c r="N30" i="27"/>
  <c r="M30" i="27"/>
  <c r="T30" i="27"/>
  <c r="L30" i="27"/>
  <c r="N29" i="27"/>
  <c r="M29" i="27"/>
  <c r="S29" i="27"/>
  <c r="L29" i="27"/>
  <c r="N28" i="27"/>
  <c r="M28" i="27"/>
  <c r="S28" i="27"/>
  <c r="L28" i="27"/>
  <c r="N27" i="27"/>
  <c r="M27" i="27"/>
  <c r="T27" i="27"/>
  <c r="L27" i="27"/>
  <c r="N26" i="27"/>
  <c r="M26" i="27"/>
  <c r="S26" i="27"/>
  <c r="L26" i="27"/>
  <c r="N25" i="27"/>
  <c r="M25" i="27"/>
  <c r="S25" i="27"/>
  <c r="L25" i="27"/>
  <c r="N24" i="27"/>
  <c r="M24" i="27"/>
  <c r="T24" i="27"/>
  <c r="L24" i="27"/>
  <c r="E23" i="27"/>
  <c r="F23" i="27"/>
  <c r="G23" i="27"/>
  <c r="N23" i="27"/>
  <c r="M23" i="27"/>
  <c r="S23" i="27"/>
  <c r="L23" i="27"/>
  <c r="N22" i="27"/>
  <c r="M22" i="27"/>
  <c r="Q22" i="27" a="1"/>
  <c r="Q22" i="27"/>
  <c r="L22" i="27"/>
  <c r="N21" i="27"/>
  <c r="M21" i="27"/>
  <c r="M18" i="27"/>
  <c r="L21" i="27"/>
  <c r="N20" i="27"/>
  <c r="M20" i="27"/>
  <c r="S20" i="27"/>
  <c r="L20" i="27"/>
  <c r="P18" i="27"/>
  <c r="I9" i="27"/>
  <c r="AV112" i="26" a="1"/>
  <c r="AV112" i="26"/>
  <c r="AV111" i="26" a="1"/>
  <c r="AV111" i="26"/>
  <c r="AV115" i="26" a="1"/>
  <c r="AV115" i="26"/>
  <c r="AV113" i="26" a="1"/>
  <c r="AV113" i="26"/>
  <c r="AV114" i="26" a="1"/>
  <c r="AV114" i="26"/>
  <c r="AV110" i="26" a="1"/>
  <c r="AV110" i="26"/>
  <c r="U363" i="26"/>
  <c r="AQ130" i="26"/>
  <c r="AO130" i="26"/>
  <c r="AQ129" i="26"/>
  <c r="AO129" i="26"/>
  <c r="AQ128" i="26"/>
  <c r="AO128" i="26"/>
  <c r="AQ127" i="26"/>
  <c r="AO127" i="26"/>
  <c r="AQ126" i="26"/>
  <c r="AO126" i="26"/>
  <c r="AQ125" i="26"/>
  <c r="AO125" i="26"/>
  <c r="AQ124" i="26"/>
  <c r="AO124" i="26"/>
  <c r="AQ123" i="26"/>
  <c r="AO123" i="26"/>
  <c r="AQ122" i="26"/>
  <c r="AO122" i="26"/>
  <c r="AQ121" i="26"/>
  <c r="AO121" i="26"/>
  <c r="AQ120" i="26"/>
  <c r="AO120" i="26"/>
  <c r="AQ119" i="26"/>
  <c r="AO119" i="26"/>
  <c r="AQ118" i="26"/>
  <c r="AO118" i="26"/>
  <c r="AQ117" i="26"/>
  <c r="AO117" i="26"/>
  <c r="AQ116" i="26"/>
  <c r="AO116" i="26"/>
  <c r="AQ115" i="26"/>
  <c r="AO115" i="26"/>
  <c r="AQ114" i="26"/>
  <c r="AO114" i="26"/>
  <c r="AQ113" i="26"/>
  <c r="AO113" i="26"/>
  <c r="AQ112" i="26"/>
  <c r="AO112" i="26"/>
  <c r="AQ111" i="26"/>
  <c r="AO111" i="26"/>
  <c r="AQ110" i="26"/>
  <c r="AO110" i="26"/>
  <c r="AQ109" i="26"/>
  <c r="AO109" i="26"/>
  <c r="AQ108" i="26"/>
  <c r="AO108" i="26"/>
  <c r="AQ107" i="26"/>
  <c r="AO107" i="26"/>
  <c r="AQ106" i="26"/>
  <c r="AO106" i="26"/>
  <c r="G114" i="27"/>
  <c r="I15" i="27"/>
  <c r="E112" i="27"/>
  <c r="E104" i="27"/>
  <c r="G102" i="27"/>
  <c r="E95" i="27"/>
  <c r="B85" i="27"/>
  <c r="G77" i="27"/>
  <c r="B60" i="27"/>
  <c r="B51" i="27"/>
  <c r="Q44" i="27" a="1"/>
  <c r="Q44" i="27"/>
  <c r="P44" i="27" a="1"/>
  <c r="P44" i="27"/>
  <c r="O44" i="27"/>
  <c r="R43" i="27"/>
  <c r="Q43" i="27" a="1"/>
  <c r="Q43" i="27"/>
  <c r="P43" i="27" a="1"/>
  <c r="P43" i="27"/>
  <c r="O43" i="27"/>
  <c r="R42" i="27"/>
  <c r="O42" i="27"/>
  <c r="P42" i="27" a="1"/>
  <c r="P42" i="27"/>
  <c r="B42" i="27"/>
  <c r="R41" i="27"/>
  <c r="P40" i="27" a="1"/>
  <c r="P40" i="27"/>
  <c r="R39" i="27"/>
  <c r="Q39" i="27" a="1"/>
  <c r="Q39" i="27"/>
  <c r="P39" i="27" a="1"/>
  <c r="P39" i="27"/>
  <c r="O39" i="27"/>
  <c r="G39" i="27"/>
  <c r="Q38" i="27" a="1"/>
  <c r="Q38" i="27"/>
  <c r="O38" i="27"/>
  <c r="R37" i="27"/>
  <c r="Q37" i="27" a="1"/>
  <c r="Q37" i="27"/>
  <c r="O36" i="27"/>
  <c r="O35" i="27"/>
  <c r="Q35" i="27" a="1"/>
  <c r="Q35" i="27"/>
  <c r="R34" i="27"/>
  <c r="Q34" i="27" a="1"/>
  <c r="Q34" i="27"/>
  <c r="P34" i="27" a="1"/>
  <c r="P34" i="27"/>
  <c r="O34" i="27"/>
  <c r="Q33" i="27" a="1"/>
  <c r="Q33" i="27"/>
  <c r="O33" i="27"/>
  <c r="P33" i="27" a="1"/>
  <c r="P33" i="27"/>
  <c r="B33" i="27"/>
  <c r="O32" i="27"/>
  <c r="Q31" i="27" a="1"/>
  <c r="Q31" i="27"/>
  <c r="P31" i="27" a="1"/>
  <c r="P31" i="27"/>
  <c r="O31" i="27"/>
  <c r="D26" i="27"/>
  <c r="D25" i="27"/>
  <c r="Q23" i="27" a="1"/>
  <c r="Q23" i="27"/>
  <c r="B18" i="27"/>
  <c r="AF805" i="26"/>
  <c r="AJ777" i="26"/>
  <c r="AJ766" i="26"/>
  <c r="AJ750" i="26"/>
  <c r="AJ738" i="26"/>
  <c r="AJ722" i="26"/>
  <c r="AJ710" i="26"/>
  <c r="AJ696" i="26"/>
  <c r="AJ676" i="26"/>
  <c r="AJ641" i="26"/>
  <c r="AJ629" i="26"/>
  <c r="AJ610" i="26"/>
  <c r="AO586" i="26"/>
  <c r="AG512" i="26"/>
  <c r="AG508" i="26"/>
  <c r="AG504" i="26"/>
  <c r="AG501" i="26"/>
  <c r="AG497" i="26"/>
  <c r="AG492" i="26"/>
  <c r="AG487" i="26"/>
  <c r="AG485" i="26"/>
  <c r="AK524" i="26"/>
  <c r="T798" i="26"/>
  <c r="AF798" i="26"/>
  <c r="AG481" i="26"/>
  <c r="AG476" i="26"/>
  <c r="AG474" i="26"/>
  <c r="AG469" i="26"/>
  <c r="AP362" i="26"/>
  <c r="AP361" i="26"/>
  <c r="AP360" i="26"/>
  <c r="AP359" i="26"/>
  <c r="AP358" i="26"/>
  <c r="AP357" i="26"/>
  <c r="AP364" i="26"/>
  <c r="AQ364" i="26"/>
  <c r="AP354" i="26"/>
  <c r="AP353" i="26"/>
  <c r="AP352" i="26"/>
  <c r="AP351" i="26"/>
  <c r="AP350" i="26"/>
  <c r="AP349" i="26"/>
  <c r="AP348" i="26"/>
  <c r="AP347" i="26"/>
  <c r="AP346" i="26"/>
  <c r="AP283" i="26"/>
  <c r="AP284" i="26"/>
  <c r="AK327" i="26"/>
  <c r="AP282" i="26"/>
  <c r="AK274" i="26"/>
  <c r="T799" i="26"/>
  <c r="AF799" i="26"/>
  <c r="AB234" i="26"/>
  <c r="AB236" i="26"/>
  <c r="AB222" i="26"/>
  <c r="AB221" i="26"/>
  <c r="AB220" i="26"/>
  <c r="AB219" i="26"/>
  <c r="AB218" i="26"/>
  <c r="AB217" i="26"/>
  <c r="AB216" i="26"/>
  <c r="AB215" i="26"/>
  <c r="AB214" i="26"/>
  <c r="AB213" i="26"/>
  <c r="AJ169" i="26"/>
  <c r="T795" i="26"/>
  <c r="AJ155" i="26"/>
  <c r="T794" i="26"/>
  <c r="AU115" i="26"/>
  <c r="AU114" i="26"/>
  <c r="AU113" i="26"/>
  <c r="AU112" i="26"/>
  <c r="AU111" i="26"/>
  <c r="AU110" i="26"/>
  <c r="AP89" i="26"/>
  <c r="AO64" i="26"/>
  <c r="AO63" i="26"/>
  <c r="AO62" i="26"/>
  <c r="AO28" i="26"/>
  <c r="AO29" i="26"/>
  <c r="AO24" i="26"/>
  <c r="AO25" i="26"/>
  <c r="AO21" i="26"/>
  <c r="AO20" i="26"/>
  <c r="AO22" i="26"/>
  <c r="AO17" i="26"/>
  <c r="AO16" i="26"/>
  <c r="AO15" i="26"/>
  <c r="AO14" i="26"/>
  <c r="AO13" i="26"/>
  <c r="AF638" i="3"/>
  <c r="R638" i="3"/>
  <c r="O638" i="3"/>
  <c r="R637" i="3"/>
  <c r="O637" i="3"/>
  <c r="AA931" i="3"/>
  <c r="AD64" i="15"/>
  <c r="AD67" i="15"/>
  <c r="AK779" i="26"/>
  <c r="T804" i="26"/>
  <c r="AF804" i="26"/>
  <c r="AP355" i="26"/>
  <c r="AQ355" i="26"/>
  <c r="AS347" i="26"/>
  <c r="AK458" i="26"/>
  <c r="AB223" i="26"/>
  <c r="AB239" i="26"/>
  <c r="AB241" i="26"/>
  <c r="AB243" i="26"/>
  <c r="AB249" i="26"/>
  <c r="AD198" i="26"/>
  <c r="AD200" i="26"/>
  <c r="AO65" i="26"/>
  <c r="G53" i="27"/>
  <c r="S22" i="27"/>
  <c r="T20" i="27"/>
  <c r="S30" i="27"/>
  <c r="T25" i="27"/>
  <c r="T26" i="27"/>
  <c r="T28" i="27"/>
  <c r="S24" i="27"/>
  <c r="S32" i="27"/>
  <c r="S40" i="27"/>
  <c r="R38" i="27"/>
  <c r="Q40" i="27" a="1"/>
  <c r="Q40" i="27"/>
  <c r="T21" i="27"/>
  <c r="T29" i="27"/>
  <c r="T37" i="27"/>
  <c r="S21" i="27"/>
  <c r="S37" i="27"/>
  <c r="T22" i="27"/>
  <c r="T38" i="27"/>
  <c r="O37" i="27"/>
  <c r="Q24" i="27" a="1"/>
  <c r="Q24" i="27"/>
  <c r="Q27" i="27" a="1"/>
  <c r="Q27" i="27"/>
  <c r="R40" i="27"/>
  <c r="T23" i="27"/>
  <c r="T31" i="27"/>
  <c r="T39" i="27"/>
  <c r="T40" i="27"/>
  <c r="Q20" i="27" a="1"/>
  <c r="Q20" i="27"/>
  <c r="E22" i="27"/>
  <c r="Q29" i="27" a="1"/>
  <c r="Q29" i="27"/>
  <c r="P32" i="27" a="1"/>
  <c r="P32" i="27"/>
  <c r="R33" i="27"/>
  <c r="R35" i="27"/>
  <c r="P36" i="27" a="1"/>
  <c r="P36" i="27"/>
  <c r="Q42" i="27" a="1"/>
  <c r="Q42" i="27"/>
  <c r="R31" i="27"/>
  <c r="O41" i="27"/>
  <c r="R44" i="27"/>
  <c r="E26" i="27"/>
  <c r="Q32" i="27" a="1"/>
  <c r="Q32" i="27"/>
  <c r="Q36" i="27" a="1"/>
  <c r="Q36" i="27"/>
  <c r="P41" i="27" a="1"/>
  <c r="P41" i="27"/>
  <c r="E25" i="27"/>
  <c r="Q26" i="27" a="1"/>
  <c r="Q26" i="27"/>
  <c r="Q30" i="27" a="1"/>
  <c r="Q30" i="27"/>
  <c r="Q21" i="27" a="1"/>
  <c r="Q21" i="27"/>
  <c r="E24" i="27"/>
  <c r="Q25" i="27" a="1"/>
  <c r="Q25" i="27"/>
  <c r="Q28" i="27" a="1"/>
  <c r="Q28" i="27"/>
  <c r="R32" i="27"/>
  <c r="P35" i="27" a="1"/>
  <c r="P35" i="27"/>
  <c r="R36" i="27"/>
  <c r="Q41" i="27" a="1"/>
  <c r="Q41" i="27"/>
  <c r="T801" i="26"/>
  <c r="T800" i="26"/>
  <c r="AF800" i="26"/>
  <c r="AV116" i="26"/>
  <c r="AW112" i="26"/>
  <c r="AW110" i="26"/>
  <c r="AO36" i="26"/>
  <c r="AK56" i="26"/>
  <c r="AW113" i="26"/>
  <c r="T793" i="26"/>
  <c r="AF793" i="26"/>
  <c r="AK172" i="26"/>
  <c r="AD68" i="15"/>
  <c r="G753" i="3"/>
  <c r="BG671" i="3"/>
  <c r="BG672" i="3"/>
  <c r="BG673" i="3"/>
  <c r="BG674" i="3"/>
  <c r="BG675" i="3"/>
  <c r="BG676" i="3"/>
  <c r="BG677" i="3"/>
  <c r="BG678" i="3"/>
  <c r="BG679" i="3"/>
  <c r="BG680" i="3"/>
  <c r="BG681" i="3"/>
  <c r="BG682" i="3"/>
  <c r="CB799" i="3"/>
  <c r="R972" i="3"/>
  <c r="R971" i="3"/>
  <c r="R969" i="3"/>
  <c r="BN610" i="3"/>
  <c r="BN611" i="3"/>
  <c r="BN612" i="3"/>
  <c r="DX612" i="3"/>
  <c r="BN613" i="3"/>
  <c r="DX613" i="3"/>
  <c r="BN614" i="3"/>
  <c r="DX614" i="3"/>
  <c r="BN615" i="3"/>
  <c r="BN616" i="3"/>
  <c r="BN617" i="3"/>
  <c r="BN618" i="3"/>
  <c r="BN619" i="3"/>
  <c r="BN620" i="3"/>
  <c r="DX620" i="3"/>
  <c r="BN621" i="3"/>
  <c r="BN640" i="3"/>
  <c r="BN648" i="3"/>
  <c r="BN649" i="3"/>
  <c r="BN658" i="3"/>
  <c r="BS610" i="3"/>
  <c r="BS611" i="3"/>
  <c r="BS612" i="3"/>
  <c r="EC612" i="3"/>
  <c r="BS613" i="3"/>
  <c r="EC613" i="3"/>
  <c r="BS614" i="3"/>
  <c r="EC614" i="3"/>
  <c r="BS615" i="3"/>
  <c r="EC615" i="3"/>
  <c r="BS616" i="3"/>
  <c r="BS617" i="3"/>
  <c r="BS618" i="3"/>
  <c r="BS619" i="3"/>
  <c r="BS620" i="3"/>
  <c r="EC620" i="3"/>
  <c r="BS621" i="3"/>
  <c r="BS640" i="3"/>
  <c r="BS648" i="3"/>
  <c r="BS649" i="3"/>
  <c r="BS658" i="3"/>
  <c r="BX610" i="3"/>
  <c r="BX611" i="3"/>
  <c r="BX612" i="3"/>
  <c r="EH612" i="3"/>
  <c r="BX613" i="3"/>
  <c r="EH613" i="3"/>
  <c r="BX614" i="3"/>
  <c r="EH614" i="3"/>
  <c r="BX615" i="3"/>
  <c r="BX616" i="3"/>
  <c r="BX617" i="3"/>
  <c r="BX618" i="3"/>
  <c r="BX619" i="3"/>
  <c r="BX620" i="3"/>
  <c r="EH620" i="3"/>
  <c r="BX621" i="3"/>
  <c r="BX640" i="3"/>
  <c r="BX648" i="3"/>
  <c r="BX649" i="3"/>
  <c r="BX658" i="3"/>
  <c r="CC610" i="3"/>
  <c r="CC611" i="3"/>
  <c r="CC612" i="3"/>
  <c r="EM612" i="3"/>
  <c r="CC613" i="3"/>
  <c r="EM613" i="3"/>
  <c r="CC614" i="3"/>
  <c r="EM614" i="3"/>
  <c r="CC615" i="3"/>
  <c r="CC616" i="3"/>
  <c r="CC617" i="3"/>
  <c r="CC618" i="3"/>
  <c r="CC619" i="3"/>
  <c r="CC620" i="3"/>
  <c r="EM620" i="3"/>
  <c r="CC621" i="3"/>
  <c r="CC640" i="3"/>
  <c r="CC648" i="3"/>
  <c r="CC649" i="3"/>
  <c r="CC658" i="3"/>
  <c r="CM610" i="3"/>
  <c r="CM611" i="3"/>
  <c r="CM612" i="3"/>
  <c r="EW612" i="3"/>
  <c r="CM613" i="3"/>
  <c r="EW613" i="3"/>
  <c r="CM614" i="3"/>
  <c r="EW614" i="3"/>
  <c r="CM615" i="3"/>
  <c r="CM616" i="3"/>
  <c r="CM617" i="3"/>
  <c r="CM618" i="3"/>
  <c r="CM619" i="3"/>
  <c r="CM620" i="3"/>
  <c r="EW620" i="3"/>
  <c r="CM621" i="3"/>
  <c r="CM640" i="3"/>
  <c r="CM648" i="3"/>
  <c r="CM649" i="3"/>
  <c r="CM658" i="3"/>
  <c r="CH610" i="3"/>
  <c r="CH611" i="3"/>
  <c r="CH612" i="3"/>
  <c r="ER612" i="3"/>
  <c r="CH613" i="3"/>
  <c r="ER613" i="3"/>
  <c r="CH614" i="3"/>
  <c r="ER614" i="3"/>
  <c r="CH615" i="3"/>
  <c r="CH616" i="3"/>
  <c r="CH617" i="3"/>
  <c r="CH618" i="3"/>
  <c r="CH619" i="3"/>
  <c r="CH620" i="3"/>
  <c r="ER620" i="3"/>
  <c r="CH621" i="3"/>
  <c r="CH640" i="3"/>
  <c r="CH648" i="3"/>
  <c r="CH649" i="3"/>
  <c r="CH658" i="3"/>
  <c r="AJ980" i="3"/>
  <c r="AJ986" i="3"/>
  <c r="AJ990" i="3"/>
  <c r="AJ992" i="3"/>
  <c r="AJ995" i="3"/>
  <c r="AJ102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AO649" i="3"/>
  <c r="AB48" i="15"/>
  <c r="C26" i="4"/>
  <c r="Y67" i="15"/>
  <c r="O753" i="3"/>
  <c r="B4" i="8"/>
  <c r="B5" i="8"/>
  <c r="G5" i="8"/>
  <c r="B6" i="8"/>
  <c r="G6" i="8"/>
  <c r="B10" i="8"/>
  <c r="O796" i="3"/>
  <c r="CS648" i="3"/>
  <c r="CS649" i="3"/>
  <c r="CS658" i="3"/>
  <c r="CX648" i="3"/>
  <c r="CX649" i="3"/>
  <c r="CX658" i="3"/>
  <c r="DC648" i="3"/>
  <c r="DC649" i="3"/>
  <c r="DC658" i="3"/>
  <c r="DH648" i="3"/>
  <c r="DH649" i="3"/>
  <c r="DH658" i="3"/>
  <c r="DM648" i="3"/>
  <c r="DM649" i="3"/>
  <c r="DM658" i="3"/>
  <c r="DR648" i="3"/>
  <c r="DR649" i="3"/>
  <c r="DR658" i="3"/>
  <c r="DR660" i="3"/>
  <c r="B7" i="8"/>
  <c r="G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R659" i="3"/>
  <c r="BW659" i="3"/>
  <c r="CB659" i="3"/>
  <c r="CG659" i="3"/>
  <c r="CL659" i="3"/>
  <c r="CQ659" i="3"/>
  <c r="CS661" i="3"/>
  <c r="B24" i="4"/>
  <c r="R36" i="4"/>
  <c r="B36" i="4"/>
  <c r="B66" i="4"/>
  <c r="B67" i="4"/>
  <c r="B68" i="4"/>
  <c r="B69" i="4"/>
  <c r="R66" i="4"/>
  <c r="R67" i="4"/>
  <c r="R68" i="4"/>
  <c r="A104" i="11"/>
  <c r="C101" i="11"/>
  <c r="C102" i="11"/>
  <c r="C103" i="11"/>
  <c r="C104" i="11"/>
  <c r="B101" i="11"/>
  <c r="B102" i="11"/>
  <c r="B103" i="11"/>
  <c r="B104" i="11"/>
  <c r="C85" i="11"/>
  <c r="D85" i="11"/>
  <c r="C86" i="11"/>
  <c r="C87" i="11"/>
  <c r="C88" i="11"/>
  <c r="C89" i="11"/>
  <c r="C90" i="11"/>
  <c r="C91" i="11"/>
  <c r="D91" i="11"/>
  <c r="C92" i="11"/>
  <c r="C93" i="11"/>
  <c r="D93" i="11"/>
  <c r="C94" i="11"/>
  <c r="C95" i="11"/>
  <c r="C96" i="11"/>
  <c r="B85" i="11"/>
  <c r="B86" i="11"/>
  <c r="D86" i="11"/>
  <c r="B87" i="11"/>
  <c r="B88" i="11"/>
  <c r="D88" i="11"/>
  <c r="B89" i="11"/>
  <c r="D89" i="11"/>
  <c r="B90" i="11"/>
  <c r="B91" i="11"/>
  <c r="B92" i="11"/>
  <c r="B93" i="11"/>
  <c r="B94" i="11"/>
  <c r="B95" i="11"/>
  <c r="D95" i="11"/>
  <c r="B96" i="11"/>
  <c r="D96" i="11"/>
  <c r="A70" i="11"/>
  <c r="C67" i="11"/>
  <c r="C68" i="11"/>
  <c r="C69" i="11"/>
  <c r="C70" i="11"/>
  <c r="B67" i="11"/>
  <c r="B68" i="11"/>
  <c r="B69" i="11"/>
  <c r="B70" i="11"/>
  <c r="B71" i="11"/>
  <c r="D71" i="11"/>
  <c r="A62" i="11"/>
  <c r="A54" i="11"/>
  <c r="A38" i="11"/>
  <c r="A26" i="11"/>
  <c r="C31" i="11"/>
  <c r="C39" i="11"/>
  <c r="C32" i="11"/>
  <c r="D32" i="11"/>
  <c r="C33" i="11"/>
  <c r="D33" i="11"/>
  <c r="C34" i="11"/>
  <c r="D34" i="11"/>
  <c r="C35" i="11"/>
  <c r="C36" i="11"/>
  <c r="C37" i="11"/>
  <c r="C38" i="11"/>
  <c r="B31" i="11"/>
  <c r="B32" i="11"/>
  <c r="B33" i="11"/>
  <c r="B39" i="11"/>
  <c r="B34" i="11"/>
  <c r="B35" i="11"/>
  <c r="B36" i="11"/>
  <c r="B37" i="11"/>
  <c r="B38" i="11"/>
  <c r="C24" i="11"/>
  <c r="C25" i="11"/>
  <c r="C26" i="11"/>
  <c r="B25" i="11"/>
  <c r="B26" i="11"/>
  <c r="D70" i="4"/>
  <c r="B70" i="4"/>
  <c r="C70" i="4"/>
  <c r="C54" i="11"/>
  <c r="B54" i="11"/>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BA679" i="3"/>
  <c r="AH737" i="3"/>
  <c r="X737" i="3"/>
  <c r="BA677" i="3"/>
  <c r="X735" i="3"/>
  <c r="BA680" i="3"/>
  <c r="X738" i="3"/>
  <c r="W860" i="3"/>
  <c r="E17" i="7"/>
  <c r="G17" i="7"/>
  <c r="I17" i="7"/>
  <c r="K17" i="7"/>
  <c r="M17" i="7"/>
  <c r="O17" i="7"/>
  <c r="Q17" i="7"/>
  <c r="S17" i="7"/>
  <c r="U17" i="7"/>
  <c r="W17" i="7"/>
  <c r="Y17" i="7"/>
  <c r="AA17" i="7"/>
  <c r="AC17" i="7"/>
  <c r="AE17" i="7"/>
  <c r="AG17" i="7"/>
  <c r="A3" i="15"/>
  <c r="BA1000" i="3"/>
  <c r="T11" i="4"/>
  <c r="R10" i="4"/>
  <c r="R91" i="4"/>
  <c r="R84" i="4"/>
  <c r="AI7" i="15"/>
  <c r="B59" i="4"/>
  <c r="C80" i="11"/>
  <c r="C82" i="11"/>
  <c r="C81" i="11"/>
  <c r="D81" i="11"/>
  <c r="B80" i="11"/>
  <c r="B82"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0" i="4"/>
  <c r="C9" i="7"/>
  <c r="C7" i="7"/>
  <c r="C5" i="7"/>
  <c r="A76" i="13"/>
  <c r="A61" i="13"/>
  <c r="A37" i="13"/>
  <c r="A25" i="13"/>
  <c r="A103" i="13"/>
  <c r="A95" i="13"/>
  <c r="A94" i="13"/>
  <c r="A93" i="13"/>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c r="R95" i="4"/>
  <c r="R94" i="4"/>
  <c r="R93" i="4"/>
  <c r="R92" i="4"/>
  <c r="R90" i="4"/>
  <c r="R89" i="4"/>
  <c r="R88" i="4"/>
  <c r="R87" i="4"/>
  <c r="R86" i="4"/>
  <c r="R85" i="4"/>
  <c r="R83" i="4"/>
  <c r="R76" i="4"/>
  <c r="R75" i="4"/>
  <c r="R77" i="4"/>
  <c r="R72" i="4"/>
  <c r="R73" i="4"/>
  <c r="R74" i="4"/>
  <c r="R69" i="4"/>
  <c r="R65" i="4"/>
  <c r="R61" i="4"/>
  <c r="R60" i="4"/>
  <c r="R59" i="4"/>
  <c r="R58" i="4"/>
  <c r="R57" i="4"/>
  <c r="R56" i="4"/>
  <c r="R62" i="4"/>
  <c r="R53" i="4"/>
  <c r="R52" i="4"/>
  <c r="R51" i="4"/>
  <c r="R50" i="4"/>
  <c r="R48" i="4"/>
  <c r="R47" i="4"/>
  <c r="R46" i="4"/>
  <c r="R45" i="4"/>
  <c r="R43" i="4"/>
  <c r="R41" i="4"/>
  <c r="R40" i="4"/>
  <c r="R42" i="4"/>
  <c r="R37" i="4"/>
  <c r="R35" i="4"/>
  <c r="R34" i="4"/>
  <c r="R33" i="4"/>
  <c r="R32" i="4"/>
  <c r="R31" i="4"/>
  <c r="R30" i="4"/>
  <c r="R29" i="4"/>
  <c r="R27" i="4"/>
  <c r="R25" i="4"/>
  <c r="R23" i="4"/>
  <c r="R22" i="4"/>
  <c r="R21" i="4"/>
  <c r="R20" i="4"/>
  <c r="R19" i="4"/>
  <c r="R18" i="4"/>
  <c r="R17" i="4"/>
  <c r="R15" i="4"/>
  <c r="R14" i="4"/>
  <c r="R13" i="4"/>
  <c r="R9" i="4"/>
  <c r="R11" i="4"/>
  <c r="R7" i="4"/>
  <c r="R6" i="4"/>
  <c r="R8" i="4"/>
  <c r="R12" i="4"/>
  <c r="R5" i="4"/>
  <c r="R4" i="4"/>
  <c r="B5" i="11"/>
  <c r="C5" i="11"/>
  <c r="B6" i="11"/>
  <c r="C6" i="11"/>
  <c r="B7" i="11"/>
  <c r="C7" i="11"/>
  <c r="C9"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D28" i="11"/>
  <c r="B30" i="11"/>
  <c r="C30" i="11"/>
  <c r="D30" i="11"/>
  <c r="B41" i="11"/>
  <c r="B43" i="11"/>
  <c r="C41" i="11"/>
  <c r="C42" i="11"/>
  <c r="B42" i="11"/>
  <c r="B44" i="11"/>
  <c r="C44" i="11"/>
  <c r="D44" i="11"/>
  <c r="B46" i="11"/>
  <c r="C46" i="11"/>
  <c r="B47" i="11"/>
  <c r="C47" i="11"/>
  <c r="B48" i="11"/>
  <c r="D48" i="11"/>
  <c r="B49" i="11"/>
  <c r="B50" i="11"/>
  <c r="B51" i="11"/>
  <c r="B52" i="11"/>
  <c r="D52" i="11"/>
  <c r="B53" i="11"/>
  <c r="C48" i="11"/>
  <c r="C49" i="11"/>
  <c r="C50" i="11"/>
  <c r="D50" i="11"/>
  <c r="C51" i="11"/>
  <c r="D51" i="11"/>
  <c r="C52" i="11"/>
  <c r="C53" i="11"/>
  <c r="B57" i="11"/>
  <c r="B63" i="11"/>
  <c r="C57" i="11"/>
  <c r="C63" i="11"/>
  <c r="D63" i="11"/>
  <c r="B58" i="11"/>
  <c r="C58" i="11"/>
  <c r="B59" i="11"/>
  <c r="C59" i="11"/>
  <c r="B60" i="11"/>
  <c r="C60" i="11"/>
  <c r="B61" i="11"/>
  <c r="C61" i="11"/>
  <c r="B62" i="11"/>
  <c r="D62" i="11"/>
  <c r="C62" i="11"/>
  <c r="B66" i="11"/>
  <c r="C66" i="11"/>
  <c r="B73" i="11"/>
  <c r="C73" i="11"/>
  <c r="B74" i="11"/>
  <c r="C74" i="11"/>
  <c r="B75" i="11"/>
  <c r="C75" i="11"/>
  <c r="B76" i="11"/>
  <c r="B78" i="11"/>
  <c r="C76" i="11"/>
  <c r="B77" i="11"/>
  <c r="C77" i="11"/>
  <c r="D77" i="11"/>
  <c r="B84" i="11"/>
  <c r="C84" i="11"/>
  <c r="B100" i="11"/>
  <c r="D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6" i="3"/>
  <c r="AC774" i="3"/>
  <c r="AC775" i="3"/>
  <c r="AC786" i="3"/>
  <c r="AC787" i="3"/>
  <c r="AC788" i="3"/>
  <c r="AC789" i="3"/>
  <c r="AC790" i="3"/>
  <c r="AC791" i="3"/>
  <c r="AC792" i="3"/>
  <c r="AC793" i="3"/>
  <c r="AC794" i="3"/>
  <c r="AC795" i="3"/>
  <c r="Z815" i="3"/>
  <c r="E8" i="7"/>
  <c r="E9" i="7"/>
  <c r="W845" i="3"/>
  <c r="E15" i="7"/>
  <c r="G15"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W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U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5" i="3"/>
  <c r="DX616" i="3"/>
  <c r="DX617" i="3"/>
  <c r="DX618" i="3"/>
  <c r="DX619" i="3"/>
  <c r="DX621" i="3"/>
  <c r="DX622" i="3"/>
  <c r="DX623" i="3"/>
  <c r="DX624" i="3"/>
  <c r="DX625" i="3"/>
  <c r="DX626" i="3"/>
  <c r="DX627" i="3"/>
  <c r="DX628" i="3"/>
  <c r="DX629" i="3"/>
  <c r="DX630" i="3"/>
  <c r="DX631" i="3"/>
  <c r="DX632" i="3"/>
  <c r="DX633" i="3"/>
  <c r="DX634" i="3"/>
  <c r="EC610" i="3"/>
  <c r="EC611" i="3"/>
  <c r="EC616" i="3"/>
  <c r="EC617" i="3"/>
  <c r="EC618" i="3"/>
  <c r="EC619" i="3"/>
  <c r="EC621" i="3"/>
  <c r="EC622" i="3"/>
  <c r="EC623" i="3"/>
  <c r="EC624" i="3"/>
  <c r="EC625" i="3"/>
  <c r="EC626" i="3"/>
  <c r="EC627" i="3"/>
  <c r="EC628" i="3"/>
  <c r="EC629" i="3"/>
  <c r="EC630" i="3"/>
  <c r="EC631" i="3"/>
  <c r="EC632" i="3"/>
  <c r="EC633" i="3"/>
  <c r="EC634" i="3"/>
  <c r="EH610" i="3"/>
  <c r="EH611" i="3"/>
  <c r="EH615" i="3"/>
  <c r="EH616" i="3"/>
  <c r="EH617" i="3"/>
  <c r="EH618" i="3"/>
  <c r="EH619" i="3"/>
  <c r="EH621" i="3"/>
  <c r="EH622" i="3"/>
  <c r="EH623" i="3"/>
  <c r="EH624" i="3"/>
  <c r="EH625" i="3"/>
  <c r="EH626" i="3"/>
  <c r="EH627" i="3"/>
  <c r="EH628" i="3"/>
  <c r="EH629" i="3"/>
  <c r="EH630" i="3"/>
  <c r="EH631" i="3"/>
  <c r="EH632" i="3"/>
  <c r="EH633" i="3"/>
  <c r="EH634" i="3"/>
  <c r="EM610" i="3"/>
  <c r="EM611" i="3"/>
  <c r="EM615" i="3"/>
  <c r="EM616" i="3"/>
  <c r="EM617" i="3"/>
  <c r="EM618" i="3"/>
  <c r="EM619" i="3"/>
  <c r="EM621" i="3"/>
  <c r="EM622" i="3"/>
  <c r="EM623" i="3"/>
  <c r="EM624" i="3"/>
  <c r="EM625" i="3"/>
  <c r="EM626" i="3"/>
  <c r="EM627" i="3"/>
  <c r="EM628" i="3"/>
  <c r="EM629" i="3"/>
  <c r="EM630" i="3"/>
  <c r="EM631" i="3"/>
  <c r="EM632" i="3"/>
  <c r="EM633" i="3"/>
  <c r="EM634" i="3"/>
  <c r="EW610" i="3"/>
  <c r="EW611" i="3"/>
  <c r="EW615" i="3"/>
  <c r="EW616" i="3"/>
  <c r="EW617" i="3"/>
  <c r="EW618" i="3"/>
  <c r="EW619" i="3"/>
  <c r="EW621" i="3"/>
  <c r="EW622" i="3"/>
  <c r="EW623" i="3"/>
  <c r="EW624" i="3"/>
  <c r="EW625" i="3"/>
  <c r="EW626" i="3"/>
  <c r="EW627" i="3"/>
  <c r="EW628" i="3"/>
  <c r="EW629" i="3"/>
  <c r="EW630" i="3"/>
  <c r="EW631" i="3"/>
  <c r="EW632" i="3"/>
  <c r="EW633" i="3"/>
  <c r="EW634" i="3"/>
  <c r="ER610" i="3"/>
  <c r="ER611" i="3"/>
  <c r="ER615" i="3"/>
  <c r="ER616" i="3"/>
  <c r="ER617" i="3"/>
  <c r="ER618" i="3"/>
  <c r="ER619" i="3"/>
  <c r="ER621" i="3"/>
  <c r="ER622" i="3"/>
  <c r="ER623" i="3"/>
  <c r="ER624" i="3"/>
  <c r="ER625" i="3"/>
  <c r="ER626" i="3"/>
  <c r="ER627" i="3"/>
  <c r="ER628" i="3"/>
  <c r="ER629" i="3"/>
  <c r="ER630" i="3"/>
  <c r="ER631" i="3"/>
  <c r="ER632" i="3"/>
  <c r="ER633" i="3"/>
  <c r="ER634" i="3"/>
  <c r="C11" i="4"/>
  <c r="B26" i="13"/>
  <c r="C38" i="4"/>
  <c r="B38" i="13"/>
  <c r="C54" i="4"/>
  <c r="B54" i="13"/>
  <c r="C62" i="4"/>
  <c r="B62" i="13"/>
  <c r="C77" i="4"/>
  <c r="B77" i="13"/>
  <c r="C96" i="4"/>
  <c r="B96" i="13"/>
  <c r="D8" i="4"/>
  <c r="D11" i="4"/>
  <c r="D26" i="4"/>
  <c r="D38" i="4"/>
  <c r="B38" i="4"/>
  <c r="D42" i="4"/>
  <c r="D54" i="4"/>
  <c r="D62" i="4"/>
  <c r="D77" i="4"/>
  <c r="D96" i="4"/>
  <c r="D104" i="4"/>
  <c r="E26" i="13"/>
  <c r="S38" i="4"/>
  <c r="E38" i="13"/>
  <c r="S42" i="4"/>
  <c r="E42" i="13"/>
  <c r="S54" i="4"/>
  <c r="E54" i="13"/>
  <c r="S96" i="4"/>
  <c r="E96" i="13"/>
  <c r="S104" i="4"/>
  <c r="E104" i="13"/>
  <c r="F2" i="4"/>
  <c r="G2" i="4"/>
  <c r="H2" i="4"/>
  <c r="I2" i="4"/>
  <c r="J2" i="4"/>
  <c r="K2" i="4"/>
  <c r="L2" i="4"/>
  <c r="M2" i="4"/>
  <c r="N2" i="4"/>
  <c r="O2" i="4"/>
  <c r="P2" i="4"/>
  <c r="Q2" i="4"/>
  <c r="B4" i="4"/>
  <c r="B5" i="4"/>
  <c r="B6" i="4"/>
  <c r="E6" i="4"/>
  <c r="B7" i="4"/>
  <c r="E8" i="4"/>
  <c r="F8" i="4"/>
  <c r="G8" i="4"/>
  <c r="G11" i="4"/>
  <c r="H8" i="4"/>
  <c r="H11" i="4"/>
  <c r="I8" i="4"/>
  <c r="I11" i="4"/>
  <c r="J8" i="4"/>
  <c r="J11" i="4"/>
  <c r="J26" i="4"/>
  <c r="J38" i="4"/>
  <c r="J63" i="4"/>
  <c r="J97" i="4"/>
  <c r="J105" i="4"/>
  <c r="J42" i="4"/>
  <c r="J54" i="4"/>
  <c r="J62" i="4"/>
  <c r="J70" i="4"/>
  <c r="J77" i="4"/>
  <c r="J96" i="4"/>
  <c r="J104" i="4"/>
  <c r="K8" i="4"/>
  <c r="K11" i="4"/>
  <c r="L8" i="4"/>
  <c r="L11" i="4"/>
  <c r="M8" i="4"/>
  <c r="M12"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c r="I97" i="4"/>
  <c r="I105" i="4"/>
  <c r="I42" i="4"/>
  <c r="I54" i="4"/>
  <c r="I62" i="4"/>
  <c r="K26" i="4"/>
  <c r="L26" i="4"/>
  <c r="M26" i="4"/>
  <c r="M38" i="4"/>
  <c r="M42" i="4"/>
  <c r="M63" i="4"/>
  <c r="M97" i="4"/>
  <c r="M105" i="4"/>
  <c r="M54" i="4"/>
  <c r="M62" i="4"/>
  <c r="M70" i="4"/>
  <c r="M77" i="4"/>
  <c r="M96" i="4"/>
  <c r="M104" i="4"/>
  <c r="N26" i="4"/>
  <c r="N38" i="4"/>
  <c r="N42" i="4"/>
  <c r="N54" i="4"/>
  <c r="N62" i="4"/>
  <c r="N70" i="4"/>
  <c r="N77" i="4"/>
  <c r="N96" i="4"/>
  <c r="N97" i="4"/>
  <c r="N105" i="4"/>
  <c r="N104" i="4"/>
  <c r="O26" i="4"/>
  <c r="P26" i="4"/>
  <c r="Q26" i="4"/>
  <c r="B27" i="4"/>
  <c r="B29" i="4"/>
  <c r="B30" i="4"/>
  <c r="B31" i="4"/>
  <c r="B32" i="4"/>
  <c r="B33" i="4"/>
  <c r="B34" i="4"/>
  <c r="B35" i="4"/>
  <c r="B37" i="4"/>
  <c r="E38" i="4"/>
  <c r="G38" i="4"/>
  <c r="G63" i="4"/>
  <c r="G97" i="4"/>
  <c r="G105" i="4"/>
  <c r="H38" i="4"/>
  <c r="H63" i="4"/>
  <c r="H97" i="4"/>
  <c r="H105" i="4"/>
  <c r="K38" i="4"/>
  <c r="K63" i="4"/>
  <c r="K97" i="4"/>
  <c r="K105" i="4"/>
  <c r="L38" i="4"/>
  <c r="L63" i="4"/>
  <c r="L97" i="4"/>
  <c r="L105" i="4"/>
  <c r="O38" i="4"/>
  <c r="P38" i="4"/>
  <c r="P42" i="4"/>
  <c r="P54" i="4"/>
  <c r="P62" i="4"/>
  <c r="P70" i="4"/>
  <c r="P77" i="4"/>
  <c r="P96" i="4"/>
  <c r="P104" i="4"/>
  <c r="Q38" i="4"/>
  <c r="B40" i="4"/>
  <c r="B41" i="4"/>
  <c r="E42" i="4"/>
  <c r="G42" i="4"/>
  <c r="H42" i="4"/>
  <c r="K42" i="4"/>
  <c r="L42" i="4"/>
  <c r="O42" i="4"/>
  <c r="Q42" i="4"/>
  <c r="B43" i="4"/>
  <c r="B45" i="4"/>
  <c r="B46" i="4"/>
  <c r="B47" i="4"/>
  <c r="B48" i="4"/>
  <c r="B49" i="4"/>
  <c r="E49" i="4"/>
  <c r="R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E75" i="4"/>
  <c r="E77" i="4"/>
  <c r="B76" i="4"/>
  <c r="E76" i="4"/>
  <c r="F77" i="4"/>
  <c r="G77" i="4"/>
  <c r="H77" i="4"/>
  <c r="I77" i="4"/>
  <c r="K77" i="4"/>
  <c r="L77" i="4"/>
  <c r="Q77" i="4"/>
  <c r="B79" i="4"/>
  <c r="B83" i="4"/>
  <c r="B84" i="4"/>
  <c r="B85" i="4"/>
  <c r="B86" i="4"/>
  <c r="N157" i="25"/>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AH731" i="3"/>
  <c r="X732" i="3"/>
  <c r="X733" i="3"/>
  <c r="AH733" i="3"/>
  <c r="X734" i="3"/>
  <c r="AH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77" i="4"/>
  <c r="B27" i="11"/>
  <c r="D49" i="11"/>
  <c r="C27" i="11"/>
  <c r="I63" i="13"/>
  <c r="I97" i="13"/>
  <c r="I105" i="13"/>
  <c r="I107" i="13"/>
  <c r="B81" i="13"/>
  <c r="D54" i="11"/>
  <c r="D53" i="11"/>
  <c r="J63" i="13"/>
  <c r="J97" i="13"/>
  <c r="J105" i="13"/>
  <c r="J107" i="13"/>
  <c r="L12" i="4"/>
  <c r="D5" i="11"/>
  <c r="D80" i="11"/>
  <c r="I12" i="4"/>
  <c r="G12" i="4"/>
  <c r="D6" i="11"/>
  <c r="Q12" i="4"/>
  <c r="B11" i="4"/>
  <c r="O63" i="4"/>
  <c r="O97" i="4"/>
  <c r="O105" i="4"/>
  <c r="D18" i="11"/>
  <c r="R70" i="4"/>
  <c r="B8" i="4"/>
  <c r="B12" i="4"/>
  <c r="D10" i="11"/>
  <c r="D36" i="11"/>
  <c r="G63" i="13"/>
  <c r="G97" i="13"/>
  <c r="G105" i="13"/>
  <c r="G107" i="13"/>
  <c r="D61" i="11"/>
  <c r="D20" i="11"/>
  <c r="D8" i="11"/>
  <c r="D102" i="11"/>
  <c r="K12" i="4"/>
  <c r="C43" i="11"/>
  <c r="C12" i="13"/>
  <c r="D7" i="11"/>
  <c r="F63" i="4"/>
  <c r="F97" i="4"/>
  <c r="F105" i="4"/>
  <c r="J12" i="4"/>
  <c r="D22" i="11"/>
  <c r="O12" i="4"/>
  <c r="D25" i="11"/>
  <c r="B11" i="13"/>
  <c r="D12" i="4"/>
  <c r="H12" i="4"/>
  <c r="B9" i="11"/>
  <c r="D23" i="11"/>
  <c r="D19" i="11"/>
  <c r="D73" i="11"/>
  <c r="D35" i="11"/>
  <c r="D76" i="11"/>
  <c r="D15" i="11"/>
  <c r="D63" i="13"/>
  <c r="D97" i="13"/>
  <c r="D105" i="13"/>
  <c r="D14" i="11"/>
  <c r="Q63" i="4"/>
  <c r="Q97" i="4"/>
  <c r="Q105" i="4"/>
  <c r="C105" i="11"/>
  <c r="D87" i="11"/>
  <c r="N63" i="4"/>
  <c r="N12" i="4"/>
  <c r="F12" i="4"/>
  <c r="D60" i="11"/>
  <c r="D74" i="11"/>
  <c r="D59" i="11"/>
  <c r="D38" i="11"/>
  <c r="P63" i="4"/>
  <c r="P97" i="4"/>
  <c r="P105" i="4"/>
  <c r="D12" i="13"/>
  <c r="D58" i="11"/>
  <c r="D24" i="11"/>
  <c r="D101" i="11"/>
  <c r="D90" i="11"/>
  <c r="D66" i="11"/>
  <c r="C63" i="13"/>
  <c r="C97" i="13"/>
  <c r="C105" i="13"/>
  <c r="D92" i="11"/>
  <c r="D75" i="11"/>
  <c r="D103" i="11"/>
  <c r="D42" i="11"/>
  <c r="D21" i="11"/>
  <c r="D16" i="11"/>
  <c r="B12" i="11"/>
  <c r="R26" i="4"/>
  <c r="F63" i="13"/>
  <c r="F97" i="13"/>
  <c r="F105" i="13"/>
  <c r="F107" i="13"/>
  <c r="C71" i="11"/>
  <c r="C12" i="11"/>
  <c r="K39" i="7"/>
  <c r="K42" i="7"/>
  <c r="Y39" i="7"/>
  <c r="Y42" i="7"/>
  <c r="AD7" i="15"/>
  <c r="O39" i="7"/>
  <c r="O42" i="7"/>
  <c r="AA39" i="7"/>
  <c r="AA42" i="7"/>
  <c r="Q39" i="7"/>
  <c r="Q42" i="7"/>
  <c r="T7" i="15"/>
  <c r="O27" i="7"/>
  <c r="AC882" i="3"/>
  <c r="BA995" i="3"/>
  <c r="AC796" i="3"/>
  <c r="D104" i="11"/>
  <c r="E12" i="4"/>
  <c r="T63" i="4"/>
  <c r="T97" i="4"/>
  <c r="D11" i="11"/>
  <c r="C12" i="4"/>
  <c r="B12" i="13"/>
  <c r="CS660" i="3"/>
  <c r="B13" i="11"/>
  <c r="D12" i="11"/>
  <c r="D26" i="11"/>
  <c r="D27" i="11"/>
  <c r="D30" i="8"/>
  <c r="H63" i="13"/>
  <c r="T105" i="4"/>
  <c r="H97" i="13"/>
  <c r="T107" i="4"/>
  <c r="H105" i="13"/>
  <c r="H107" i="13"/>
  <c r="AD11" i="15"/>
  <c r="AD23" i="15"/>
  <c r="AD26" i="15"/>
  <c r="AS349" i="26"/>
  <c r="AS351" i="26"/>
  <c r="T802" i="26"/>
  <c r="AF802" i="26"/>
  <c r="C13" i="11"/>
  <c r="D13" i="11"/>
  <c r="D9" i="11"/>
  <c r="N158" i="25"/>
  <c r="N164" i="25"/>
  <c r="U42" i="7"/>
  <c r="C55" i="11"/>
  <c r="R54" i="4"/>
  <c r="S63" i="4"/>
  <c r="E54" i="4"/>
  <c r="E63" i="4"/>
  <c r="E97" i="4"/>
  <c r="E105" i="4"/>
  <c r="C78" i="11"/>
  <c r="D78" i="11"/>
  <c r="R96" i="4"/>
  <c r="R38" i="4"/>
  <c r="D94" i="11"/>
  <c r="C97" i="11"/>
  <c r="B97" i="11"/>
  <c r="D46" i="11"/>
  <c r="B55" i="11"/>
  <c r="D55" i="11"/>
  <c r="D47" i="11"/>
  <c r="D82" i="11"/>
  <c r="D39" i="11"/>
  <c r="C64" i="11"/>
  <c r="C98" i="11"/>
  <c r="C106" i="11"/>
  <c r="D105" i="11"/>
  <c r="D43" i="11"/>
  <c r="D41" i="11"/>
  <c r="D57" i="11"/>
  <c r="B105" i="11"/>
  <c r="D31" i="11"/>
  <c r="B54" i="4"/>
  <c r="D84" i="11"/>
  <c r="B62" i="4"/>
  <c r="B42" i="4"/>
  <c r="B81" i="4"/>
  <c r="D63" i="4"/>
  <c r="D97" i="4"/>
  <c r="D105" i="4"/>
  <c r="B104" i="4"/>
  <c r="C63" i="4"/>
  <c r="C97" i="4"/>
  <c r="B96" i="4"/>
  <c r="D70" i="11"/>
  <c r="AH736" i="3"/>
  <c r="AH738" i="3"/>
  <c r="AW111" i="26"/>
  <c r="M942" i="3"/>
  <c r="E98" i="26"/>
  <c r="E99" i="26"/>
  <c r="AW114" i="26"/>
  <c r="G35" i="27" a="1"/>
  <c r="G35" i="27"/>
  <c r="G36" i="27"/>
  <c r="O21" i="27"/>
  <c r="P21" i="27" a="1"/>
  <c r="P21" i="27"/>
  <c r="R21" i="27"/>
  <c r="BA987" i="3"/>
  <c r="I1031" i="3"/>
  <c r="AW115" i="26"/>
  <c r="AH730" i="3"/>
  <c r="AH735" i="3"/>
  <c r="AC39" i="7"/>
  <c r="AC42" i="7"/>
  <c r="AE39" i="7"/>
  <c r="AE42" i="7"/>
  <c r="I39" i="7"/>
  <c r="I42" i="7"/>
  <c r="E42" i="7"/>
  <c r="M39" i="7"/>
  <c r="M42" i="7"/>
  <c r="S39" i="7"/>
  <c r="S42" i="7"/>
  <c r="AG39" i="7"/>
  <c r="AG42" i="7"/>
  <c r="G39" i="7"/>
  <c r="G42" i="7"/>
  <c r="W39" i="7"/>
  <c r="W42" i="7"/>
  <c r="O26" i="27"/>
  <c r="P26" i="27" a="1"/>
  <c r="P26" i="27"/>
  <c r="R26" i="27"/>
  <c r="AW116" i="26"/>
  <c r="S18" i="27"/>
  <c r="G44" i="27"/>
  <c r="F22" i="27"/>
  <c r="E27" i="27"/>
  <c r="AK78" i="26"/>
  <c r="T789" i="26"/>
  <c r="AF789" i="26"/>
  <c r="AO651" i="3"/>
  <c r="I27" i="7"/>
  <c r="AE27" i="7"/>
  <c r="K27" i="7"/>
  <c r="U27" i="7"/>
  <c r="Q27" i="7"/>
  <c r="AA27" i="7"/>
  <c r="M27" i="7"/>
  <c r="G27" i="7"/>
  <c r="AG27" i="7"/>
  <c r="AC27" i="7"/>
  <c r="Y27" i="7"/>
  <c r="S27" i="7"/>
  <c r="AC881" i="3"/>
  <c r="AC883" i="3"/>
  <c r="E14" i="7"/>
  <c r="I15" i="7"/>
  <c r="G8" i="7"/>
  <c r="Y798" i="3"/>
  <c r="Y799" i="3"/>
  <c r="E4" i="7"/>
  <c r="G4" i="7"/>
  <c r="CC644" i="3"/>
  <c r="CG645" i="3"/>
  <c r="BN644" i="3"/>
  <c r="BR645" i="3"/>
  <c r="CH644" i="3"/>
  <c r="CL645" i="3"/>
  <c r="BX644" i="3"/>
  <c r="CB645" i="3"/>
  <c r="CM644" i="3"/>
  <c r="CQ645" i="3"/>
  <c r="BS644" i="3"/>
  <c r="BW645" i="3"/>
  <c r="J28" i="25"/>
  <c r="AH732" i="3"/>
  <c r="AH729" i="3"/>
  <c r="BG728" i="3"/>
  <c r="BH703" i="3"/>
  <c r="BG696" i="3"/>
  <c r="BH692" i="3"/>
  <c r="BI692" i="3"/>
  <c r="ER635" i="3"/>
  <c r="J30" i="8"/>
  <c r="Z807" i="3"/>
  <c r="G30" i="8"/>
  <c r="E5" i="7"/>
  <c r="I1027" i="3"/>
  <c r="EW635" i="3"/>
  <c r="EH635" i="3"/>
  <c r="EC635" i="3"/>
  <c r="DX635" i="3"/>
  <c r="EM635" i="3"/>
  <c r="BS635" i="3"/>
  <c r="EC645" i="3"/>
  <c r="BN635" i="3"/>
  <c r="DX662" i="3"/>
  <c r="BX635" i="3"/>
  <c r="EH655" i="3"/>
  <c r="CH635" i="3"/>
  <c r="ER653" i="3"/>
  <c r="CM635" i="3"/>
  <c r="EW646" i="3"/>
  <c r="CC635" i="3"/>
  <c r="EM645" i="3"/>
  <c r="AG444" i="3"/>
  <c r="Y27" i="15"/>
  <c r="BG243" i="3"/>
  <c r="BO245" i="3"/>
  <c r="T266" i="3"/>
  <c r="AI11" i="15"/>
  <c r="AI23" i="15"/>
  <c r="AI26" i="15"/>
  <c r="R973" i="3"/>
  <c r="R970" i="3"/>
  <c r="S97" i="4"/>
  <c r="E63" i="13"/>
  <c r="R63" i="4"/>
  <c r="R97" i="4"/>
  <c r="R105" i="4"/>
  <c r="D97" i="11"/>
  <c r="B63" i="4"/>
  <c r="B63" i="13"/>
  <c r="B64" i="11"/>
  <c r="B98" i="11"/>
  <c r="B106" i="11"/>
  <c r="D106" i="11"/>
  <c r="C105" i="4"/>
  <c r="B97" i="13"/>
  <c r="B97" i="4"/>
  <c r="O23" i="27"/>
  <c r="P23" i="27" a="1"/>
  <c r="P23" i="27"/>
  <c r="R23" i="27"/>
  <c r="O22" i="27"/>
  <c r="P22" i="27" a="1"/>
  <c r="P22" i="27"/>
  <c r="R22" i="27"/>
  <c r="O27" i="27"/>
  <c r="P27" i="27" a="1"/>
  <c r="P27" i="27"/>
  <c r="R27" i="27"/>
  <c r="BH714" i="3"/>
  <c r="BI714" i="3"/>
  <c r="O28" i="27"/>
  <c r="P28" i="27" a="1"/>
  <c r="P28" i="27"/>
  <c r="R28" i="27"/>
  <c r="O25" i="27"/>
  <c r="P25" i="27" a="1"/>
  <c r="P25" i="27"/>
  <c r="R25" i="27"/>
  <c r="O20" i="27"/>
  <c r="P20" i="27" a="1"/>
  <c r="P20" i="27"/>
  <c r="R20" i="27"/>
  <c r="O30" i="27"/>
  <c r="P30" i="27" a="1"/>
  <c r="P30" i="27"/>
  <c r="R30" i="27"/>
  <c r="BH717" i="3"/>
  <c r="BI717" i="3"/>
  <c r="O24" i="27"/>
  <c r="P24" i="27" a="1"/>
  <c r="P24" i="27"/>
  <c r="R24" i="27"/>
  <c r="O29" i="27"/>
  <c r="P29" i="27" a="1"/>
  <c r="P29" i="27"/>
  <c r="R29" i="27"/>
  <c r="BH723" i="3"/>
  <c r="BI723" i="3"/>
  <c r="Z816" i="3"/>
  <c r="M944" i="3"/>
  <c r="M945" i="3"/>
  <c r="G45" i="27"/>
  <c r="G47" i="27"/>
  <c r="G49" i="27"/>
  <c r="E11" i="27"/>
  <c r="F25" i="27"/>
  <c r="F26" i="27"/>
  <c r="G26" i="27"/>
  <c r="G54" i="27"/>
  <c r="G56" i="27"/>
  <c r="G58" i="27"/>
  <c r="E12" i="27"/>
  <c r="G22" i="27"/>
  <c r="G79" i="27"/>
  <c r="AK180" i="26"/>
  <c r="T796" i="26"/>
  <c r="AF796" i="26"/>
  <c r="T790" i="26"/>
  <c r="AF790" i="26"/>
  <c r="G14" i="7"/>
  <c r="E21" i="7"/>
  <c r="E34" i="7"/>
  <c r="K15" i="7"/>
  <c r="G9" i="7"/>
  <c r="I8" i="7"/>
  <c r="CS644" i="3"/>
  <c r="CS645" i="3"/>
  <c r="BH721" i="3"/>
  <c r="BI721" i="3"/>
  <c r="BH718" i="3"/>
  <c r="BI718" i="3"/>
  <c r="BH720" i="3"/>
  <c r="BI720" i="3"/>
  <c r="BH719" i="3"/>
  <c r="BI719" i="3"/>
  <c r="BH725" i="3"/>
  <c r="BI725" i="3"/>
  <c r="BH704" i="3"/>
  <c r="BI704" i="3"/>
  <c r="BH707" i="3"/>
  <c r="BI707" i="3"/>
  <c r="BH713" i="3"/>
  <c r="BI713" i="3"/>
  <c r="BH705" i="3"/>
  <c r="BI705" i="3"/>
  <c r="BH709" i="3"/>
  <c r="BI709" i="3"/>
  <c r="BH691" i="3"/>
  <c r="BI691" i="3"/>
  <c r="BH727" i="3"/>
  <c r="BI727" i="3"/>
  <c r="BH672" i="3"/>
  <c r="BI672" i="3"/>
  <c r="BH722" i="3"/>
  <c r="BI722" i="3"/>
  <c r="BH693" i="3"/>
  <c r="BI693" i="3"/>
  <c r="EC649" i="3"/>
  <c r="BH706" i="3"/>
  <c r="BI706" i="3"/>
  <c r="BH683" i="3"/>
  <c r="BI683" i="3"/>
  <c r="BN663" i="3"/>
  <c r="AB969" i="3"/>
  <c r="AJ969" i="3"/>
  <c r="BH711" i="3"/>
  <c r="BI711" i="3"/>
  <c r="BH690" i="3"/>
  <c r="BI690" i="3"/>
  <c r="BH724" i="3"/>
  <c r="BI724" i="3"/>
  <c r="BH716" i="3"/>
  <c r="BI716" i="3"/>
  <c r="BH708" i="3"/>
  <c r="BI708" i="3"/>
  <c r="EC644" i="3"/>
  <c r="BH710" i="3"/>
  <c r="BI710" i="3"/>
  <c r="BH712" i="3"/>
  <c r="BI712" i="3"/>
  <c r="E6" i="7"/>
  <c r="G6" i="7"/>
  <c r="BH726" i="3"/>
  <c r="BI726" i="3"/>
  <c r="BH684" i="3"/>
  <c r="BI684" i="3"/>
  <c r="BH680" i="3"/>
  <c r="BI680" i="3"/>
  <c r="BH687" i="3"/>
  <c r="BI687" i="3"/>
  <c r="BH715" i="3"/>
  <c r="BI715" i="3"/>
  <c r="BH674" i="3"/>
  <c r="BI674" i="3"/>
  <c r="BH694" i="3"/>
  <c r="BI694" i="3"/>
  <c r="BH678" i="3"/>
  <c r="BI678" i="3"/>
  <c r="BH677" i="3"/>
  <c r="BI677" i="3"/>
  <c r="BH675" i="3"/>
  <c r="BI675" i="3"/>
  <c r="BH671" i="3"/>
  <c r="BH682" i="3"/>
  <c r="BI682" i="3"/>
  <c r="BH695" i="3"/>
  <c r="BI695" i="3"/>
  <c r="BH689" i="3"/>
  <c r="BI689" i="3"/>
  <c r="BH686" i="3"/>
  <c r="BI686" i="3"/>
  <c r="BH676" i="3"/>
  <c r="BI676" i="3"/>
  <c r="BH681" i="3"/>
  <c r="BI681" i="3"/>
  <c r="BH685" i="3"/>
  <c r="BI685" i="3"/>
  <c r="BH673" i="3"/>
  <c r="BI673" i="3"/>
  <c r="BH688" i="3"/>
  <c r="BI688" i="3"/>
  <c r="BH679" i="3"/>
  <c r="BI679" i="3"/>
  <c r="EH642" i="3"/>
  <c r="EC642" i="3"/>
  <c r="EC650" i="3"/>
  <c r="DX643" i="3"/>
  <c r="EC655" i="3"/>
  <c r="EC661" i="3"/>
  <c r="BS663" i="3"/>
  <c r="AB970" i="3"/>
  <c r="AJ970" i="3"/>
  <c r="DX638" i="3"/>
  <c r="EC656" i="3"/>
  <c r="EC662" i="3"/>
  <c r="EC653" i="3"/>
  <c r="EC647" i="3"/>
  <c r="DX653" i="3"/>
  <c r="DX656" i="3"/>
  <c r="DX640" i="3"/>
  <c r="EC639" i="3"/>
  <c r="EC648" i="3"/>
  <c r="DX658" i="3"/>
  <c r="DX652" i="3"/>
  <c r="EC640" i="3"/>
  <c r="EC660" i="3"/>
  <c r="EC646" i="3"/>
  <c r="DX650" i="3"/>
  <c r="BR637" i="3"/>
  <c r="EC651" i="3"/>
  <c r="EC659" i="3"/>
  <c r="EC638" i="3"/>
  <c r="DX646" i="3"/>
  <c r="EC652" i="3"/>
  <c r="EC654" i="3"/>
  <c r="DX647" i="3"/>
  <c r="DX657" i="3"/>
  <c r="DX642" i="3"/>
  <c r="EC658" i="3"/>
  <c r="BW637" i="3"/>
  <c r="DX639" i="3"/>
  <c r="DX648" i="3"/>
  <c r="DX654" i="3"/>
  <c r="EC643" i="3"/>
  <c r="EC657" i="3"/>
  <c r="DX644" i="3"/>
  <c r="I4" i="7"/>
  <c r="G5" i="7"/>
  <c r="EH643" i="3"/>
  <c r="EH644" i="3"/>
  <c r="EH656" i="3"/>
  <c r="EH654" i="3"/>
  <c r="BX663" i="3"/>
  <c r="AB971" i="3"/>
  <c r="AJ971" i="3"/>
  <c r="EH652" i="3"/>
  <c r="EH660" i="3"/>
  <c r="DX651" i="3"/>
  <c r="DX641" i="3"/>
  <c r="EH641" i="3"/>
  <c r="DX660" i="3"/>
  <c r="DX649" i="3"/>
  <c r="EH638" i="3"/>
  <c r="DX645" i="3"/>
  <c r="CB637" i="3"/>
  <c r="DX661" i="3"/>
  <c r="DX655" i="3"/>
  <c r="EH659" i="3"/>
  <c r="EC641" i="3"/>
  <c r="DX659" i="3"/>
  <c r="EH648" i="3"/>
  <c r="ER642" i="3"/>
  <c r="ER647" i="3"/>
  <c r="ER640" i="3"/>
  <c r="ER643" i="3"/>
  <c r="CL637" i="3"/>
  <c r="EM658" i="3"/>
  <c r="EM643" i="3"/>
  <c r="EM651" i="3"/>
  <c r="EW662" i="3"/>
  <c r="EW654" i="3"/>
  <c r="EW643" i="3"/>
  <c r="EW648" i="3"/>
  <c r="EW656" i="3"/>
  <c r="EW650" i="3"/>
  <c r="ER648" i="3"/>
  <c r="EW638" i="3"/>
  <c r="EW658" i="3"/>
  <c r="EW644" i="3"/>
  <c r="EW645" i="3"/>
  <c r="EH649" i="3"/>
  <c r="EH645" i="3"/>
  <c r="ER657" i="3"/>
  <c r="EW660" i="3"/>
  <c r="EW651" i="3"/>
  <c r="CM663" i="3"/>
  <c r="EH646" i="3"/>
  <c r="EH662" i="3"/>
  <c r="ER651" i="3"/>
  <c r="EW639" i="3"/>
  <c r="EW657" i="3"/>
  <c r="EW641" i="3"/>
  <c r="EH647" i="3"/>
  <c r="EH661" i="3"/>
  <c r="EH653" i="3"/>
  <c r="ER641" i="3"/>
  <c r="EW649" i="3"/>
  <c r="EW642" i="3"/>
  <c r="CQ637" i="3"/>
  <c r="EH650" i="3"/>
  <c r="EH651" i="3"/>
  <c r="EH639" i="3"/>
  <c r="ER658" i="3"/>
  <c r="EW655" i="3"/>
  <c r="EW640" i="3"/>
  <c r="EW647" i="3"/>
  <c r="EM654" i="3"/>
  <c r="EW659" i="3"/>
  <c r="EW653" i="3"/>
  <c r="EH640" i="3"/>
  <c r="EH657" i="3"/>
  <c r="ER639" i="3"/>
  <c r="CH663" i="3"/>
  <c r="EW652" i="3"/>
  <c r="EM661" i="3"/>
  <c r="EW661" i="3"/>
  <c r="EH658" i="3"/>
  <c r="ER646" i="3"/>
  <c r="EM642" i="3"/>
  <c r="ER654" i="3"/>
  <c r="ER652" i="3"/>
  <c r="EM660" i="3"/>
  <c r="ER645" i="3"/>
  <c r="ER638" i="3"/>
  <c r="EM662" i="3"/>
  <c r="ER662" i="3"/>
  <c r="ER661" i="3"/>
  <c r="EM655" i="3"/>
  <c r="ER649" i="3"/>
  <c r="ER644" i="3"/>
  <c r="ER656" i="3"/>
  <c r="EM650" i="3"/>
  <c r="ER659" i="3"/>
  <c r="ER655" i="3"/>
  <c r="ER660" i="3"/>
  <c r="EM649" i="3"/>
  <c r="ER650" i="3"/>
  <c r="EM644" i="3"/>
  <c r="CG637" i="3"/>
  <c r="EM647" i="3"/>
  <c r="EM646" i="3"/>
  <c r="EM648" i="3"/>
  <c r="CC663" i="3"/>
  <c r="AB972" i="3"/>
  <c r="AJ972" i="3"/>
  <c r="EM656" i="3"/>
  <c r="CM636" i="3"/>
  <c r="EM640" i="3"/>
  <c r="EM657" i="3"/>
  <c r="EM638" i="3"/>
  <c r="EM641" i="3"/>
  <c r="EM639" i="3"/>
  <c r="EM652" i="3"/>
  <c r="EM659" i="3"/>
  <c r="EM653" i="3"/>
  <c r="T27" i="15"/>
  <c r="AI27" i="15"/>
  <c r="AI28" i="15"/>
  <c r="AD27" i="15"/>
  <c r="AD28" i="15"/>
  <c r="S105" i="4"/>
  <c r="E97" i="13"/>
  <c r="D98" i="11"/>
  <c r="D64" i="11"/>
  <c r="AG258" i="26"/>
  <c r="B105" i="4"/>
  <c r="AC454" i="3"/>
  <c r="B105" i="13"/>
  <c r="G38" i="27"/>
  <c r="G40" i="27"/>
  <c r="E10" i="27"/>
  <c r="E7" i="7"/>
  <c r="E10" i="7"/>
  <c r="G25" i="27"/>
  <c r="F24" i="27"/>
  <c r="E36" i="7"/>
  <c r="E44" i="7"/>
  <c r="I14" i="7"/>
  <c r="G21" i="7"/>
  <c r="G34" i="7"/>
  <c r="M15" i="7"/>
  <c r="I9" i="7"/>
  <c r="K8" i="7"/>
  <c r="BH728" i="3"/>
  <c r="BH696" i="3"/>
  <c r="DX663" i="3"/>
  <c r="E124" i="26"/>
  <c r="E127" i="26"/>
  <c r="E130" i="26"/>
  <c r="EC663" i="3"/>
  <c r="J124" i="26"/>
  <c r="J127" i="26"/>
  <c r="J130" i="26"/>
  <c r="I5" i="7"/>
  <c r="K4" i="7"/>
  <c r="CS637" i="3"/>
  <c r="P420" i="3"/>
  <c r="I6" i="7"/>
  <c r="G7" i="7"/>
  <c r="G10" i="7"/>
  <c r="EH663" i="3"/>
  <c r="O124" i="26"/>
  <c r="O127" i="26"/>
  <c r="O130" i="26"/>
  <c r="EM663" i="3"/>
  <c r="T124" i="26"/>
  <c r="T127" i="26"/>
  <c r="T130" i="26"/>
  <c r="EW663" i="3"/>
  <c r="AD124" i="26"/>
  <c r="AD127" i="26"/>
  <c r="AD130" i="26"/>
  <c r="ER663" i="3"/>
  <c r="Y124" i="26"/>
  <c r="Y127" i="26"/>
  <c r="Y130" i="26"/>
  <c r="AB973" i="3"/>
  <c r="AJ973" i="3"/>
  <c r="AJ975" i="3"/>
  <c r="AP539" i="26"/>
  <c r="S107" i="4"/>
  <c r="E105" i="13"/>
  <c r="AC453" i="3"/>
  <c r="AB47" i="15"/>
  <c r="AB49" i="15"/>
  <c r="N154" i="25"/>
  <c r="AB255" i="26"/>
  <c r="AG257" i="26"/>
  <c r="AG259" i="26"/>
  <c r="AK262" i="26"/>
  <c r="T797" i="26"/>
  <c r="AF797" i="26"/>
  <c r="E132" i="26"/>
  <c r="E133" i="26"/>
  <c r="AK137" i="26"/>
  <c r="T792" i="26"/>
  <c r="AF792" i="26"/>
  <c r="AJ1008" i="3"/>
  <c r="AJ1011" i="3"/>
  <c r="AJ977" i="3"/>
  <c r="I13" i="27"/>
  <c r="G24" i="27"/>
  <c r="G27" i="27"/>
  <c r="F27" i="27"/>
  <c r="K14" i="7"/>
  <c r="I21" i="7"/>
  <c r="I34" i="7"/>
  <c r="E48" i="7"/>
  <c r="G36" i="7"/>
  <c r="G48" i="7"/>
  <c r="O15" i="7"/>
  <c r="M8" i="7"/>
  <c r="K9" i="7"/>
  <c r="O756" i="3"/>
  <c r="CS663" i="3"/>
  <c r="U362" i="26"/>
  <c r="AB974" i="3"/>
  <c r="E47" i="7"/>
  <c r="E59" i="7"/>
  <c r="E46" i="7"/>
  <c r="I7" i="7"/>
  <c r="I10" i="7"/>
  <c r="K6" i="7"/>
  <c r="M4" i="7"/>
  <c r="K5" i="7"/>
  <c r="B1039" i="3"/>
  <c r="AF540" i="26"/>
  <c r="AC455" i="3"/>
  <c r="E107" i="13"/>
  <c r="AJ1015" i="3"/>
  <c r="I14" i="27"/>
  <c r="AZ846" i="3"/>
  <c r="AZ854" i="3"/>
  <c r="AZ849" i="3"/>
  <c r="G95" i="27"/>
  <c r="G96" i="27"/>
  <c r="G29" i="27"/>
  <c r="G31" i="27"/>
  <c r="E9" i="27"/>
  <c r="G104" i="27"/>
  <c r="G106" i="27"/>
  <c r="G64" i="27"/>
  <c r="G44" i="7"/>
  <c r="G46" i="7"/>
  <c r="M14" i="7"/>
  <c r="K21" i="7"/>
  <c r="K34" i="7"/>
  <c r="I36" i="7"/>
  <c r="I44" i="7"/>
  <c r="Q15" i="7"/>
  <c r="O8" i="7"/>
  <c r="M9" i="7"/>
  <c r="O4" i="7"/>
  <c r="M5" i="7"/>
  <c r="K7" i="7"/>
  <c r="K10" i="7"/>
  <c r="M6" i="7"/>
  <c r="E61" i="7"/>
  <c r="E66" i="7"/>
  <c r="E65" i="7"/>
  <c r="T11" i="15"/>
  <c r="T23" i="15"/>
  <c r="T26" i="15"/>
  <c r="T28" i="15"/>
  <c r="Y11" i="15"/>
  <c r="Y23" i="15"/>
  <c r="Y26" i="15"/>
  <c r="Y28" i="15"/>
  <c r="Y64" i="15"/>
  <c r="Y68" i="15"/>
  <c r="G69" i="27"/>
  <c r="G65" i="27"/>
  <c r="G81" i="27"/>
  <c r="E14" i="27"/>
  <c r="E15" i="27"/>
  <c r="K36" i="7"/>
  <c r="K44" i="7"/>
  <c r="I48" i="7"/>
  <c r="G47" i="7"/>
  <c r="G59" i="7"/>
  <c r="G61" i="7"/>
  <c r="O14" i="7"/>
  <c r="M21" i="7"/>
  <c r="M34" i="7"/>
  <c r="S15" i="7"/>
  <c r="O9" i="7"/>
  <c r="Q8" i="7"/>
  <c r="E69" i="7"/>
  <c r="E71" i="7"/>
  <c r="O6" i="7"/>
  <c r="M7" i="7"/>
  <c r="M10" i="7"/>
  <c r="Q4" i="7"/>
  <c r="O5" i="7"/>
  <c r="I59" i="7"/>
  <c r="I47" i="7"/>
  <c r="I46" i="7"/>
  <c r="G83" i="27"/>
  <c r="E13" i="27"/>
  <c r="E16" i="27"/>
  <c r="H3" i="27"/>
  <c r="T29" i="15"/>
  <c r="G65" i="7"/>
  <c r="G66" i="7"/>
  <c r="M36" i="7"/>
  <c r="M48" i="7"/>
  <c r="K48" i="7"/>
  <c r="Q14" i="7"/>
  <c r="O21" i="7"/>
  <c r="O34" i="7"/>
  <c r="U15" i="7"/>
  <c r="S8" i="7"/>
  <c r="Q9" i="7"/>
  <c r="Q5" i="7"/>
  <c r="S4" i="7"/>
  <c r="I61" i="7"/>
  <c r="I66" i="7"/>
  <c r="I65" i="7"/>
  <c r="K59" i="7"/>
  <c r="K46" i="7"/>
  <c r="K47" i="7"/>
  <c r="Q6" i="7"/>
  <c r="O7" i="7"/>
  <c r="O10" i="7"/>
  <c r="G69" i="7"/>
  <c r="G71" i="7"/>
  <c r="M44" i="7"/>
  <c r="M47" i="7"/>
  <c r="O36" i="7"/>
  <c r="O48" i="7"/>
  <c r="S14" i="7"/>
  <c r="Q21" i="7"/>
  <c r="Q34" i="7"/>
  <c r="W15" i="7"/>
  <c r="U8" i="7"/>
  <c r="S9" i="7"/>
  <c r="I69" i="7"/>
  <c r="I71" i="7"/>
  <c r="K65" i="7"/>
  <c r="K66" i="7"/>
  <c r="K61" i="7"/>
  <c r="S5" i="7"/>
  <c r="U4" i="7"/>
  <c r="Q7" i="7"/>
  <c r="Q10" i="7"/>
  <c r="S6" i="7"/>
  <c r="M59" i="7"/>
  <c r="M61" i="7"/>
  <c r="M46" i="7"/>
  <c r="O44" i="7"/>
  <c r="O46" i="7"/>
  <c r="Q36" i="7"/>
  <c r="Q44" i="7"/>
  <c r="U14" i="7"/>
  <c r="S21" i="7"/>
  <c r="S34" i="7"/>
  <c r="Y15" i="7"/>
  <c r="W8" i="7"/>
  <c r="U9" i="7"/>
  <c r="K69" i="7"/>
  <c r="K71" i="7"/>
  <c r="W4" i="7"/>
  <c r="U5" i="7"/>
  <c r="U6" i="7"/>
  <c r="S7" i="7"/>
  <c r="S10" i="7"/>
  <c r="M66" i="7"/>
  <c r="M65" i="7"/>
  <c r="W14" i="7"/>
  <c r="U21" i="7"/>
  <c r="U34" i="7"/>
  <c r="O47" i="7"/>
  <c r="Q48" i="7"/>
  <c r="O59" i="7"/>
  <c r="O65" i="7"/>
  <c r="S36" i="7"/>
  <c r="S48" i="7"/>
  <c r="AA15" i="7"/>
  <c r="Y8" i="7"/>
  <c r="W9" i="7"/>
  <c r="Y4" i="7"/>
  <c r="W5" i="7"/>
  <c r="W6" i="7"/>
  <c r="U7" i="7"/>
  <c r="U10" i="7"/>
  <c r="Q46" i="7"/>
  <c r="Q59" i="7"/>
  <c r="Q47" i="7"/>
  <c r="M69" i="7"/>
  <c r="M71" i="7"/>
  <c r="S44" i="7"/>
  <c r="S46" i="7"/>
  <c r="O61" i="7"/>
  <c r="O66" i="7"/>
  <c r="O69" i="7"/>
  <c r="Y14" i="7"/>
  <c r="W21" i="7"/>
  <c r="W34" i="7"/>
  <c r="U36" i="7"/>
  <c r="U44" i="7"/>
  <c r="AC15" i="7"/>
  <c r="AA8" i="7"/>
  <c r="Y9" i="7"/>
  <c r="Y5" i="7"/>
  <c r="AA4" i="7"/>
  <c r="Q66" i="7"/>
  <c r="Q65" i="7"/>
  <c r="Q61" i="7"/>
  <c r="W7" i="7"/>
  <c r="W10" i="7"/>
  <c r="Y6" i="7"/>
  <c r="U48" i="7"/>
  <c r="O71" i="7"/>
  <c r="S59" i="7"/>
  <c r="S65" i="7"/>
  <c r="S47" i="7"/>
  <c r="W36" i="7"/>
  <c r="W48" i="7"/>
  <c r="AA14" i="7"/>
  <c r="Y21" i="7"/>
  <c r="Y34" i="7"/>
  <c r="AE15" i="7"/>
  <c r="AA9" i="7"/>
  <c r="AC8" i="7"/>
  <c r="Q69" i="7"/>
  <c r="Q71" i="7"/>
  <c r="Y7" i="7"/>
  <c r="Y10" i="7"/>
  <c r="AA6" i="7"/>
  <c r="AC4" i="7"/>
  <c r="AA5" i="7"/>
  <c r="U46" i="7"/>
  <c r="U47" i="7"/>
  <c r="U59" i="7"/>
  <c r="Y36" i="7"/>
  <c r="Y44" i="7"/>
  <c r="S61" i="7"/>
  <c r="S66" i="7"/>
  <c r="S69" i="7"/>
  <c r="W44" i="7"/>
  <c r="W47" i="7"/>
  <c r="AC14" i="7"/>
  <c r="AA21" i="7"/>
  <c r="AA34" i="7"/>
  <c r="AG15" i="7"/>
  <c r="AC9" i="7"/>
  <c r="AE8" i="7"/>
  <c r="AE4" i="7"/>
  <c r="AC5" i="7"/>
  <c r="AA7" i="7"/>
  <c r="AA10" i="7"/>
  <c r="AC6" i="7"/>
  <c r="U61" i="7"/>
  <c r="U66" i="7"/>
  <c r="U65" i="7"/>
  <c r="Y48" i="7"/>
  <c r="W46" i="7"/>
  <c r="W59" i="7"/>
  <c r="W66" i="7"/>
  <c r="S71" i="7"/>
  <c r="AE14" i="7"/>
  <c r="AC21" i="7"/>
  <c r="AC34" i="7"/>
  <c r="AA36" i="7"/>
  <c r="AA44" i="7"/>
  <c r="AE9" i="7"/>
  <c r="AG8" i="7"/>
  <c r="AG9" i="7"/>
  <c r="U69" i="7"/>
  <c r="U71" i="7"/>
  <c r="AC7" i="7"/>
  <c r="AC10" i="7"/>
  <c r="AE6" i="7"/>
  <c r="AE5" i="7"/>
  <c r="AG4" i="7"/>
  <c r="AG5" i="7"/>
  <c r="Y46" i="7"/>
  <c r="Y47" i="7"/>
  <c r="Y59" i="7"/>
  <c r="AC36" i="7"/>
  <c r="AC48" i="7"/>
  <c r="AA48" i="7"/>
  <c r="W65" i="7"/>
  <c r="W69" i="7"/>
  <c r="W61" i="7"/>
  <c r="AG14" i="7"/>
  <c r="AG21" i="7"/>
  <c r="AG34" i="7"/>
  <c r="AE21" i="7"/>
  <c r="AE34" i="7"/>
  <c r="AE7" i="7"/>
  <c r="AE10" i="7"/>
  <c r="AG6" i="7"/>
  <c r="AG7" i="7"/>
  <c r="Y66" i="7"/>
  <c r="Y65" i="7"/>
  <c r="Y69" i="7"/>
  <c r="Y61" i="7"/>
  <c r="AA46" i="7"/>
  <c r="AA47" i="7"/>
  <c r="AA59" i="7"/>
  <c r="AC44" i="7"/>
  <c r="AC59" i="7"/>
  <c r="W71" i="7"/>
  <c r="AE36" i="7"/>
  <c r="AE48" i="7"/>
  <c r="AA61" i="7"/>
  <c r="AA66" i="7"/>
  <c r="AA65" i="7"/>
  <c r="Y71" i="7"/>
  <c r="AG10" i="7"/>
  <c r="AG36" i="7"/>
  <c r="AC47" i="7"/>
  <c r="AC46" i="7"/>
  <c r="AE44" i="7"/>
  <c r="AE47" i="7"/>
  <c r="AA69" i="7"/>
  <c r="AA71" i="7"/>
  <c r="AG44" i="7"/>
  <c r="AG48" i="7"/>
  <c r="AC61" i="7"/>
  <c r="AC65" i="7"/>
  <c r="AC66" i="7"/>
  <c r="AE46" i="7"/>
  <c r="AE59" i="7"/>
  <c r="AE65" i="7"/>
  <c r="AC69" i="7"/>
  <c r="AC71" i="7"/>
  <c r="AG46" i="7"/>
  <c r="AG47" i="7"/>
  <c r="AG59" i="7"/>
  <c r="AE61" i="7"/>
  <c r="AE66" i="7"/>
  <c r="AE69" i="7"/>
  <c r="AG66" i="7"/>
  <c r="AG65" i="7"/>
  <c r="AG61" i="7"/>
  <c r="AE71" i="7"/>
  <c r="AG69" i="7"/>
  <c r="AG71" i="7"/>
  <c r="BI671" i="3"/>
  <c r="BI696" i="3"/>
  <c r="AC753" i="3"/>
  <c r="P24" i="25" a="1"/>
  <c r="P24" i="25"/>
  <c r="P25" i="25" a="1"/>
  <c r="P25" i="25"/>
  <c r="P20" i="25" a="1"/>
  <c r="P20" i="25"/>
  <c r="P23" i="25" a="1"/>
  <c r="P23" i="25"/>
  <c r="P27" i="25" a="1"/>
  <c r="P27" i="25"/>
  <c r="P21" i="25" a="1"/>
  <c r="P21" i="25"/>
  <c r="P26" i="25" a="1"/>
  <c r="P26" i="25"/>
  <c r="P22" i="25" a="1"/>
  <c r="P22" i="25"/>
  <c r="BI610" i="3"/>
  <c r="BK610" i="3"/>
  <c r="BK635" i="3"/>
  <c r="X1031" i="3"/>
  <c r="BE610" i="3"/>
  <c r="BG610" i="3"/>
  <c r="BG635" i="3"/>
  <c r="X1027" i="3"/>
  <c r="AH19" i="25" a="1"/>
  <c r="AH19" i="25"/>
  <c r="DM610" i="3"/>
  <c r="DM635" i="3"/>
  <c r="AB19" i="25" a="1"/>
  <c r="AB19" i="25"/>
  <c r="DR610" i="3"/>
  <c r="DR635" i="3"/>
  <c r="AN19" i="25" a="1"/>
  <c r="AN19" i="25"/>
  <c r="CX610" i="3"/>
  <c r="CX635" i="3"/>
  <c r="DC610" i="3"/>
  <c r="DC635" i="3"/>
  <c r="V19" i="25" a="1"/>
  <c r="V19" i="25"/>
  <c r="P19" i="25" a="1"/>
  <c r="P19" i="25"/>
  <c r="CS610" i="3"/>
  <c r="CS635" i="3"/>
  <c r="DH610" i="3"/>
  <c r="DH635" i="3"/>
  <c r="AB22" i="25" a="1"/>
  <c r="AB22" i="25"/>
  <c r="AN24" i="25" a="1"/>
  <c r="AN24" i="25"/>
  <c r="V27" i="25" a="1"/>
  <c r="V27" i="25"/>
  <c r="AB20" i="25" a="1"/>
  <c r="AB20" i="25"/>
  <c r="AN22" i="25" a="1"/>
  <c r="AN22" i="25"/>
  <c r="V25" i="25" a="1"/>
  <c r="V25" i="25"/>
  <c r="AH27" i="25" a="1"/>
  <c r="AH27" i="25"/>
  <c r="AH20" i="25" a="1"/>
  <c r="AH20" i="25"/>
  <c r="AB25" i="25" a="1"/>
  <c r="AB25" i="25"/>
  <c r="AN27" i="25" a="1"/>
  <c r="AN27" i="25"/>
  <c r="V20" i="25" a="1"/>
  <c r="V20" i="25"/>
  <c r="AN20" i="25" a="1"/>
  <c r="AN20" i="25"/>
  <c r="V23" i="25" a="1"/>
  <c r="V23" i="25"/>
  <c r="AH25" i="25" a="1"/>
  <c r="AH25" i="25"/>
  <c r="AB23" i="25" a="1"/>
  <c r="AB23" i="25"/>
  <c r="AN25" i="25" a="1"/>
  <c r="AN25" i="25"/>
  <c r="V21" i="25" a="1"/>
  <c r="V21" i="25"/>
  <c r="AH23" i="25" a="1"/>
  <c r="AH23" i="25"/>
  <c r="AB21" i="25" a="1"/>
  <c r="AB21" i="25"/>
  <c r="AN23" i="25" a="1"/>
  <c r="AN23" i="25"/>
  <c r="V26" i="25" a="1"/>
  <c r="V26" i="25"/>
  <c r="AH22" i="25" a="1"/>
  <c r="AH22" i="25"/>
  <c r="AH21" i="25" a="1"/>
  <c r="AH21" i="25"/>
  <c r="AB26" i="25" a="1"/>
  <c r="AB26" i="25"/>
  <c r="AN21" i="25" a="1"/>
  <c r="AN21" i="25"/>
  <c r="V24" i="25" a="1"/>
  <c r="V24" i="25"/>
  <c r="AH26" i="25" a="1"/>
  <c r="AH26" i="25"/>
  <c r="AB24" i="25" a="1"/>
  <c r="AB24" i="25"/>
  <c r="AN26" i="25" a="1"/>
  <c r="AN26" i="25"/>
  <c r="AB27" i="25" a="1"/>
  <c r="AB27" i="25"/>
  <c r="V22" i="25" a="1"/>
  <c r="V22" i="25"/>
  <c r="AH728" i="3"/>
  <c r="BI703" i="3"/>
  <c r="BI728" i="3"/>
  <c r="AH753" i="3"/>
  <c r="AH24" i="25" a="1"/>
  <c r="AH24" i="25"/>
  <c r="E97" i="26"/>
  <c r="E100" i="26"/>
  <c r="AP100" i="26"/>
  <c r="AK103" i="26"/>
  <c r="T791" i="26"/>
  <c r="AF791" i="26"/>
  <c r="E87" i="26"/>
  <c r="E88" i="26"/>
  <c r="E89" i="26"/>
  <c r="J26" i="25"/>
  <c r="AN29" i="25"/>
  <c r="J24" i="25"/>
  <c r="AH29" i="25"/>
  <c r="P29" i="25"/>
  <c r="J19" i="25"/>
  <c r="V29" i="25"/>
  <c r="J21" i="25"/>
  <c r="J27" i="25"/>
  <c r="J23" i="25"/>
  <c r="J22" i="25"/>
  <c r="AB29" i="25"/>
  <c r="J20" i="25"/>
  <c r="J25" i="25"/>
  <c r="BA989" i="3"/>
  <c r="AJ1024" i="3"/>
  <c r="AP541" i="26"/>
  <c r="AG1024" i="3"/>
  <c r="AG1028" i="3"/>
  <c r="BA990" i="3"/>
  <c r="AJ1028" i="3"/>
  <c r="AP542" i="26"/>
  <c r="AP543" i="26"/>
  <c r="AJ1032" i="3"/>
  <c r="AP546" i="26"/>
  <c r="AP545" i="26"/>
  <c r="J29" i="25"/>
  <c r="AP548" i="26"/>
  <c r="AF541" i="26"/>
  <c r="AF542" i="26"/>
  <c r="AK548" i="26"/>
  <c r="T803" i="26"/>
  <c r="AF803" i="26"/>
  <c r="AF806" i="26"/>
  <c r="AT28" i="25"/>
  <c r="AU47" i="25"/>
  <c r="AU41" i="25"/>
  <c r="AU44" i="25"/>
  <c r="AU46" i="25"/>
  <c r="AU36" i="25"/>
  <c r="AT29" i="25"/>
  <c r="AU42" i="25"/>
  <c r="AU43" i="25"/>
  <c r="AU45" i="25"/>
  <c r="AU39" i="25"/>
  <c r="AU38" i="25"/>
  <c r="AU40" i="25"/>
  <c r="AU37" i="25"/>
  <c r="N155" i="25"/>
  <c r="N165" i="25"/>
  <c r="AT24" i="25"/>
  <c r="AT26" i="25"/>
  <c r="AT21" i="25"/>
  <c r="AT19" i="25"/>
  <c r="AT27" i="25"/>
  <c r="AT23" i="25"/>
  <c r="AT22" i="25"/>
  <c r="AT20" i="25"/>
  <c r="AT25" i="25"/>
  <c r="T24" i="15"/>
  <c r="AD38" i="15"/>
  <c r="AD40" i="15"/>
  <c r="Y38" i="15"/>
  <c r="Y40" i="15"/>
  <c r="Y41" i="15"/>
  <c r="AB50" i="15"/>
  <c r="AB54" i="15"/>
  <c r="AB55" i="15"/>
  <c r="AB56" i="15"/>
  <c r="AB57" i="15"/>
  <c r="AB59" i="15"/>
  <c r="AB76" i="15"/>
  <c r="AB77" i="15"/>
  <c r="I10" i="27"/>
  <c r="I11" i="27"/>
  <c r="I16" i="27"/>
  <c r="H4" i="27"/>
  <c r="H5" i="27"/>
  <c r="M26" i="3"/>
  <c r="P203" i="3"/>
  <c r="AB78" i="15"/>
  <c r="AB80" i="15"/>
  <c r="J81" i="15"/>
  <c r="M27" i="3"/>
  <c r="P20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3C0BD33E-162A-4293-82E6-519608350A1B}">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36310353-82BD-4014-B5D7-0CE5CAC1ED0C}">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565E39E4-14E6-4DD7-A022-548B6BC9E7B3}">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E75B4E4A-6558-433A-900F-2374A69FF944}">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<sst xmlns="http://schemas.openxmlformats.org/spreadsheetml/2006/main" count="5268" uniqueCount="2762">
  <si>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</si>
  <si>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</si>
  <si>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</si>
  <si>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</si>
  <si>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</si>
  <si>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</si>
  <si>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</si>
  <si>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</si>
  <si>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</si>
  <si>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</si>
  <si>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</si>
  <si>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</si>
  <si>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</si>
  <si>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</si>
  <si>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</si>
  <si>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</si>
  <si>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</si>
  <si>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</si>
  <si>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</si>
  <si>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</si>
  <si>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</si>
  <si>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</si>
  <si>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</si>
  <si>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</si>
  <si>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</si>
  <si>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</si>
  <si>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</si>
  <si>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</si>
  <si>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</si>
  <si>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</si>
  <si>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</si>
  <si>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</si>
  <si>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</si>
  <si>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</si>
  <si>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</si>
  <si>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</si>
  <si>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</si>
  <si>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</si>
  <si>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</si>
  <si>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</si>
  <si>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</si>
  <si>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</si>
  <si>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</si>
  <si>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</si>
  <si>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</si>
  <si>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</si>
  <si>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</si>
  <si>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</si>
  <si>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</si>
  <si>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</si>
  <si>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</si>
  <si>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</si>
  <si>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</si>
  <si>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</si>
  <si>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</si>
  <si>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</si>
  <si>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</si>
  <si>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</si>
  <si>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</si>
  <si>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</si>
  <si>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</si>
  <si>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</si>
  <si>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</si>
  <si>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</si>
  <si>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</si>
  <si>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</si>
  <si>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</si>
  <si>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</si>
  <si>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</si>
  <si>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</si>
  <si>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</si>
  <si>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</si>
  <si>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</si>
  <si>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</si>
  <si>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</si>
  <si>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</si>
  <si>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</si>
  <si>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</si>
  <si>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</si>
  <si>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</si>
  <si>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</si>
  <si>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</si>
  <si>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</si>
  <si>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</si>
  <si>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</si>
  <si>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</si>
  <si>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</si>
  <si>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</si>
  <si>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</si>
  <si>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</si>
  <si>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</si>
  <si>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</si>
  <si>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</si>
  <si>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</si>
  <si>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</si>
  <si>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</si>
  <si>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</si>
  <si>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</si>
  <si>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</si>
  <si>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</si>
  <si>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</si>
  <si>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</si>
  <si>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</si>
  <si>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</si>
  <si>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</si>
  <si>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</si>
  <si>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</si>
  <si>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</si>
  <si>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</si>
  <si>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</si>
  <si>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</si>
  <si>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</si>
  <si>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</si>
  <si>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</si>
  <si>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</si>
  <si>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</si>
  <si>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</si>
  <si>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</si>
  <si>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</si>
  <si>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</si>
  <si>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</si>
  <si>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</si>
  <si>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</si>
  <si>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</si>
  <si>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</si>
  <si>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</si>
  <si>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</si>
  <si>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</si>
  <si>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</si>
  <si>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</si>
  <si>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</si>
  <si>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</si>
  <si>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</si>
  <si>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</si>
  <si>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</si>
  <si>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</si>
  <si>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</si>
  <si>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</si>
  <si>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</si>
  <si>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</si>
  <si>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</si>
  <si>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</si>
  <si>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</si>
  <si>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</si>
  <si>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</si>
  <si>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</si>
  <si>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</si>
  <si>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</si>
  <si>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</si>
  <si>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</si>
  <si>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</si>
  <si>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</si>
  <si>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</si>
  <si>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</si>
  <si>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</si>
  <si>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</si>
  <si>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</si>
  <si>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</si>
  <si>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</si>
  <si>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</si>
  <si>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</si>
  <si>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</si>
  <si>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</si>
  <si>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</si>
  <si>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</si>
  <si>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</si>
  <si>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</si>
  <si>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</si>
  <si>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</si>
  <si>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</si>
  <si>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</si>
  <si>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</si>
  <si>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</si>
  <si>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</si>
  <si>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</si>
  <si>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</si>
  <si>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</si>
  <si>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</si>
  <si>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</si>
  <si>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</si>
  <si>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</si>
  <si>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</si>
  <si>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</si>
  <si>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</si>
  <si>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</si>
  <si>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</si>
  <si>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</si>
  <si>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</si>
  <si>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</si>
  <si>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</si>
  <si>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</si>
  <si>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</si>
  <si>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</si>
  <si>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</si>
  <si>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</si>
  <si>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</si>
  <si>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</si>
  <si>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</si>
  <si>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</si>
  <si>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</si>
  <si>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</si>
  <si>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</si>
  <si>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</si>
  <si>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</si>
  <si>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</si>
  <si>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</si>
  <si>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</si>
  <si>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</si>
  <si>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</si>
  <si>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</si>
  <si>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</si>
  <si>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</si>
  <si>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</si>
  <si>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</si>
  <si>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</si>
  <si>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</si>
  <si>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</si>
  <si>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</si>
  <si>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</si>
  <si>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</si>
  <si>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</si>
  <si>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</si>
  <si>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</si>
  <si>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</si>
  <si>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</si>
  <si>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</si>
  <si>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</si>
  <si>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</si>
  <si>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</si>
  <si>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</si>
  <si>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</si>
  <si>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</si>
  <si>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</si>
  <si>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</si>
  <si>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</si>
  <si>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</si>
  <si>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</si>
  <si>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</si>
  <si>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</si>
  <si>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</si>
  <si>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</si>
  <si>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</si>
  <si>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</si>
  <si>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</si>
  <si>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</si>
  <si>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</si>
  <si>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</si>
  <si>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</si>
  <si>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</si>
  <si>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</si>
  <si>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</si>
  <si>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</si>
  <si>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</si>
  <si>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</si>
  <si>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</si>
  <si>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</si>
  <si>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</si>
  <si>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</si>
  <si>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</si>
  <si>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</si>
  <si>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</si>
  <si>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</si>
  <si>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</si>
  <si>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</si>
  <si>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</si>
  <si>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</si>
  <si>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</si>
  <si>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</si>
  <si>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</si>
  <si>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</si>
  <si>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</si>
  <si>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</si>
  <si>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</si>
  <si>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</si>
  <si>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</si>
  <si>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</si>
  <si>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</si>
  <si>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</si>
  <si>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</si>
  <si>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</si>
  <si>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</si>
  <si>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</si>
  <si>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</si>
  <si>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</si>
  <si>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</si>
  <si>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</si>
  <si>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</si>
  <si>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</si>
  <si>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</si>
  <si>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</si>
  <si>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</si>
  <si>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</si>
  <si>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</si>
  <si>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</si>
  <si>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</si>
  <si>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</si>
  <si>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</si>
  <si>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</si>
  <si>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</si>
  <si>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</si>
  <si>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</si>
  <si>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</si>
  <si>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</si>
  <si>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</si>
  <si>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</si>
  <si>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</si>
  <si>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</si>
  <si>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</si>
  <si>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</si>
  <si>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</si>
  <si>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</si>
  <si>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</si>
  <si>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</si>
  <si>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</si>
  <si>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</si>
  <si>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</si>
  <si>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</si>
  <si>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</si>
  <si>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</si>
  <si>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</si>
  <si>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</si>
  <si>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</si>
  <si>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</si>
  <si>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</si>
  <si>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</si>
  <si>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</si>
  <si>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</si>
  <si>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</si>
  <si>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</si>
  <si>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</si>
  <si>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</si>
  <si>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</si>
  <si>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</si>
  <si>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</si>
  <si>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</si>
  <si>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</si>
  <si>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</si>
  <si>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</si>
  <si>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</si>
  <si>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</si>
  <si>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</si>
  <si>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</si>
  <si>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</si>
  <si>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</si>
  <si>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</si>
  <si>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</si>
  <si>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</si>
  <si>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</si>
  <si>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</si>
  <si>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</si>
  <si>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</si>
  <si>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</si>
  <si>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</si>
  <si>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</si>
  <si>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</si>
  <si>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</si>
  <si>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</si>
  <si>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</si>
  <si>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</si>
  <si>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</si>
  <si>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</si>
  <si>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</si>
  <si>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</si>
  <si>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</si>
  <si>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</si>
  <si>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</si>
  <si>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</si>
  <si>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</si>
  <si>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</si>
  <si>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</si>
  <si>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</si>
  <si>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</si>
  <si>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</si>
  <si>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</si>
  <si>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</si>
  <si>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</si>
  <si>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</si>
  <si>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</si>
  <si>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</si>
  <si>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</si>
  <si>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</si>
  <si>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</si>
  <si>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</si>
  <si>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</si>
  <si>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</si>
  <si>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</si>
  <si>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</si>
  <si>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</si>
  <si>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</si>
  <si>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</si>
  <si>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</si>
  <si>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</si>
  <si>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</si>
  <si>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</si>
  <si>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</si>
  <si>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</si>
  <si>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</si>
  <si>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</si>
  <si>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</si>
  <si>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</si>
  <si>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</si>
  <si>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</si>
  <si>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</si>
  <si>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</si>
  <si>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</si>
  <si>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</si>
  <si>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</si>
  <si>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</si>
  <si>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</si>
  <si>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</si>
  <si>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</si>
  <si>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</si>
  <si>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</si>
  <si>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</si>
  <si>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</si>
  <si>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</si>
  <si>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</si>
  <si>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</si>
  <si>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</si>
  <si>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</si>
  <si>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</si>
  <si>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</si>
  <si>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</si>
  <si>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</si>
  <si>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</si>
  <si>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</si>
  <si>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</si>
  <si>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</si>
  <si>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</si>
  <si>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</si>
  <si>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</si>
  <si>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</si>
  <si>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</si>
  <si>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</si>
  <si>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</si>
  <si>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</si>
  <si>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</si>
  <si>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</si>
  <si>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</si>
  <si>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</si>
  <si>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</si>
  <si>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</si>
  <si>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</si>
  <si>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</si>
  <si>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</si>
  <si>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</si>
  <si>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</si>
  <si>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</si>
  <si>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</si>
  <si>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</si>
  <si>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</si>
  <si>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</si>
  <si>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</si>
  <si>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</si>
  <si>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</si>
  <si>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</si>
  <si>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</si>
  <si>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</si>
  <si>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</si>
  <si>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</si>
  <si>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</si>
  <si>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</si>
  <si>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</si>
  <si>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</si>
  <si>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</si>
  <si>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</si>
  <si>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</si>
  <si>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</si>
  <si>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</si>
  <si>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</si>
  <si>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</si>
  <si>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</si>
  <si>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</si>
  <si>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</si>
  <si>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</si>
  <si>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</si>
  <si>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</si>
  <si>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</si>
  <si>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</si>
  <si>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</si>
  <si>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</si>
  <si>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</si>
  <si>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</si>
  <si>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</si>
  <si>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</si>
  <si>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</si>
  <si>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</si>
  <si>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</si>
  <si>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</si>
  <si>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</si>
  <si>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</si>
  <si>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</si>
  <si>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</si>
  <si>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</si>
  <si>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</si>
  <si>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</si>
  <si>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</si>
  <si>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</si>
  <si>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</si>
  <si>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</si>
  <si>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</si>
  <si>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</si>
  <si>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</si>
  <si>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</si>
  <si>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</si>
  <si>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</si>
  <si>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</si>
  <si>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</si>
  <si>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</si>
  <si>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</si>
  <si>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</si>
  <si>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</si>
  <si>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</si>
  <si>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</si>
  <si>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</si>
  <si>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</si>
  <si>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</si>
  <si>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</si>
  <si>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</si>
  <si>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</si>
  <si>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</si>
  <si>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</si>
  <si>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</si>
  <si>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</si>
  <si>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</si>
  <si>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</si>
  <si>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</si>
  <si>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</si>
  <si>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</si>
  <si>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</si>
  <si>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</si>
  <si>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</si>
  <si>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</si>
  <si>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</si>
  <si>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</si>
  <si>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</si>
  <si>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</si>
  <si>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</si>
  <si>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</si>
  <si>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</si>
  <si>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</si>
  <si>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</si>
  <si>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</si>
  <si>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</si>
  <si>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</si>
  <si>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</si>
  <si>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</si>
  <si>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</si>
  <si>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</si>
  <si>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</si>
  <si>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</si>
  <si>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</si>
  <si>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</si>
  <si>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</si>
  <si>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</si>
  <si>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</si>
  <si>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</si>
  <si>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</si>
  <si>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</si>
  <si>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</si>
  <si>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</si>
  <si>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</si>
  <si>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</si>
  <si>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</si>
  <si>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</si>
  <si>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</si>
  <si>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</si>
  <si>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</si>
  <si>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</si>
  <si>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</si>
  <si>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</si>
  <si>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</si>
  <si>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</si>
  <si>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</si>
  <si>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</si>
  <si>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</si>
  <si>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</si>
  <si>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</si>
  <si>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</si>
  <si>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</si>
  <si>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</si>
  <si>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</si>
  <si>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</si>
  <si>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</si>
  <si>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</si>
  <si>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</si>
  <si>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</si>
  <si>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</si>
  <si>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</si>
  <si>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</si>
  <si>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</si>
  <si>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</si>
  <si>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</si>
  <si>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</si>
  <si>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</si>
  <si>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</si>
  <si>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</si>
  <si>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</si>
  <si>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</si>
  <si>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</si>
  <si>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</si>
  <si>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</si>
  <si>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</si>
  <si>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</si>
  <si>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</si>
  <si>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</si>
  <si>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</si>
  <si>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</si>
  <si>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</si>
  <si>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</si>
  <si>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</si>
  <si>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</si>
  <si>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</si>
  <si>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</si>
  <si>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</si>
  <si>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</si>
  <si>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</si>
  <si>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</si>
  <si>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</si>
  <si>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</si>
  <si>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</si>
  <si>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</si>
  <si>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</si>
  <si>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</si>
  <si>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</si>
  <si>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</si>
  <si>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</si>
  <si>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</si>
  <si>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</si>
  <si>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</si>
  <si>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</si>
  <si>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</si>
  <si>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</si>
  <si>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</si>
  <si>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</si>
  <si>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</si>
  <si>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</si>
  <si>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</si>
  <si>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</si>
  <si>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</si>
  <si>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</si>
  <si>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</si>
  <si>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</si>
  <si>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</si>
  <si>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</si>
  <si>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</si>
  <si>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</si>
  <si>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</si>
  <si>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</si>
  <si>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</si>
  <si>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</si>
  <si>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</si>
  <si>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</si>
  <si>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</si>
  <si>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</si>
  <si>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</si>
  <si>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</si>
  <si>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</si>
  <si>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</si>
  <si>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</si>
  <si>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</si>
  <si>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</si>
  <si>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</si>
  <si>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</si>
  <si>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</si>
  <si>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</si>
  <si>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</si>
  <si>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</si>
  <si>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</si>
  <si>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</si>
  <si>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</si>
  <si>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</si>
  <si>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</si>
  <si>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</si>
  <si>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</si>
  <si>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</si>
  <si>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</si>
  <si>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</si>
  <si>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</si>
  <si>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</si>
  <si>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</si>
  <si>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</si>
  <si>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</si>
  <si>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</si>
  <si>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</si>
  <si>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</si>
  <si>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</si>
  <si>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</si>
  <si>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</si>
  <si>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</si>
  <si>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</si>
  <si>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</si>
  <si>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</si>
  <si>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</si>
  <si>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</si>
  <si>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</si>
  <si>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</si>
  <si>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</si>
  <si>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</si>
  <si>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</si>
  <si>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</si>
  <si>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</si>
  <si>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</si>
  <si>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</si>
  <si>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</si>
  <si>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</si>
  <si>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</si>
  <si>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</si>
  <si>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</si>
  <si>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</si>
  <si>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</si>
  <si>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</si>
  <si>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</si>
  <si>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</si>
  <si>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</si>
  <si>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</si>
  <si>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</si>
  <si>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</si>
  <si>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</si>
  <si>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</si>
  <si>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</si>
  <si>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</si>
  <si>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</si>
  <si>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</si>
  <si>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</si>
  <si>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</si>
  <si>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</si>
  <si>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</si>
  <si>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</si>
  <si>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</si>
  <si>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</si>
  <si>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</si>
  <si>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</si>
  <si>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</si>
  <si>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</si>
  <si>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</si>
  <si>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</si>
  <si>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</si>
  <si>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</si>
  <si>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</si>
  <si>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</si>
  <si>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</si>
  <si>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</si>
  <si>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</si>
  <si>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</si>
  <si>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</si>
  <si>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</si>
  <si>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</si>
  <si>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</si>
  <si>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</si>
  <si>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</si>
  <si>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</si>
  <si>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</si>
  <si>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</si>
  <si>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</si>
  <si>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</si>
  <si>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</si>
  <si>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</si>
  <si>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</si>
  <si>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</si>
  <si>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</si>
  <si>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</si>
  <si>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</si>
  <si>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</si>
  <si>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</si>
  <si>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</si>
  <si>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</si>
  <si>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</si>
  <si>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</si>
  <si>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</si>
  <si>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</si>
  <si>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</si>
  <si>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</si>
  <si>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</si>
  <si>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</si>
  <si>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</si>
  <si>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</si>
  <si>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</si>
  <si>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</si>
  <si>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</si>
  <si>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</si>
  <si>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</si>
  <si>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</si>
  <si>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</si>
  <si>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</si>
  <si>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</si>
  <si>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</si>
  <si>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</si>
  <si>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</si>
  <si>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</si>
  <si>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</si>
  <si>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</si>
  <si>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</si>
  <si>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</si>
  <si>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</si>
  <si>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</si>
  <si>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</si>
  <si>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</si>
  <si>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</si>
  <si>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</si>
  <si>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</si>
  <si>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</si>
  <si>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</si>
  <si>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</si>
  <si>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</si>
  <si>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</si>
  <si>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</si>
  <si>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</si>
  <si>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</si>
  <si>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</si>
  <si>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</si>
  <si>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</si>
  <si>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</si>
  <si>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</si>
  <si>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</si>
  <si>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</si>
  <si>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</si>
  <si>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</si>
  <si>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</si>
  <si>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</si>
  <si>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</si>
  <si>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</si>
  <si>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</si>
  <si>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</si>
  <si>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</si>
  <si>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</si>
  <si>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</si>
  <si>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</si>
  <si>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</si>
  <si>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</si>
  <si>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</si>
  <si>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</si>
  <si>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</si>
  <si>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</si>
  <si>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</si>
  <si>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</si>
  <si>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</si>
  <si>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</si>
  <si>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</si>
  <si>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</si>
  <si>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</si>
  <si>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</si>
  <si>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</si>
  <si>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</si>
  <si>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</si>
  <si>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</si>
  <si>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</si>
  <si>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</si>
  <si>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</si>
  <si>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</si>
  <si>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</si>
  <si>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</si>
  <si>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</si>
  <si>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</si>
  <si>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</si>
  <si>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</si>
  <si>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</si>
  <si>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</si>
  <si>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</si>
  <si>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</si>
  <si>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</si>
  <si>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</si>
  <si>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</si>
  <si>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</si>
  <si>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</si>
  <si>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</si>
  <si>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</si>
  <si>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</si>
  <si>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</si>
  <si>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</si>
  <si>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</si>
  <si>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</si>
  <si>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</si>
  <si>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</si>
  <si>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</si>
  <si>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</si>
  <si>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</si>
  <si>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</si>
  <si>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</si>
  <si>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</si>
  <si>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</si>
  <si>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</si>
  <si>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</si>
  <si>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</si>
  <si>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</si>
  <si>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</si>
  <si>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</si>
  <si>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</si>
  <si>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</si>
  <si>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</si>
  <si>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</si>
  <si>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</si>
  <si>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</si>
  <si>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</si>
  <si>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</si>
  <si>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</si>
  <si>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</si>
  <si>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</si>
  <si>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</si>
  <si>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</si>
  <si>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</si>
  <si>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</si>
  <si>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</si>
  <si>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</si>
  <si>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</si>
  <si>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</si>
  <si>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</si>
  <si>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</si>
  <si>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</si>
  <si>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</si>
  <si>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</si>
  <si>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</si>
  <si>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</si>
  <si>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</si>
  <si>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</si>
  <si>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</si>
  <si>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</si>
  <si>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</si>
  <si>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</si>
  <si>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</si>
  <si>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</si>
  <si>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</si>
  <si>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</si>
  <si>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</si>
  <si>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</si>
  <si>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</si>
  <si>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</si>
  <si>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</si>
  <si>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</si>
  <si>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</si>
  <si>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</si>
  <si>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</si>
  <si>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</si>
  <si>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</si>
  <si>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</si>
  <si>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</si>
  <si>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</si>
  <si>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</si>
  <si>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</si>
  <si>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</si>
  <si>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</si>
  <si>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</si>
  <si>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</si>
  <si>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</si>
  <si>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</si>
  <si>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</si>
  <si>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</si>
  <si>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</si>
  <si>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</si>
  <si>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</si>
  <si>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</si>
  <si>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</si>
  <si>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</si>
  <si>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</si>
  <si>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</si>
  <si>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</si>
  <si>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</si>
  <si>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</si>
  <si>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</si>
  <si>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</si>
  <si>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</si>
  <si>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</si>
  <si>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</si>
  <si>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</si>
  <si>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</si>
  <si>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</si>
  <si>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</si>
  <si>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</si>
  <si>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</si>
  <si>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</si>
  <si>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</si>
  <si>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</si>
  <si>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</si>
  <si>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</si>
  <si>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</si>
  <si>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</si>
  <si>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</si>
  <si>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</si>
  <si>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</si>
  <si>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</si>
  <si>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</si>
  <si>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</si>
  <si>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</si>
  <si>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</si>
  <si>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</si>
  <si>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</si>
  <si>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</si>
  <si>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</si>
  <si>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</si>
  <si>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</si>
  <si>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</si>
  <si>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</si>
  <si>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</si>
  <si>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</si>
  <si>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</si>
  <si>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</si>
  <si>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</si>
  <si>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</si>
  <si>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</si>
  <si>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</si>
  <si>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</si>
  <si>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</si>
  <si>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</si>
  <si>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</si>
  <si>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</si>
  <si>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</si>
  <si>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</si>
  <si>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</si>
  <si>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</si>
  <si>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</si>
  <si>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</si>
  <si>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</si>
  <si>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</si>
  <si>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</si>
  <si>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</si>
  <si>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</si>
  <si>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</si>
  <si>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</si>
  <si>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</si>
  <si>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</si>
  <si>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</si>
  <si>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</si>
  <si>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</si>
  <si>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</si>
  <si>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</si>
  <si>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</si>
  <si>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</si>
  <si>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</si>
  <si>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</si>
  <si>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</si>
  <si>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</si>
  <si>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</si>
  <si>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</si>
  <si>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</si>
  <si>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</si>
  <si>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</si>
  <si>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</si>
  <si>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</si>
  <si>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</si>
  <si>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</si>
  <si>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</si>
  <si>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</si>
  <si>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</si>
  <si>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</si>
  <si>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</si>
  <si>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</si>
  <si>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</si>
  <si>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</si>
  <si>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</si>
  <si>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</si>
  <si>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</si>
  <si>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</si>
  <si>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</si>
  <si>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</si>
  <si>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</si>
  <si>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</si>
  <si>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</si>
  <si>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</si>
  <si>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</si>
  <si>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</si>
  <si>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</si>
  <si>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</si>
  <si>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</si>
  <si>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</si>
  <si>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</si>
  <si>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</si>
  <si>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</si>
  <si>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</si>
  <si>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</si>
  <si>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</si>
  <si>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</si>
  <si>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</si>
  <si>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</si>
  <si>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</si>
  <si>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</si>
  <si>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</si>
  <si>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</si>
  <si>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</si>
  <si>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</si>
  <si>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</si>
  <si>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</si>
  <si>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</si>
  <si>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</si>
  <si>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</si>
  <si>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</si>
  <si>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</si>
  <si>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</si>
  <si>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</si>
  <si>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</si>
  <si>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</si>
  <si>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</si>
  <si>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</si>
  <si>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</si>
  <si>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</si>
  <si>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</si>
  <si>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</si>
  <si>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</si>
  <si>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</si>
  <si>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</si>
  <si>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</si>
  <si>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</si>
  <si>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</si>
  <si>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</si>
  <si>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</si>
  <si>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</si>
  <si>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</si>
  <si>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</si>
  <si>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</si>
  <si>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</si>
  <si>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</si>
  <si>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</si>
  <si>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</si>
  <si>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</si>
  <si>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</si>
  <si>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</si>
  <si>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</si>
  <si>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</si>
  <si>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</si>
  <si>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</si>
  <si>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</si>
  <si>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</si>
  <si>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</si>
  <si>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</si>
  <si>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</si>
  <si>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</si>
  <si>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</si>
  <si>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</si>
  <si>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</si>
  <si>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</si>
  <si>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</si>
  <si>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</si>
  <si>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</si>
  <si>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</si>
  <si>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</si>
  <si>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</si>
  <si>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</si>
  <si>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</si>
  <si>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</si>
  <si>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</si>
  <si>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</si>
  <si>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</si>
  <si>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</si>
  <si>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</si>
  <si>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</si>
  <si>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</si>
  <si>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</si>
  <si>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</si>
  <si>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</si>
  <si>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</si>
  <si>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</si>
  <si>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</si>
  <si>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</si>
  <si>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</si>
  <si>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</si>
  <si>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</si>
  <si>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</si>
  <si>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</si>
  <si>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</si>
  <si>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</si>
  <si>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</si>
  <si>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</si>
  <si>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</si>
  <si>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</si>
  <si>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</si>
  <si>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</si>
  <si>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</si>
  <si>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</si>
  <si>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</si>
  <si>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</si>
  <si>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</si>
  <si>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</si>
  <si>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</si>
  <si>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</si>
  <si>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</si>
  <si>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</si>
  <si>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</si>
  <si>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</si>
  <si>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</si>
  <si>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</si>
  <si>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</si>
  <si>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</si>
  <si>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</si>
  <si>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</si>
  <si>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</si>
  <si>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</si>
  <si>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</si>
  <si>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</si>
  <si>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</si>
  <si>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</si>
  <si>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</si>
  <si>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</si>
  <si>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</si>
  <si>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</si>
  <si>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</si>
  <si>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</si>
  <si>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</si>
  <si>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</si>
  <si>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</si>
  <si>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</si>
  <si>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</si>
  <si>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</si>
  <si>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</si>
  <si>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</si>
  <si>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</si>
  <si>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</si>
  <si>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</si>
  <si>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</si>
  <si>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</si>
  <si>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</si>
  <si>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</si>
  <si>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</si>
  <si>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</si>
  <si>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</si>
  <si>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</si>
  <si>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</si>
  <si>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</si>
  <si>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</si>
  <si>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</si>
  <si>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</si>
  <si>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</si>
  <si>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</si>
  <si>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</si>
  <si>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</si>
  <si>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</si>
  <si>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</si>
  <si>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</si>
  <si>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</si>
  <si>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</si>
  <si>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</si>
  <si>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</si>
  <si>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</si>
  <si>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</si>
  <si>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</si>
  <si>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</si>
  <si>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</si>
  <si>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</si>
  <si>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</si>
  <si>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</si>
  <si>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</si>
  <si>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</si>
  <si>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</si>
  <si>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</si>
  <si>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</si>
  <si>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</si>
  <si>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</si>
  <si>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</si>
  <si>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</si>
  <si>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</si>
  <si>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</si>
  <si>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</si>
  <si>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</si>
  <si>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</si>
  <si>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</si>
  <si>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</si>
  <si>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</si>
  <si>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</si>
  <si>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</si>
  <si>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</si>
  <si>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</si>
  <si>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</si>
  <si>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</si>
  <si>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</si>
  <si>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</si>
  <si>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</si>
  <si>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</si>
  <si>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</si>
  <si>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</si>
  <si>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</si>
  <si>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</si>
  <si>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</si>
  <si>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</si>
  <si>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</si>
  <si>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</si>
  <si>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</si>
  <si>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</si>
  <si>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</si>
  <si>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</si>
  <si>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</si>
  <si>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</si>
  <si>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</si>
  <si>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</si>
  <si>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</si>
  <si>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</si>
  <si>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</si>
  <si>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</si>
  <si>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</si>
  <si>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</si>
  <si>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</si>
  <si>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</si>
  <si>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</si>
  <si>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</si>
  <si>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</si>
  <si>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</si>
  <si>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</si>
  <si>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</si>
  <si>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</si>
  <si>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</si>
  <si>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</si>
  <si>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</si>
  <si>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</si>
  <si>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</si>
  <si>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</si>
  <si>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</si>
  <si>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</si>
  <si>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</si>
  <si>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</si>
  <si>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</si>
  <si>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</si>
  <si>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</si>
  <si>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</si>
  <si>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</si>
  <si>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</si>
  <si>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</si>
  <si>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</si>
  <si>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</si>
  <si>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</si>
  <si>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</si>
  <si>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</si>
  <si>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</si>
  <si>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</si>
  <si>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</si>
  <si>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</si>
  <si>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</si>
  <si>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</si>
  <si>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</si>
  <si>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</si>
  <si>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</si>
  <si>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</si>
  <si>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</si>
  <si>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</si>
  <si>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</si>
  <si>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</si>
  <si>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</si>
  <si>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</si>
  <si>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</si>
  <si>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</si>
  <si>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</si>
  <si>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</si>
  <si>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</si>
  <si>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</si>
  <si>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</si>
  <si>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</si>
  <si>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</si>
  <si>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</si>
  <si>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</si>
  <si>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</si>
  <si>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</si>
  <si>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</si>
  <si>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</si>
  <si>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</si>
  <si>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</si>
  <si>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</si>
  <si>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</si>
  <si>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</si>
  <si>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</si>
  <si>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</si>
  <si>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</si>
  <si>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</si>
  <si>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</si>
  <si>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</si>
  <si>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</si>
  <si>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</si>
  <si>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</si>
  <si>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</si>
  <si>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</si>
  <si>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</si>
  <si>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</si>
  <si>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</si>
  <si>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</si>
  <si>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</si>
  <si>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</si>
  <si>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</si>
  <si>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</si>
  <si>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</si>
  <si>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</si>
  <si>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</si>
  <si>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</si>
  <si>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</si>
  <si>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</si>
  <si>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</si>
  <si>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</si>
  <si>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</si>
  <si>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</si>
  <si>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</si>
  <si>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</si>
  <si>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</si>
  <si>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</si>
  <si>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</si>
  <si>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</si>
  <si>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</si>
  <si>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</si>
  <si>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</si>
  <si>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</si>
  <si>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</si>
  <si>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</si>
  <si>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</si>
  <si>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</si>
  <si>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</si>
  <si>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</si>
  <si>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</si>
  <si>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</si>
  <si>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</si>
  <si>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</si>
  <si>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</si>
  <si>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</si>
  <si>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</si>
  <si>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</si>
  <si>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</si>
  <si>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</si>
  <si>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</si>
  <si>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</si>
  <si>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</si>
  <si>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</si>
  <si>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</si>
  <si>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</si>
  <si>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</si>
  <si>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</si>
  <si>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</si>
  <si>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</si>
  <si>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</si>
  <si>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</si>
  <si>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</si>
  <si>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</si>
  <si>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</si>
  <si>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</si>
  <si>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</si>
  <si>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</si>
  <si>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</si>
  <si>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</si>
  <si>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</si>
  <si>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</si>
  <si>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</si>
  <si>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</si>
  <si>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</si>
  <si>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</si>
  <si>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</si>
  <si>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</si>
  <si>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</si>
  <si>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</si>
  <si>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</si>
  <si>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</si>
  <si>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</si>
  <si>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</si>
  <si>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</si>
  <si>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</si>
  <si>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</si>
  <si>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</si>
  <si>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</si>
  <si>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</si>
  <si>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</si>
  <si>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</si>
  <si>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</si>
  <si>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</si>
  <si>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</si>
  <si>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</si>
  <si>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</si>
  <si>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</si>
  <si>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</si>
  <si>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</si>
  <si>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</si>
  <si>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</si>
  <si>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</si>
  <si>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</si>
  <si>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</si>
  <si>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</si>
  <si>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</si>
  <si>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</si>
  <si>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</si>
  <si>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</si>
  <si>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</si>
  <si>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</si>
  <si>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</si>
  <si>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</si>
  <si>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</si>
  <si>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</si>
  <si>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</si>
  <si>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</si>
  <si>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</si>
  <si>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</si>
  <si>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</si>
  <si>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</si>
  <si>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</si>
  <si>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</si>
  <si>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</si>
  <si>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</si>
  <si>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</si>
  <si>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</si>
  <si>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</si>
  <si>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</si>
  <si>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</si>
  <si>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</si>
  <si>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</si>
  <si>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</si>
  <si>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</si>
  <si>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</si>
  <si>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</si>
  <si>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</si>
  <si>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</si>
  <si>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</si>
  <si>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</si>
  <si>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</si>
  <si>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</si>
  <si>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</si>
  <si>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</si>
  <si>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</si>
  <si>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</si>
  <si>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</si>
  <si>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</si>
  <si>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</si>
  <si>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</si>
  <si>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</si>
  <si>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</si>
  <si>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</si>
  <si>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</si>
  <si>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</si>
  <si>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</si>
  <si>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</si>
  <si>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</si>
  <si>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</si>
  <si>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</si>
  <si>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</si>
  <si>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</si>
  <si>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</si>
  <si>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</si>
  <si>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</si>
  <si>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</si>
  <si>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</si>
  <si>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</si>
  <si>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</si>
  <si>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</si>
  <si>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</si>
  <si>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</si>
  <si>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</si>
  <si>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</si>
  <si>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</si>
  <si>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</si>
  <si>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</si>
  <si>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</si>
  <si>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</si>
  <si>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</si>
  <si>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</si>
  <si>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</si>
  <si>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</si>
  <si>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</si>
  <si>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</si>
  <si>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</si>
  <si>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</si>
  <si>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</si>
  <si>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</si>
  <si>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</si>
  <si>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</si>
  <si>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</si>
  <si>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</si>
  <si>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</si>
  <si>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</si>
  <si>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</si>
  <si>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</si>
  <si>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</si>
  <si>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</si>
  <si>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</si>
  <si>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</si>
  <si>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</si>
  <si>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</si>
  <si>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</si>
  <si>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</si>
  <si>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</si>
  <si>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</si>
  <si>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</si>
  <si>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</si>
  <si>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</si>
  <si>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</si>
  <si>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</si>
  <si>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</si>
  <si>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</si>
  <si>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</si>
  <si>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</si>
  <si>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</si>
  <si>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</si>
  <si>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</si>
  <si>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</si>
  <si>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</si>
  <si>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</si>
  <si>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</si>
  <si>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</si>
  <si>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</si>
  <si>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</si>
  <si>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</si>
  <si>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</si>
  <si>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</si>
  <si>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</si>
  <si>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</si>
  <si>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</si>
  <si>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</si>
  <si>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</si>
  <si>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</si>
  <si>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</si>
  <si>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</si>
  <si>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</si>
  <si>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</si>
  <si>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</si>
  <si>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</si>
  <si>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</si>
  <si>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</si>
  <si>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</si>
  <si>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</si>
  <si>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</si>
  <si>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</si>
  <si>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</si>
  <si>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</si>
  <si>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</si>
  <si>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</si>
  <si>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</si>
  <si>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</si>
  <si>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</si>
  <si>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</si>
  <si>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</si>
  <si>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</si>
  <si>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</si>
  <si>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</si>
  <si>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</si>
  <si>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</si>
  <si>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</si>
  <si>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</si>
  <si>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</si>
  <si>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</si>
  <si>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</si>
  <si>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</si>
  <si>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</si>
  <si>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</si>
  <si>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</si>
  <si>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</si>
  <si>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</si>
  <si>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</si>
  <si>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</si>
  <si>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</si>
  <si>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</si>
  <si>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</si>
  <si>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</si>
  <si>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</si>
  <si>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</si>
  <si>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</si>
  <si>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</si>
  <si>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</si>
  <si>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</si>
  <si>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</si>
  <si>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</si>
  <si>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</si>
  <si>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</si>
  <si>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</si>
  <si>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</si>
  <si>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</si>
  <si>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</si>
  <si>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</si>
  <si>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</si>
  <si>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</si>
  <si>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</si>
  <si>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</si>
  <si>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</si>
  <si>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</si>
  <si>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</si>
  <si>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</si>
  <si>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</si>
  <si>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</si>
  <si>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</si>
  <si>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</si>
  <si>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</si>
  <si>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</si>
  <si>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</si>
  <si>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</si>
  <si>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</si>
  <si>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</si>
  <si>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</si>
  <si>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</si>
  <si>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</si>
  <si>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</si>
  <si>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</si>
  <si>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</si>
  <si>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</si>
  <si>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</si>
  <si>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</si>
  <si>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</si>
  <si>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</si>
  <si>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</si>
  <si>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</si>
  <si>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</si>
  <si>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</si>
  <si>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</si>
  <si>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</si>
  <si>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</si>
  <si>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</si>
  <si>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</si>
  <si>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</si>
  <si>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</si>
  <si>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</si>
  <si>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</si>
  <si>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</si>
  <si>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</si>
  <si>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</si>
  <si>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</si>
  <si>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</si>
  <si>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</si>
  <si>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</si>
  <si>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</si>
  <si>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</si>
  <si>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</si>
  <si>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</si>
  <si>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</si>
  <si>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</si>
  <si>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</si>
  <si>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</si>
  <si>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</si>
  <si>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</si>
  <si>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</si>
  <si>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</si>
  <si>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</si>
  <si>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</si>
  <si>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</si>
  <si>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</si>
  <si>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</si>
  <si>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</si>
  <si>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</si>
  <si>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</si>
  <si>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</si>
  <si>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</si>
  <si>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</si>
  <si>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</si>
  <si>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</si>
  <si>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</si>
  <si>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</si>
  <si>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</si>
  <si>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</si>
  <si>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</si>
  <si>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</si>
  <si>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</si>
  <si>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</si>
  <si>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</si>
  <si>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</si>
  <si>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</si>
  <si>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</si>
  <si>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</si>
  <si>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</si>
  <si>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</si>
  <si>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</si>
  <si>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</si>
  <si>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</si>
  <si>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</si>
  <si>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</si>
  <si>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</si>
  <si>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</si>
  <si>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</si>
  <si>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</si>
  <si>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</si>
  <si>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</si>
  <si>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</si>
  <si>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</si>
  <si>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</si>
  <si>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</si>
  <si>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</si>
  <si>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</si>
  <si>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</si>
  <si>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</si>
  <si>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</si>
  <si>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</si>
  <si>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</si>
  <si>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</si>
  <si>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</si>
  <si>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</si>
  <si>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</si>
  <si>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</si>
  <si>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</si>
  <si>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</si>
  <si>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</si>
  <si>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</si>
  <si>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</si>
  <si>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</si>
  <si>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</si>
  <si>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</si>
  <si>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</si>
  <si>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</si>
  <si>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</si>
  <si>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</si>
  <si>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</si>
  <si>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</si>
  <si>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</si>
  <si>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</si>
  <si>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</si>
  <si>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</si>
  <si>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</si>
  <si>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</si>
  <si>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</si>
  <si>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</si>
  <si>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</si>
  <si>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</si>
  <si>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</si>
  <si>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</si>
  <si>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</si>
  <si>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</si>
  <si>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</si>
  <si>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</si>
  <si>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</si>
  <si>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</si>
  <si>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</si>
  <si>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</si>
  <si>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</si>
  <si>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</si>
  <si>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</si>
  <si>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</si>
  <si>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</si>
  <si>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</si>
  <si>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</si>
  <si>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</si>
  <si>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</si>
  <si>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</si>
  <si>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</si>
  <si>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</si>
  <si>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</si>
  <si>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</si>
  <si>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</si>
  <si>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</si>
  <si>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</si>
  <si>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</si>
  <si>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</si>
  <si>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</si>
  <si>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</si>
  <si>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</si>
  <si>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</si>
  <si>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</si>
  <si>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</si>
  <si>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</si>
  <si>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</si>
  <si>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</si>
  <si>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</si>
  <si>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</si>
  <si>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</si>
  <si>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</si>
  <si>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</si>
  <si>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</si>
  <si>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</si>
  <si>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</si>
  <si>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</si>
  <si>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</si>
  <si>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</si>
  <si>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</si>
  <si>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</si>
  <si>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</si>
  <si>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</si>
  <si>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</si>
  <si>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</si>
  <si>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</si>
  <si>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</si>
  <si>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</si>
  <si>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</si>
  <si>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</si>
  <si>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</si>
  <si>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</si>
  <si>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</si>
  <si>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</si>
  <si>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</si>
  <si>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</si>
  <si>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</si>
  <si>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</si>
  <si>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</si>
  <si>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</si>
  <si>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</si>
  <si>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</si>
  <si>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</si>
  <si>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</si>
  <si>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</si>
  <si>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</si>
  <si>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</si>
  <si>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</si>
  <si>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</si>
  <si>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</si>
  <si>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</si>
  <si>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</si>
  <si>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</si>
  <si>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</si>
  <si>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</si>
  <si>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</si>
  <si>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</si>
  <si>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</si>
  <si>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</si>
  <si>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</si>
  <si>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</si>
  <si>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</si>
  <si>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</si>
  <si>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</si>
  <si>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</si>
  <si>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</si>
  <si>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</si>
  <si>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</si>
  <si>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</si>
  <si>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</si>
  <si>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</si>
  <si>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</si>
  <si>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</si>
  <si>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</si>
  <si>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</si>
  <si>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</si>
  <si>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</si>
  <si>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</si>
  <si>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</si>
  <si>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</si>
  <si>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</si>
  <si>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</si>
  <si>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</si>
  <si>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</si>
  <si>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</si>
  <si>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</si>
  <si>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</si>
  <si>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</si>
  <si>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</si>
  <si>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</si>
  <si>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</si>
  <si>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</si>
  <si>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</si>
  <si>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</si>
  <si>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</si>
  <si>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</si>
  <si>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</si>
  <si>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</si>
  <si>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</si>
  <si>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</si>
  <si>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</si>
  <si>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</si>
  <si>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</si>
  <si>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</si>
  <si>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</si>
  <si>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</si>
  <si>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</si>
  <si>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</si>
  <si>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</si>
  <si>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</si>
  <si>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</si>
  <si>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</si>
  <si>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</si>
  <si>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</si>
  <si>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</si>
  <si>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</si>
  <si>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</si>
  <si>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</si>
  <si>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</si>
  <si>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</si>
  <si>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</si>
  <si>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</si>
  <si>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</si>
  <si>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</si>
  <si>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</si>
  <si>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</si>
  <si>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</si>
  <si>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</si>
  <si>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</si>
  <si>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</si>
  <si>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</si>
  <si>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</si>
  <si>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</si>
  <si>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</si>
  <si>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</si>
  <si>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</si>
  <si>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</si>
  <si>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</si>
  <si>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</si>
  <si>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</si>
  <si>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</si>
  <si>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</si>
  <si>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</si>
  <si>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</si>
  <si>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</si>
  <si>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</si>
  <si>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</si>
  <si>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</si>
  <si>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</si>
  <si>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</si>
  <si>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</si>
  <si>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</si>
  <si>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</si>
  <si>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</si>
  <si>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</si>
  <si>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</si>
  <si>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</si>
  <si>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</si>
  <si>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</si>
  <si>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</si>
  <si>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</si>
  <si>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</si>
  <si>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</si>
  <si>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</si>
  <si>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</si>
  <si>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</si>
  <si>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</si>
  <si>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</si>
  <si>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</si>
  <si>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</si>
  <si>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</si>
  <si>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</si>
  <si>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</si>
  <si>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</si>
  <si>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</si>
  <si>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</si>
  <si>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</si>
  <si>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</si>
  <si>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</si>
  <si>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</si>
  <si>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</si>
  <si>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</si>
  <si>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</si>
  <si>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</si>
  <si>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</si>
  <si>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</si>
  <si>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</si>
  <si>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</si>
  <si>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</si>
  <si>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</si>
  <si>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</si>
  <si>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</si>
  <si>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</si>
  <si>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</si>
  <si>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</si>
  <si>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</si>
  <si>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</si>
  <si>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</si>
  <si>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</si>
  <si>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</si>
  <si>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</si>
  <si>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</si>
  <si>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</si>
  <si>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</si>
  <si>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</si>
  <si>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</si>
  <si>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</si>
  <si>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</si>
  <si>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</si>
  <si>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</si>
  <si>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</si>
  <si>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</si>
  <si>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</si>
  <si>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</si>
  <si>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</si>
  <si>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</si>
  <si>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</si>
  <si>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</si>
  <si>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</si>
  <si>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</si>
  <si>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</si>
  <si>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</si>
  <si>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</si>
  <si>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</si>
  <si>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</si>
  <si>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</si>
  <si>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</si>
  <si>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</si>
  <si>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</si>
  <si>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</si>
  <si>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</si>
  <si>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</si>
  <si>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</si>
  <si>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</si>
  <si>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</si>
  <si>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</si>
  <si>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</si>
  <si>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</si>
  <si>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</si>
  <si>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</si>
  <si>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</si>
  <si>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</si>
  <si>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</si>
  <si>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</si>
  <si>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</si>
  <si>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</si>
  <si>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</si>
  <si>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</si>
  <si>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</si>
  <si>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</si>
  <si>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</si>
  <si>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</si>
  <si>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</si>
  <si>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</si>
  <si>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</si>
  <si>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</si>
  <si>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</si>
  <si>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</si>
  <si>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</si>
  <si>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</si>
  <si>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</si>
  <si>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</si>
  <si>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</si>
  <si>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</si>
  <si>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</si>
  <si>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</si>
  <si>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</si>
  <si>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</si>
  <si>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</si>
  <si>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</si>
  <si>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</si>
  <si>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</si>
  <si>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</si>
  <si>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</si>
  <si>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</si>
  <si>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</si>
  <si>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</si>
  <si>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</si>
  <si>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</si>
  <si>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</si>
  <si>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</si>
  <si>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</si>
  <si>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</si>
  <si>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</si>
  <si>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</si>
  <si>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</si>
  <si>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</si>
  <si>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</si>
  <si>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</si>
  <si>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</si>
  <si>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</si>
  <si>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</si>
  <si>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</si>
  <si>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</si>
  <si>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</si>
  <si>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</si>
  <si>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</si>
  <si>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</si>
  <si>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</si>
  <si>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</si>
  <si>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</si>
  <si>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</si>
  <si>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</si>
  <si>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</si>
  <si>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</si>
  <si>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</si>
  <si>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</si>
  <si>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</si>
  <si>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</si>
  <si>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</si>
  <si>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</si>
  <si>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</si>
  <si>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</si>
  <si>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</si>
  <si>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</si>
  <si>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</si>
  <si>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</si>
  <si>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</si>
  <si>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</si>
  <si>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</si>
  <si>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</si>
  <si>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</si>
  <si>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</si>
  <si>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</si>
  <si>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</si>
  <si>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</si>
  <si>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</si>
  <si>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</si>
  <si>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</si>
  <si>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</si>
  <si>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</si>
  <si>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</si>
  <si>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</si>
  <si>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</si>
  <si>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</si>
  <si>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</si>
  <si>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</si>
  <si>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</si>
  <si>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</si>
  <si>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</si>
  <si>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</si>
  <si>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</si>
  <si>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</si>
  <si>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</si>
  <si>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</si>
  <si>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</si>
  <si>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</si>
  <si>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</si>
  <si>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</si>
  <si>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</si>
  <si>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</si>
  <si>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</si>
  <si>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</si>
  <si>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</si>
  <si>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</si>
  <si>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</si>
  <si>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</si>
  <si>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</si>
  <si>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</si>
  <si>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</si>
  <si>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</si>
  <si>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</si>
  <si>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</si>
  <si>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</si>
  <si>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</si>
  <si>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</si>
  <si>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</si>
  <si>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</si>
  <si>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</si>
  <si>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</si>
  <si>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</si>
  <si>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</si>
  <si>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</si>
  <si>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</si>
  <si>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</si>
  <si>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</si>
  <si>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</si>
  <si>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</si>
  <si>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</si>
  <si>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</si>
  <si>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</si>
  <si>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</si>
  <si>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</si>
  <si>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</si>
  <si>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</si>
  <si>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</si>
  <si>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</si>
  <si>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</si>
  <si>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</si>
  <si>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</si>
  <si>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</si>
  <si>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</si>
  <si>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</si>
  <si>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</si>
  <si>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</si>
  <si>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</si>
  <si>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</si>
  <si>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</si>
  <si>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</si>
  <si>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</si>
  <si>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</si>
  <si>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</si>
  <si>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</si>
  <si>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</si>
  <si>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</si>
  <si>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</si>
  <si>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</si>
  <si>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</si>
  <si>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</si>
  <si>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</si>
  <si>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</si>
  <si>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</si>
  <si>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</si>
  <si>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</si>
  <si>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</si>
  <si>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</si>
  <si>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</si>
  <si>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</si>
  <si>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</si>
  <si>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</si>
  <si>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</si>
  <si>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</si>
  <si>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</si>
  <si>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</si>
  <si>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</si>
  <si>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</si>
  <si>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</si>
  <si>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</si>
  <si>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</si>
  <si>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</si>
  <si>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</si>
  <si>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</si>
  <si>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</si>
  <si>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</si>
  <si>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</si>
  <si>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</si>
  <si>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</si>
  <si>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</si>
  <si>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</si>
  <si>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</si>
  <si>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</si>
  <si>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</si>
  <si>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</si>
  <si>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</si>
  <si>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</si>
  <si>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</si>
  <si>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</si>
  <si>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</si>
  <si>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</si>
  <si>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</si>
  <si>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</si>
  <si>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</si>
  <si>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</si>
  <si>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</si>
  <si>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</si>
  <si>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</si>
  <si>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</si>
  <si>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</si>
  <si>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</si>
  <si>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</si>
  <si>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</si>
  <si>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</si>
  <si>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</si>
  <si>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</si>
  <si>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</si>
  <si>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</si>
  <si>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</si>
  <si>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</si>
  <si>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</si>
  <si>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</si>
  <si>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</si>
  <si>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</si>
  <si>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</si>
  <si>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</si>
  <si>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</si>
  <si>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</si>
  <si>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</si>
  <si>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</si>
  <si>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</si>
  <si>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</si>
  <si>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</si>
  <si>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</si>
  <si>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</si>
  <si>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</si>
  <si>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</si>
  <si>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</si>
  <si>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</si>
  <si>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</si>
  <si>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</si>
  <si>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</si>
  <si>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</si>
  <si>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</si>
  <si>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</si>
  <si>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</si>
  <si>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</si>
  <si>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</si>
  <si>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</si>
  <si>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</si>
  <si>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</si>
  <si>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</si>
  <si>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</si>
  <si>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</si>
  <si>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</si>
  <si>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</si>
  <si>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</si>
  <si>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</si>
  <si>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</si>
  <si>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</si>
  <si>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</si>
  <si>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</si>
  <si>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</si>
  <si>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</si>
  <si>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</si>
  <si>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</si>
  <si>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</si>
  <si>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</si>
  <si>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</si>
  <si>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</si>
  <si>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</si>
  <si>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</si>
  <si>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</si>
  <si>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</si>
  <si>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</si>
  <si>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</si>
  <si>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</si>
  <si>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</si>
  <si>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</si>
  <si>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</si>
  <si>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</si>
  <si>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</si>
  <si>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</si>
  <si>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</si>
  <si>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</si>
  <si>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</si>
  <si>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</si>
  <si>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</si>
  <si>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</si>
  <si>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</si>
  <si>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</si>
  <si>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</si>
  <si>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</si>
  <si>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</si>
  <si>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</si>
  <si>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</si>
  <si>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</si>
  <si>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</si>
  <si>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</si>
  <si>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</si>
  <si>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</si>
  <si>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</si>
  <si>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</si>
  <si>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</si>
  <si>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</si>
  <si>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</si>
  <si>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</si>
  <si>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</si>
  <si>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</si>
  <si>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</si>
  <si>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</si>
  <si>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</si>
  <si>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</si>
  <si>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</si>
  <si>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</si>
  <si>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</si>
  <si>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</si>
  <si>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</si>
  <si>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</si>
  <si>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</si>
  <si>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</si>
  <si>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</si>
  <si>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</si>
  <si>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</si>
  <si>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</si>
  <si>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</si>
  <si>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</si>
  <si>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</si>
  <si>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</si>
  <si>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</si>
  <si>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</si>
  <si>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</si>
  <si>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</si>
  <si>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</si>
  <si>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</si>
  <si>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</si>
  <si>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</si>
  <si>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</si>
  <si>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</si>
  <si>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</si>
  <si>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</si>
  <si>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</si>
  <si>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</si>
  <si>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</si>
  <si>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</si>
  <si>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</si>
  <si>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</si>
  <si>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</si>
  <si>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</si>
  <si>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</si>
  <si>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</si>
  <si>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</si>
  <si>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</si>
  <si>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</si>
  <si>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</si>
  <si>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</si>
  <si>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</si>
  <si>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</si>
  <si>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</si>
  <si>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</si>
  <si>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</si>
  <si>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</si>
  <si>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</si>
  <si>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</si>
  <si>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</si>
  <si>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</si>
  <si>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</si>
  <si>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</si>
  <si>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</si>
  <si>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</si>
  <si>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</si>
  <si>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</si>
  <si>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</si>
  <si>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</si>
  <si>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</si>
  <si>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</si>
  <si>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</si>
  <si>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</si>
  <si>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</si>
  <si>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</si>
  <si>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</si>
  <si>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</si>
  <si>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</si>
  <si>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</si>
  <si>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</si>
  <si>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</si>
  <si>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</si>
  <si>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</si>
  <si>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</si>
  <si>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</si>
  <si>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</si>
  <si>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</si>
  <si>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</si>
  <si>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</si>
  <si>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The Kelsey Civic Center, L.P.</t>
  </si>
  <si>
    <t>The Kelsey Civic Center</t>
  </si>
  <si>
    <t>San Francisco Mayor's Office of Housing and Community Development</t>
  </si>
  <si>
    <t>Eric Shaw</t>
  </si>
  <si>
    <t>Director</t>
  </si>
  <si>
    <t>1 South Van Ness Avenue, 5th Floor</t>
  </si>
  <si>
    <t>(415) 701-5528</t>
  </si>
  <si>
    <t>(415) 701-5501</t>
  </si>
  <si>
    <t>eric.shaw@sfgov.org</t>
  </si>
  <si>
    <t>240 Van Ness Avenue</t>
  </si>
  <si>
    <t>0811/20, 0811/19, 0811/16, 0811/21
(to be consolidated in future to 0811/204)</t>
  </si>
  <si>
    <t>Low Resource</t>
  </si>
  <si>
    <t>1256 Market Street</t>
  </si>
  <si>
    <t>CA</t>
  </si>
  <si>
    <t>Fiona Ruddy</t>
  </si>
  <si>
    <t>415.355.7160</t>
  </si>
  <si>
    <t>415.355.7101</t>
  </si>
  <si>
    <t>fiona.ruddy@mercyhousing.org</t>
  </si>
  <si>
    <t>Mercy Housing Calwest</t>
  </si>
  <si>
    <t>Managing GP</t>
  </si>
  <si>
    <t>Barbara Gualco</t>
  </si>
  <si>
    <t>415.355.7100</t>
  </si>
  <si>
    <t>bgualco@mercyhousing.org</t>
  </si>
  <si>
    <t>The Kelsey Civic Center LLC</t>
  </si>
  <si>
    <t>Administrative GP</t>
  </si>
  <si>
    <t>1460 Mission Street</t>
  </si>
  <si>
    <t>Micaela Connery</t>
  </si>
  <si>
    <t>415.413.3902</t>
  </si>
  <si>
    <t>micaela@thekelsey.org</t>
  </si>
  <si>
    <t>The Kelsey</t>
  </si>
  <si>
    <t>Mercy Housing California</t>
  </si>
  <si>
    <t>Project Developer</t>
  </si>
  <si>
    <t>Santos Prescott and Associates</t>
  </si>
  <si>
    <t>1228 Folsom Street, Suite 102</t>
  </si>
  <si>
    <t>San Francisco, CA 94102</t>
  </si>
  <si>
    <t>San Francisco, CA 94103</t>
  </si>
  <si>
    <t>Bruce Prescott</t>
  </si>
  <si>
    <t>415.908.3767</t>
  </si>
  <si>
    <t>bruce@santosprescott.com</t>
  </si>
  <si>
    <t>Gubb &amp; Barshay LLP</t>
  </si>
  <si>
    <t>Cahill Contractors LLC</t>
  </si>
  <si>
    <t>505 14th Street, Suite 450</t>
  </si>
  <si>
    <t>425 California Street, Suite 2200</t>
  </si>
  <si>
    <t>Oakland, CA 94612</t>
  </si>
  <si>
    <t>San Francisco, CA 94104</t>
  </si>
  <si>
    <t>Evan Gross</t>
  </si>
  <si>
    <t>Arash Baradaran</t>
  </si>
  <si>
    <t>415.781.6600</t>
  </si>
  <si>
    <t>415.677.0628</t>
  </si>
  <si>
    <t>egross@gubbandbarshay.com</t>
  </si>
  <si>
    <t>abaradaran@cahill-sf.com</t>
  </si>
  <si>
    <t>Stok</t>
  </si>
  <si>
    <t>26 O'Farrell St, Fl. 2</t>
  </si>
  <si>
    <t>San Francisco, CA 94108</t>
  </si>
  <si>
    <t>Michelle Tang</t>
  </si>
  <si>
    <t>619.489.5449</t>
  </si>
  <si>
    <t>michellet@stok.com</t>
  </si>
  <si>
    <t>To Be Determined</t>
  </si>
  <si>
    <t>CohnReznick, LLP</t>
  </si>
  <si>
    <t>525 North Tyson Street, Suite 1000</t>
  </si>
  <si>
    <t>Charlotte, NC 28202</t>
  </si>
  <si>
    <t>Nic Mathias</t>
  </si>
  <si>
    <t>704-900-2013</t>
  </si>
  <si>
    <t>704-900-2014</t>
  </si>
  <si>
    <t>nic.mathias@cohnreznick.com</t>
  </si>
  <si>
    <t>California Housing Partnership</t>
  </si>
  <si>
    <t>369 Pine Street, Suite 300</t>
  </si>
  <si>
    <t>Mengxin Zhou</t>
  </si>
  <si>
    <t>415.433.6804</t>
  </si>
  <si>
    <t>mzhou@chpc.net</t>
  </si>
  <si>
    <t>Newport Realty Advisors</t>
  </si>
  <si>
    <t>2601 Chestnut Street #1</t>
  </si>
  <si>
    <t>San Francisco, CA 94123</t>
  </si>
  <si>
    <t>Charlie Castro</t>
  </si>
  <si>
    <t>415.835.6060</t>
  </si>
  <si>
    <t>charlie@newportrealtyadvisors.com</t>
  </si>
  <si>
    <t>City and County of San Francisco</t>
  </si>
  <si>
    <t>Mercy Housing Management Group</t>
  </si>
  <si>
    <t>1 S Van Ness Ave Ste 5</t>
  </si>
  <si>
    <t>William Wilcox</t>
  </si>
  <si>
    <t>Jacquie Hoffman</t>
  </si>
  <si>
    <t>540.878.8505</t>
  </si>
  <si>
    <t>william.wilcox@sfgov.org</t>
  </si>
  <si>
    <t>jhoffman@mercyhousing.org</t>
  </si>
  <si>
    <t>2 Commercial Tenants</t>
  </si>
  <si>
    <t>Secured by Leasehold Interest</t>
  </si>
  <si>
    <t>Inner City Infill Site</t>
  </si>
  <si>
    <t>C-3-G (Downtown - General) District</t>
  </si>
  <si>
    <t>C-3-G (Downtown - General) District (70-X Height and Bulk District)</t>
  </si>
  <si>
    <t>The project provides 110 lower income units and qualifies for up to 505 additional density, three incentives and concessions and waivers form development standards pursuant to CA Govt. Code Section 65915 (the State Density Bonus Law).</t>
  </si>
  <si>
    <t xml:space="preserve">70' height district. Project was granted a waiver from height limit pursuant to State Density Bonus Law. </t>
  </si>
  <si>
    <t>No parking requirement per local jurisdiction</t>
  </si>
  <si>
    <t>No on site car parking, 56 indoor bike parking spaces</t>
  </si>
  <si>
    <t>SB 35 Approval</t>
  </si>
  <si>
    <t>Sponsor Loan - The Kelsey</t>
  </si>
  <si>
    <t>Federal Homeloan Bank AHP</t>
  </si>
  <si>
    <t>Tax Exempt Construction Loan/Chase</t>
  </si>
  <si>
    <t>Taxable Construction Loan/Chase</t>
  </si>
  <si>
    <t>SF MOHCD</t>
  </si>
  <si>
    <t>The Kelsey Sponsor Loan</t>
  </si>
  <si>
    <t>Accrued Interest on Soft Loans</t>
  </si>
  <si>
    <t>Costs Deferred until Conversion</t>
  </si>
  <si>
    <t>GP Capital</t>
  </si>
  <si>
    <t>Limited Partner Equity</t>
  </si>
  <si>
    <t>560 Mission Street, Floor 03</t>
  </si>
  <si>
    <t>San Francisco, CA 94105</t>
  </si>
  <si>
    <t>James Vossoughi</t>
  </si>
  <si>
    <t>415.315.6708</t>
  </si>
  <si>
    <t>Construction Loan - Tax Exempt</t>
  </si>
  <si>
    <t>Construction Loan - Taxable</t>
  </si>
  <si>
    <t>30-day SOFR</t>
  </si>
  <si>
    <t>1 S Van Ness Ave Ste 5.</t>
  </si>
  <si>
    <t>Anne Romero</t>
  </si>
  <si>
    <t>415.701.5525</t>
  </si>
  <si>
    <t>Soft Loan</t>
  </si>
  <si>
    <t>Deferred Interest Soft Loan</t>
  </si>
  <si>
    <t>Deferred Costs</t>
  </si>
  <si>
    <t>TBD</t>
  </si>
  <si>
    <t>LP Equity</t>
  </si>
  <si>
    <t>Tax-Exempt Perm Loan</t>
  </si>
  <si>
    <t>HCD AHSC</t>
  </si>
  <si>
    <t>FHLB AHP</t>
  </si>
  <si>
    <t>2020 W. El Camino Avenue, Suite 67</t>
  </si>
  <si>
    <t>Sacramento, CA 95833</t>
  </si>
  <si>
    <t>Terri R. Wright</t>
  </si>
  <si>
    <t>916.776.7749</t>
  </si>
  <si>
    <t>Permanent Mortgage</t>
  </si>
  <si>
    <t>California Energy Commission Utility Allowance Calculator Tool Version 2.0.0</t>
  </si>
  <si>
    <t>Misc. Admin</t>
  </si>
  <si>
    <t>Payroll Taxes/Benefits</t>
  </si>
  <si>
    <t>HVAC</t>
  </si>
  <si>
    <t>Misc. Tax/License</t>
  </si>
  <si>
    <t>Section 811 PRA</t>
  </si>
  <si>
    <t>City and County of San Francisco Administrative Code</t>
  </si>
  <si>
    <t>Other (Annual Issuer Fee):</t>
  </si>
  <si>
    <t>Other (Annual Trustee Fee):</t>
  </si>
  <si>
    <t>GGRC Loan</t>
  </si>
  <si>
    <t>Housing and Community Development - AHSC</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</si>
  <si>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</si>
  <si>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</si>
  <si>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</si>
  <si>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</si>
  <si>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</si>
  <si>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</si>
  <si>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</si>
  <si>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</si>
  <si>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</si>
  <si>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</si>
  <si>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</si>
  <si>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</si>
  <si>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</si>
  <si>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</si>
  <si>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</si>
  <si>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</si>
  <si>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</si>
  <si>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</si>
  <si>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</si>
  <si>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</si>
  <si>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</si>
  <si>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</si>
  <si>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</si>
  <si>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</si>
  <si>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</si>
  <si>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</si>
  <si>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</si>
  <si>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</si>
  <si>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</si>
  <si>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</si>
  <si>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</si>
  <si>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</si>
  <si>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</si>
  <si>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</si>
  <si>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</si>
  <si>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</si>
  <si>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</si>
  <si>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</si>
  <si>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</si>
  <si>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</si>
  <si>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</si>
  <si>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</si>
  <si>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</si>
  <si>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</si>
  <si>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</si>
  <si>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</si>
  <si>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</si>
  <si>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</si>
  <si>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</si>
  <si>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</si>
  <si>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</si>
  <si>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</si>
  <si>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</si>
  <si>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</si>
  <si>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</si>
  <si>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</si>
  <si>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</si>
  <si>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</si>
  <si>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</si>
  <si>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</si>
  <si>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</si>
  <si>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</si>
  <si>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</si>
  <si>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</si>
  <si>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</si>
  <si>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</si>
  <si>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</si>
  <si>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</si>
  <si>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</si>
  <si>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</si>
  <si>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</si>
  <si>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</si>
  <si>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</si>
  <si>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</si>
  <si>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</si>
  <si>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</si>
  <si>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</si>
  <si>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</si>
  <si>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</si>
  <si>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</si>
  <si>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</si>
  <si>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</si>
  <si>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</si>
  <si>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</si>
  <si>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</si>
  <si>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</si>
  <si>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</si>
  <si>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</si>
  <si>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</si>
  <si>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http://www.treasurer.ca.gov/CTCAC/2018/lra/contact.pdf</t>
  </si>
  <si>
    <t>1. Preservation Projects</t>
  </si>
  <si>
    <t>(A) A project that meets at least one of the following shall receive 20 points:</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</si>
  <si>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</si>
  <si>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</si>
  <si>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</si>
  <si>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</si>
  <si>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</si>
  <si>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</si>
  <si>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</si>
  <si>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</si>
  <si>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</si>
  <si>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</si>
  <si>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</si>
  <si>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</si>
  <si>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</si>
  <si>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</si>
  <si>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</si>
  <si>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10 or 9 Points*</t>
  </si>
  <si>
    <t xml:space="preserve">the project is located in a High or Highest Resource Area as specified on the CTCAC/HCD Opportunity Area Map**; and
</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</si>
  <si>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</si>
  <si>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</si>
  <si>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</si>
  <si>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</si>
  <si>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</si>
  <si>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</si>
  <si>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</si>
  <si>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</si>
  <si>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</si>
  <si>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</si>
  <si>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</si>
  <si>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The project is a new construction large family housing type project, except for an inclusionary project as defined in Section 10325(c)(9)(C), and the site is located in a census tract designated on the CTCAC/HCD Opportunity Area Map as Highest or High Resource</t>
  </si>
  <si>
    <t>m.</t>
  </si>
  <si>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</si>
  <si>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</si>
  <si>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</si>
  <si>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</si>
  <si>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</si>
  <si>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</si>
  <si>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(CCTCAC Regulations).</t>
  </si>
  <si>
    <t xml:space="preserve">15 YEAR PROJECT CASH FLOW PROJECTIONS - Refer to CTCAC Regulation Sections 10322(h)(22), 10325(f)(5), 10326(g)(4), 10327(f) and (g). </t>
  </si>
  <si>
    <t>August</t>
  </si>
  <si>
    <t>, 20_22__ at</t>
  </si>
  <si>
    <t>Ramie Dare</t>
  </si>
  <si>
    <t>Vice President</t>
  </si>
  <si>
    <t>40%/60%</t>
  </si>
  <si>
    <t>Mercy Kelsey Civic Center LLC</t>
  </si>
  <si>
    <t>SF MOHCD (committed)</t>
  </si>
  <si>
    <t>SF MOHCD (uncommitted)</t>
  </si>
  <si>
    <t>Sean Galvin</t>
  </si>
  <si>
    <t>415.832.5740</t>
  </si>
  <si>
    <t>1355 Market St Suite 220</t>
  </si>
  <si>
    <t>Variable</t>
  </si>
  <si>
    <t>Fixed</t>
  </si>
  <si>
    <t>Interest Only</t>
  </si>
  <si>
    <t>N</t>
  </si>
  <si>
    <t>Kelsey Commercial Space Purchase</t>
  </si>
  <si>
    <t>Other: Construction Lender Expenses</t>
  </si>
  <si>
    <t>Other: Perm Lender Expenses</t>
  </si>
  <si>
    <t>Other: Borrower Legal</t>
  </si>
  <si>
    <t>Other: Additional Operating Reserve; HCD Required Transition Reserve</t>
  </si>
  <si>
    <t>Other: Accrued Interest on soft loans during construction</t>
  </si>
  <si>
    <t>Other: AHSC Consultant</t>
  </si>
  <si>
    <t>Other: Public Art</t>
  </si>
  <si>
    <t>Gound Lease</t>
  </si>
  <si>
    <t>1430 sq ft of commercial space located on Grove Street elevation. To be long term master leased (55+ year lease) to a non-for proft tenant with the ultimate use as a disability cultural center. The Commercial Space will be under a condominmum subsdivision for purposes of the 50% test</t>
  </si>
  <si>
    <t xml:space="preserve">HCD AHSC </t>
  </si>
  <si>
    <t>2 bedroom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</si>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</sst>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5588">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1"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cellStyleXfs>
  <cellXfs count="32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5" borderId="3" xfId="569" applyFill="1"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13" fillId="0" borderId="0" xfId="543" applyFont="1" applyBorder="1" applyAlignment="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44" fontId="13" fillId="0" borderId="4" xfId="707" applyFont="1" applyFill="1" applyBorder="1" applyAlignment="1" applyProtection="1">
      <alignment horizontal="left" vertical="top" wrapText="1"/>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3" fillId="0" borderId="58" xfId="0" applyFont="1" applyBorder="1" applyAlignment="1">
      <alignment horizontal="left"/>
    </xf>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0" fontId="13" fillId="0" borderId="0" xfId="0" applyFont="1" applyFill="1" applyBorder="1" applyAlignment="1">
      <alignment vertical="top"/>
    </xf>
    <xf numFmtId="0" fontId="13" fillId="0" borderId="0" xfId="0" applyFont="1" applyFill="1" applyBorder="1" applyAlignment="1">
      <alignment vertical="center"/>
    </xf>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5"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19"/>
    <xf numFmtId="0" fontId="100" fillId="0" borderId="0" xfId="8719" applyFont="1"/>
    <xf numFmtId="0" fontId="3" fillId="48" borderId="67" xfId="8719" applyFill="1" applyBorder="1"/>
    <xf numFmtId="0" fontId="3" fillId="48" borderId="0" xfId="8719" applyFill="1"/>
    <xf numFmtId="0" fontId="99" fillId="48" borderId="41" xfId="8719" applyFont="1" applyFill="1" applyBorder="1" applyAlignment="1">
      <alignment horizontal="center"/>
    </xf>
    <xf numFmtId="0" fontId="99" fillId="48" borderId="0" xfId="8719" applyFont="1" applyFill="1"/>
    <xf numFmtId="182" fontId="0" fillId="48" borderId="0" xfId="8720" applyNumberFormat="1" applyFont="1" applyFill="1" applyBorder="1" applyAlignment="1"/>
    <xf numFmtId="182" fontId="100" fillId="48" borderId="0" xfId="8720" applyNumberFormat="1" applyFont="1" applyFill="1" applyBorder="1" applyAlignment="1"/>
    <xf numFmtId="182" fontId="147" fillId="48" borderId="0" xfId="8720" applyNumberFormat="1" applyFont="1" applyFill="1" applyBorder="1" applyAlignment="1"/>
    <xf numFmtId="0" fontId="3" fillId="48" borderId="41" xfId="8719" applyFill="1" applyBorder="1"/>
    <xf numFmtId="0" fontId="100" fillId="48" borderId="0" xfId="8719" applyFont="1" applyFill="1"/>
    <xf numFmtId="0" fontId="153" fillId="48" borderId="0" xfId="8719" applyFont="1" applyFill="1"/>
    <xf numFmtId="0" fontId="99" fillId="48" borderId="41" xfId="8719" applyFont="1" applyFill="1" applyBorder="1"/>
    <xf numFmtId="0" fontId="99" fillId="0" borderId="0" xfId="8719" applyFont="1"/>
    <xf numFmtId="0" fontId="99" fillId="44" borderId="0" xfId="8719" applyFont="1" applyFill="1"/>
    <xf numFmtId="0" fontId="3" fillId="44" borderId="0" xfId="8719" applyFill="1"/>
    <xf numFmtId="0" fontId="155" fillId="48" borderId="0" xfId="8719" applyFont="1" applyFill="1"/>
    <xf numFmtId="0" fontId="3" fillId="47" borderId="66" xfId="8719" applyFill="1" applyBorder="1"/>
    <xf numFmtId="0" fontId="3" fillId="47" borderId="29" xfId="8719" applyFill="1" applyBorder="1"/>
    <xf numFmtId="0" fontId="3" fillId="47" borderId="31" xfId="8719" applyFill="1" applyBorder="1"/>
    <xf numFmtId="0" fontId="3" fillId="47" borderId="67" xfId="8719" applyFill="1" applyBorder="1"/>
    <xf numFmtId="0" fontId="3" fillId="47" borderId="0" xfId="8719" applyFill="1"/>
    <xf numFmtId="0" fontId="3" fillId="47" borderId="41" xfId="8719" applyFill="1" applyBorder="1"/>
    <xf numFmtId="0" fontId="3" fillId="47" borderId="88" xfId="8719" applyFill="1" applyBorder="1"/>
    <xf numFmtId="0" fontId="3" fillId="47" borderId="42" xfId="8719" applyFill="1" applyBorder="1"/>
    <xf numFmtId="0" fontId="3" fillId="47" borderId="44" xfId="8719" applyFill="1" applyBorder="1"/>
    <xf numFmtId="0" fontId="144" fillId="47" borderId="4" xfId="8719" applyFont="1" applyFill="1" applyBorder="1" applyAlignment="1">
      <alignment horizontal="center"/>
    </xf>
    <xf numFmtId="0" fontId="144" fillId="47" borderId="81" xfId="8719" applyFont="1" applyFill="1" applyBorder="1" applyAlignment="1">
      <alignment horizontal="center"/>
    </xf>
    <xf numFmtId="0" fontId="99" fillId="48" borderId="67" xfId="8719" applyFont="1" applyFill="1" applyBorder="1"/>
    <xf numFmtId="49" fontId="99" fillId="48" borderId="67" xfId="8719" applyNumberFormat="1" applyFont="1" applyFill="1" applyBorder="1" applyAlignment="1">
      <alignment horizontal="right" vertical="top"/>
    </xf>
    <xf numFmtId="0" fontId="3" fillId="48" borderId="0" xfId="8719" applyFill="1" applyAlignment="1">
      <alignment vertical="top" wrapText="1"/>
    </xf>
    <xf numFmtId="0" fontId="3" fillId="48" borderId="88" xfId="8719" applyFill="1" applyBorder="1"/>
    <xf numFmtId="0" fontId="3" fillId="48" borderId="42" xfId="8719" applyFill="1" applyBorder="1"/>
    <xf numFmtId="0" fontId="3" fillId="48" borderId="44" xfId="8719" applyFill="1" applyBorder="1"/>
    <xf numFmtId="0" fontId="3" fillId="44" borderId="67" xfId="8719" applyFill="1" applyBorder="1"/>
    <xf numFmtId="0" fontId="3" fillId="44" borderId="41" xfId="8719" applyFill="1" applyBorder="1"/>
    <xf numFmtId="0" fontId="3" fillId="44" borderId="0" xfId="8719" applyFill="1" applyAlignment="1">
      <alignment horizontal="left"/>
    </xf>
    <xf numFmtId="0" fontId="3" fillId="44" borderId="88" xfId="8719" applyFill="1" applyBorder="1"/>
    <xf numFmtId="0" fontId="3" fillId="44" borderId="42" xfId="8719" applyFill="1" applyBorder="1"/>
    <xf numFmtId="0" fontId="3" fillId="44" borderId="44" xfId="8719" applyFill="1" applyBorder="1"/>
    <xf numFmtId="0" fontId="158" fillId="0" borderId="0" xfId="8719" applyFont="1"/>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13" fillId="5" borderId="0" xfId="569" applyFill="1" applyBorder="1" applyAlignment="1" applyProtection="1">
      <protection locked="0"/>
    </xf>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168" fontId="22" fillId="0" borderId="0" xfId="0" applyNumberFormat="1" applyFont="1" applyFill="1" applyBorder="1" applyAlignment="1" applyProtection="1"/>
    <xf numFmtId="44" fontId="13" fillId="0" borderId="0" xfId="707" applyFont="1" applyFill="1" applyBorder="1" applyAlignment="1" applyProtection="1">
      <alignment horizontal="left" vertical="top" wrapText="1"/>
    </xf>
    <xf numFmtId="172" fontId="13" fillId="0" borderId="8" xfId="543" applyNumberFormat="1" applyBorder="1"/>
    <xf numFmtId="172" fontId="13" fillId="0" borderId="0" xfId="543" applyNumberFormat="1"/>
    <xf numFmtId="0" fontId="13" fillId="0" borderId="0" xfId="543"/>
    <xf numFmtId="0" fontId="13" fillId="0" borderId="8" xfId="8722" applyBorder="1"/>
    <xf numFmtId="0" fontId="13" fillId="0" borderId="0" xfId="8722"/>
    <xf numFmtId="0" fontId="19" fillId="0" borderId="0" xfId="8722" applyFont="1" applyAlignment="1">
      <alignment horizontal="center" vertical="center"/>
    </xf>
    <xf numFmtId="0" fontId="20" fillId="0" borderId="0" xfId="8722" applyFont="1" applyAlignment="1">
      <alignment horizontal="left"/>
    </xf>
    <xf numFmtId="0" fontId="20" fillId="0" borderId="0" xfId="8722" applyFont="1"/>
    <xf numFmtId="0" fontId="23" fillId="0" borderId="0" xfId="8722" applyFont="1" applyAlignment="1">
      <alignment horizontal="center" vertical="center"/>
    </xf>
    <xf numFmtId="0" fontId="23" fillId="0" borderId="27" xfId="8722" applyFont="1" applyBorder="1" applyAlignment="1">
      <alignment horizontal="center" vertical="center"/>
    </xf>
    <xf numFmtId="0" fontId="23" fillId="0" borderId="46" xfId="8722" applyFont="1" applyBorder="1" applyAlignment="1">
      <alignment horizontal="center" vertical="center"/>
    </xf>
    <xf numFmtId="0" fontId="20" fillId="0" borderId="0" xfId="8722" applyFont="1" applyAlignment="1">
      <alignment horizontal="right"/>
    </xf>
    <xf numFmtId="0" fontId="31" fillId="0" borderId="0" xfId="8722" applyFont="1" applyAlignment="1">
      <alignment vertical="center"/>
    </xf>
    <xf numFmtId="0" fontId="13" fillId="0" borderId="0" xfId="1192" applyAlignment="1">
      <alignment horizontal="left"/>
    </xf>
    <xf numFmtId="0" fontId="13" fillId="0" borderId="0" xfId="1192" quotePrefix="1" applyAlignment="1">
      <alignment horizontal="center"/>
    </xf>
    <xf numFmtId="0" fontId="43" fillId="0" borderId="0" xfId="8722" applyFont="1" applyAlignment="1">
      <alignment horizontal="left" vertical="center"/>
    </xf>
    <xf numFmtId="49" fontId="21" fillId="0" borderId="0" xfId="8722" applyNumberFormat="1" applyFont="1" applyAlignment="1">
      <alignment horizontal="left" vertical="top"/>
    </xf>
    <xf numFmtId="0" fontId="13" fillId="0" borderId="47" xfId="8722" applyBorder="1" applyAlignment="1">
      <alignment horizontal="left" vertical="center"/>
    </xf>
    <xf numFmtId="0" fontId="23" fillId="0" borderId="48" xfId="8722" applyFont="1" applyBorder="1" applyAlignment="1">
      <alignment horizontal="center" vertical="center"/>
    </xf>
    <xf numFmtId="0" fontId="21" fillId="0" borderId="0" xfId="8722" applyFont="1"/>
    <xf numFmtId="0" fontId="21" fillId="0" borderId="0" xfId="8722" applyFont="1" applyAlignment="1">
      <alignment horizontal="left" vertical="top"/>
    </xf>
    <xf numFmtId="0" fontId="120" fillId="0" borderId="53" xfId="8723" applyFont="1" applyBorder="1" applyAlignment="1">
      <alignment horizontal="left" vertical="top"/>
    </xf>
    <xf numFmtId="0" fontId="119" fillId="0" borderId="0" xfId="8723" applyFont="1" applyAlignment="1">
      <alignment horizontal="left" vertical="top" wrapText="1"/>
    </xf>
    <xf numFmtId="0" fontId="119" fillId="0" borderId="54" xfId="8723" applyFont="1" applyBorder="1" applyAlignment="1">
      <alignment horizontal="left" vertical="top" wrapText="1"/>
    </xf>
    <xf numFmtId="0" fontId="31" fillId="0" borderId="0" xfId="8722" applyFont="1" applyAlignment="1">
      <alignment horizontal="left" vertical="center"/>
    </xf>
    <xf numFmtId="0" fontId="13" fillId="0" borderId="58" xfId="8722" applyBorder="1" applyAlignment="1">
      <alignment vertical="center" wrapText="1"/>
    </xf>
    <xf numFmtId="0" fontId="119" fillId="0" borderId="0" xfId="8723" applyFont="1" applyAlignment="1">
      <alignment vertical="center" wrapText="1"/>
    </xf>
    <xf numFmtId="0" fontId="121" fillId="0" borderId="0" xfId="8723" applyFont="1" applyAlignment="1">
      <alignment vertical="center"/>
    </xf>
    <xf numFmtId="0" fontId="119" fillId="0" borderId="0" xfId="8723" applyFont="1"/>
    <xf numFmtId="0" fontId="119" fillId="0" borderId="0" xfId="8723" applyFont="1" applyAlignment="1">
      <alignment vertical="center"/>
    </xf>
    <xf numFmtId="0" fontId="122" fillId="0" borderId="0" xfId="8723" applyFont="1" applyAlignment="1">
      <alignment vertical="center"/>
    </xf>
    <xf numFmtId="0" fontId="13" fillId="0" borderId="0" xfId="8723" applyFont="1" applyAlignment="1">
      <alignment vertical="center"/>
    </xf>
    <xf numFmtId="0" fontId="21" fillId="0" borderId="3" xfId="8722" applyFont="1" applyBorder="1" applyAlignment="1">
      <alignment vertical="top" wrapText="1"/>
    </xf>
    <xf numFmtId="0" fontId="21" fillId="0" borderId="4" xfId="8722" applyFont="1" applyBorder="1" applyAlignment="1">
      <alignment vertical="top" wrapText="1"/>
    </xf>
    <xf numFmtId="164" fontId="13" fillId="0" borderId="4" xfId="8722" applyNumberFormat="1" applyBorder="1" applyAlignment="1">
      <alignment horizontal="right"/>
    </xf>
    <xf numFmtId="0" fontId="21" fillId="0" borderId="4" xfId="8722" applyFont="1" applyBorder="1"/>
    <xf numFmtId="0" fontId="20" fillId="0" borderId="5" xfId="8722" applyFont="1" applyBorder="1" applyAlignment="1">
      <alignment horizontal="right"/>
    </xf>
    <xf numFmtId="0" fontId="13" fillId="0" borderId="16" xfId="8722" applyBorder="1"/>
    <xf numFmtId="0" fontId="13" fillId="0" borderId="16" xfId="8722" applyBorder="1" applyAlignment="1">
      <alignment horizontal="left" vertical="top"/>
    </xf>
    <xf numFmtId="0" fontId="21" fillId="0" borderId="16" xfId="8722" applyFont="1" applyBorder="1" applyAlignment="1">
      <alignment horizontal="left" vertical="top" wrapText="1"/>
    </xf>
    <xf numFmtId="0" fontId="21" fillId="0" borderId="45" xfId="8722" applyFont="1" applyBorder="1" applyAlignment="1">
      <alignment horizontal="left" vertical="top" wrapText="1"/>
    </xf>
    <xf numFmtId="0" fontId="21" fillId="0" borderId="0" xfId="8722" applyFont="1" applyAlignment="1">
      <alignment horizontal="left" vertical="top" wrapText="1"/>
    </xf>
    <xf numFmtId="0" fontId="21" fillId="0" borderId="0" xfId="8722" applyFont="1" applyAlignment="1">
      <alignment horizontal="right" vertical="top"/>
    </xf>
    <xf numFmtId="0" fontId="13" fillId="0" borderId="50" xfId="8722" applyBorder="1" applyAlignment="1">
      <alignment vertical="center"/>
    </xf>
    <xf numFmtId="0" fontId="13" fillId="0" borderId="51" xfId="8722" applyBorder="1" applyAlignment="1">
      <alignment vertical="center"/>
    </xf>
    <xf numFmtId="0" fontId="13" fillId="0" borderId="52" xfId="8722" applyBorder="1" applyAlignment="1">
      <alignment vertical="center"/>
    </xf>
    <xf numFmtId="0" fontId="13" fillId="0" borderId="0" xfId="8722" applyAlignment="1">
      <alignment vertical="center" wrapText="1"/>
    </xf>
    <xf numFmtId="0" fontId="13" fillId="0" borderId="0" xfId="8722" applyAlignment="1">
      <alignment horizontal="left" vertical="center" wrapText="1"/>
    </xf>
    <xf numFmtId="0" fontId="13" fillId="0" borderId="54" xfId="8722" applyBorder="1" applyAlignment="1">
      <alignment vertical="center" wrapText="1"/>
    </xf>
    <xf numFmtId="0" fontId="13" fillId="0" borderId="53" xfId="8722" applyBorder="1" applyAlignment="1">
      <alignment vertical="center" wrapText="1"/>
    </xf>
    <xf numFmtId="0" fontId="13" fillId="0" borderId="59" xfId="8722" applyBorder="1" applyAlignment="1">
      <alignment vertical="center" wrapText="1"/>
    </xf>
    <xf numFmtId="0" fontId="119" fillId="0" borderId="53" xfId="8723" applyFont="1" applyBorder="1" applyAlignment="1">
      <alignment vertical="top" wrapText="1"/>
    </xf>
    <xf numFmtId="0" fontId="119" fillId="0" borderId="0" xfId="8723" applyFont="1" applyAlignment="1">
      <alignment vertical="top" wrapText="1"/>
    </xf>
    <xf numFmtId="10" fontId="119" fillId="0" borderId="0" xfId="8723" applyNumberFormat="1" applyFont="1" applyAlignment="1">
      <alignment vertical="top" wrapText="1"/>
    </xf>
    <xf numFmtId="0" fontId="119" fillId="0" borderId="54" xfId="8723" applyFont="1" applyBorder="1" applyAlignment="1">
      <alignment vertical="top" wrapText="1"/>
    </xf>
    <xf numFmtId="0" fontId="119" fillId="0" borderId="0" xfId="8723" applyFont="1" applyAlignment="1">
      <alignment vertical="top"/>
    </xf>
    <xf numFmtId="165" fontId="119" fillId="0" borderId="0" xfId="8723" applyNumberFormat="1" applyFont="1" applyAlignment="1">
      <alignment vertical="top" wrapText="1"/>
    </xf>
    <xf numFmtId="0" fontId="20" fillId="0" borderId="57" xfId="8722" applyFont="1" applyBorder="1"/>
    <xf numFmtId="0" fontId="20" fillId="0" borderId="58" xfId="8722" applyFont="1" applyBorder="1"/>
    <xf numFmtId="0" fontId="20" fillId="0" borderId="58" xfId="8722" applyFont="1" applyBorder="1" applyAlignment="1">
      <alignment horizontal="right"/>
    </xf>
    <xf numFmtId="0" fontId="20" fillId="0" borderId="59" xfId="8722" applyFont="1" applyBorder="1" applyAlignment="1">
      <alignment horizontal="right"/>
    </xf>
    <xf numFmtId="0" fontId="119" fillId="0" borderId="53" xfId="8723" applyFont="1" applyBorder="1" applyAlignment="1">
      <alignment horizontal="left" vertical="top" wrapText="1"/>
    </xf>
    <xf numFmtId="9" fontId="13" fillId="0" borderId="0" xfId="8722" applyNumberFormat="1"/>
    <xf numFmtId="0" fontId="119" fillId="0" borderId="0" xfId="8723" applyFont="1" applyAlignment="1">
      <alignment horizontal="left" vertical="top"/>
    </xf>
    <xf numFmtId="0" fontId="13" fillId="0" borderId="0" xfId="8722" applyAlignment="1">
      <alignment horizontal="center"/>
    </xf>
    <xf numFmtId="165" fontId="13" fillId="0" borderId="0" xfId="8722" applyNumberFormat="1"/>
    <xf numFmtId="172" fontId="13" fillId="0" borderId="0" xfId="8722" applyNumberFormat="1"/>
    <xf numFmtId="165" fontId="119" fillId="0" borderId="65" xfId="8723" applyNumberFormat="1" applyFont="1" applyBorder="1" applyAlignment="1">
      <alignment horizontal="center" vertical="top" wrapText="1"/>
    </xf>
    <xf numFmtId="165" fontId="119" fillId="0" borderId="0" xfId="8723" applyNumberFormat="1" applyFont="1" applyAlignment="1">
      <alignment horizontal="center" vertical="top" wrapText="1"/>
    </xf>
    <xf numFmtId="165" fontId="119" fillId="0" borderId="53" xfId="8723" applyNumberFormat="1" applyFont="1" applyBorder="1" applyAlignment="1">
      <alignment horizontal="left" vertical="top"/>
    </xf>
    <xf numFmtId="168" fontId="119" fillId="0" borderId="0" xfId="8723" applyNumberFormat="1" applyFont="1" applyAlignment="1">
      <alignment vertical="top" wrapText="1"/>
    </xf>
    <xf numFmtId="0" fontId="119" fillId="0" borderId="0" xfId="8722" applyFont="1"/>
    <xf numFmtId="168" fontId="119" fillId="0" borderId="0" xfId="8723" applyNumberFormat="1" applyFont="1" applyAlignment="1">
      <alignment vertical="top"/>
    </xf>
    <xf numFmtId="10" fontId="119" fillId="0" borderId="0" xfId="8722" applyNumberFormat="1" applyFont="1"/>
    <xf numFmtId="165" fontId="119" fillId="0" borderId="53" xfId="8723" applyNumberFormat="1" applyFont="1" applyBorder="1" applyAlignment="1">
      <alignment horizontal="center" vertical="top" wrapText="1"/>
    </xf>
    <xf numFmtId="10" fontId="119" fillId="0" borderId="65" xfId="8723" applyNumberFormat="1" applyFont="1" applyBorder="1" applyAlignment="1">
      <alignment horizontal="center" vertical="top" wrapText="1"/>
    </xf>
    <xf numFmtId="10" fontId="119" fillId="0" borderId="0" xfId="8723" applyNumberFormat="1" applyFont="1" applyAlignment="1">
      <alignment horizontal="center" vertical="top" wrapText="1"/>
    </xf>
    <xf numFmtId="10" fontId="119" fillId="0" borderId="53" xfId="8723" applyNumberFormat="1" applyFont="1" applyBorder="1" applyAlignment="1">
      <alignment horizontal="left" vertical="top"/>
    </xf>
    <xf numFmtId="1" fontId="119" fillId="0" borderId="0" xfId="8723" applyNumberFormat="1" applyFont="1" applyAlignment="1">
      <alignment vertical="top" wrapText="1"/>
    </xf>
    <xf numFmtId="0" fontId="23" fillId="0" borderId="57" xfId="8722" applyFont="1" applyBorder="1" applyAlignment="1">
      <alignment horizontal="center" vertical="center"/>
    </xf>
    <xf numFmtId="0" fontId="23" fillId="0" borderId="58" xfId="8722" applyFont="1" applyBorder="1" applyAlignment="1">
      <alignment horizontal="center" vertical="center"/>
    </xf>
    <xf numFmtId="0" fontId="23" fillId="0" borderId="59" xfId="8722" applyFont="1" applyBorder="1" applyAlignment="1">
      <alignment horizontal="center" vertical="center"/>
    </xf>
    <xf numFmtId="10" fontId="13" fillId="0" borderId="0" xfId="8722" applyNumberFormat="1"/>
    <xf numFmtId="0" fontId="20" fillId="0" borderId="0" xfId="8722" applyFont="1" applyAlignment="1">
      <alignment horizontal="center"/>
    </xf>
    <xf numFmtId="0" fontId="20" fillId="0" borderId="8" xfId="8722" applyFont="1" applyBorder="1"/>
    <xf numFmtId="0" fontId="13" fillId="0" borderId="0" xfId="8722" applyAlignment="1">
      <alignment horizontal="left"/>
    </xf>
    <xf numFmtId="0" fontId="20" fillId="0" borderId="0" xfId="8722" applyFont="1" applyAlignment="1">
      <alignment horizontal="center" vertical="top"/>
    </xf>
    <xf numFmtId="0" fontId="13" fillId="0" borderId="0" xfId="1192" applyAlignment="1">
      <alignment horizontal="center"/>
    </xf>
    <xf numFmtId="0" fontId="13" fillId="0" borderId="3" xfId="8722" applyBorder="1"/>
    <xf numFmtId="0" fontId="13" fillId="0" borderId="4" xfId="8722" applyBorder="1"/>
    <xf numFmtId="0" fontId="50" fillId="0" borderId="8" xfId="8722" applyFont="1" applyBorder="1"/>
    <xf numFmtId="0" fontId="13" fillId="0" borderId="0" xfId="8722" applyAlignment="1">
      <alignment vertical="top" wrapText="1"/>
    </xf>
    <xf numFmtId="0" fontId="21" fillId="0" borderId="0" xfId="8722" applyFont="1" applyAlignment="1">
      <alignment vertical="top" wrapText="1"/>
    </xf>
    <xf numFmtId="0" fontId="21" fillId="0" borderId="8" xfId="8722" applyFont="1" applyBorder="1"/>
    <xf numFmtId="1" fontId="13" fillId="0" borderId="0" xfId="1192" applyNumberFormat="1"/>
    <xf numFmtId="0" fontId="13" fillId="0" borderId="0" xfId="1192" applyAlignment="1">
      <alignment wrapText="1"/>
    </xf>
    <xf numFmtId="0" fontId="21" fillId="0" borderId="0" xfId="1192" applyFont="1"/>
    <xf numFmtId="0" fontId="21" fillId="0" borderId="3" xfId="8722" applyFont="1" applyBorder="1"/>
    <xf numFmtId="0" fontId="13" fillId="0" borderId="4" xfId="8722" applyBorder="1" applyAlignment="1">
      <alignment horizontal="right"/>
    </xf>
    <xf numFmtId="1" fontId="13" fillId="0" borderId="0" xfId="8722" applyNumberFormat="1" applyAlignment="1">
      <alignment horizontal="center"/>
    </xf>
    <xf numFmtId="0" fontId="50" fillId="0" borderId="0" xfId="8722" applyFont="1"/>
    <xf numFmtId="0" fontId="13" fillId="0" borderId="0" xfId="8722" applyAlignment="1">
      <alignment horizontal="right"/>
    </xf>
    <xf numFmtId="0" fontId="21" fillId="0" borderId="0" xfId="8722" applyFont="1" applyAlignment="1">
      <alignment vertical="top"/>
    </xf>
    <xf numFmtId="0" fontId="21" fillId="0" borderId="27" xfId="8722" applyFont="1" applyBorder="1"/>
    <xf numFmtId="0" fontId="20" fillId="0" borderId="0" xfId="8722" applyFont="1" applyAlignment="1">
      <alignment vertical="top"/>
    </xf>
    <xf numFmtId="0" fontId="31" fillId="0" borderId="0" xfId="8722" applyFont="1" applyAlignment="1">
      <alignment vertical="top" wrapText="1"/>
    </xf>
    <xf numFmtId="0" fontId="20" fillId="0" borderId="0" xfId="8722" applyFont="1" applyAlignment="1">
      <alignment horizontal="left" vertical="top" wrapText="1"/>
    </xf>
    <xf numFmtId="0" fontId="13" fillId="0" borderId="0" xfId="8722" applyAlignment="1">
      <alignment horizontal="left" vertical="top"/>
    </xf>
    <xf numFmtId="0" fontId="31" fillId="0" borderId="0" xfId="8722" applyFont="1" applyAlignment="1">
      <alignment vertical="top"/>
    </xf>
    <xf numFmtId="0" fontId="13" fillId="0" borderId="10" xfId="8722" applyBorder="1" applyAlignment="1">
      <alignment horizontal="center"/>
    </xf>
    <xf numFmtId="0" fontId="13" fillId="0" borderId="16" xfId="8722" applyBorder="1" applyAlignment="1">
      <alignment horizontal="center"/>
    </xf>
    <xf numFmtId="0" fontId="29" fillId="0" borderId="16" xfId="8722" applyFont="1" applyBorder="1"/>
    <xf numFmtId="0" fontId="21" fillId="0" borderId="16" xfId="8722" applyFont="1" applyBorder="1"/>
    <xf numFmtId="0" fontId="20" fillId="0" borderId="0" xfId="1192" applyFont="1"/>
    <xf numFmtId="0" fontId="13" fillId="0" borderId="0" xfId="8722" applyAlignment="1">
      <alignment vertical="top"/>
    </xf>
    <xf numFmtId="0" fontId="43" fillId="0" borderId="0" xfId="8722" applyFont="1" applyAlignment="1">
      <alignment vertical="top" wrapText="1"/>
    </xf>
    <xf numFmtId="0" fontId="13" fillId="0" borderId="0" xfId="8722" applyAlignment="1">
      <alignment horizontal="left" vertical="top" wrapText="1"/>
    </xf>
    <xf numFmtId="0" fontId="43" fillId="0" borderId="0" xfId="1192" applyFont="1"/>
    <xf numFmtId="168" fontId="13" fillId="0" borderId="0" xfId="8722" applyNumberFormat="1"/>
    <xf numFmtId="0" fontId="20" fillId="0" borderId="0" xfId="1192" applyFont="1" applyAlignment="1">
      <alignment horizontal="right"/>
    </xf>
    <xf numFmtId="0" fontId="20" fillId="0" borderId="0" xfId="1192" applyFont="1" applyAlignment="1">
      <alignment horizontal="left"/>
    </xf>
    <xf numFmtId="0" fontId="13" fillId="0" borderId="53" xfId="8722" applyBorder="1" applyAlignment="1">
      <alignment horizontal="left"/>
    </xf>
    <xf numFmtId="0" fontId="138" fillId="0" borderId="50" xfId="1192" applyFont="1" applyBorder="1" applyAlignment="1">
      <alignment horizontal="left"/>
    </xf>
    <xf numFmtId="0" fontId="139" fillId="0" borderId="51" xfId="8722" applyFont="1" applyBorder="1" applyAlignment="1">
      <alignment vertical="top"/>
    </xf>
    <xf numFmtId="0" fontId="138" fillId="0" borderId="51" xfId="8722" applyFont="1" applyBorder="1" applyAlignment="1">
      <alignment vertical="top" wrapText="1"/>
    </xf>
    <xf numFmtId="0" fontId="139" fillId="0" borderId="51" xfId="8722" applyFont="1" applyBorder="1"/>
    <xf numFmtId="0" fontId="13" fillId="0" borderId="51" xfId="8722" applyBorder="1"/>
    <xf numFmtId="0" fontId="13" fillId="0" borderId="51" xfId="8722" applyBorder="1" applyAlignment="1">
      <alignment horizontal="left" vertical="top" wrapText="1"/>
    </xf>
    <xf numFmtId="0" fontId="13" fillId="0" borderId="51" xfId="8722" applyBorder="1" applyAlignment="1">
      <alignment horizontal="right"/>
    </xf>
    <xf numFmtId="0" fontId="13" fillId="0" borderId="52" xfId="8722" applyBorder="1" applyAlignment="1">
      <alignment horizontal="right"/>
    </xf>
    <xf numFmtId="0" fontId="139" fillId="0" borderId="53" xfId="1192" applyFont="1" applyBorder="1" applyAlignment="1">
      <alignment horizontal="left"/>
    </xf>
    <xf numFmtId="0" fontId="139" fillId="0" borderId="0" xfId="8722" applyFont="1" applyAlignment="1">
      <alignment vertical="top"/>
    </xf>
    <xf numFmtId="0" fontId="138" fillId="0" borderId="0" xfId="8722" applyFont="1" applyAlignment="1">
      <alignment vertical="top" wrapText="1"/>
    </xf>
    <xf numFmtId="0" fontId="139" fillId="0" borderId="0" xfId="8722" applyFont="1"/>
    <xf numFmtId="0" fontId="13" fillId="0" borderId="54" xfId="8722" applyBorder="1" applyAlignment="1">
      <alignment horizontal="right"/>
    </xf>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8722" applyFont="1" applyBorder="1" applyAlignment="1">
      <alignment vertical="top"/>
    </xf>
    <xf numFmtId="0" fontId="138" fillId="0" borderId="58" xfId="8722" applyFont="1" applyBorder="1" applyAlignment="1">
      <alignment vertical="top" wrapText="1"/>
    </xf>
    <xf numFmtId="0" fontId="139" fillId="0" borderId="58" xfId="8722" applyFont="1" applyBorder="1"/>
    <xf numFmtId="0" fontId="13" fillId="0" borderId="58" xfId="8722" applyBorder="1"/>
    <xf numFmtId="0" fontId="13" fillId="0" borderId="58" xfId="8722" applyBorder="1" applyAlignment="1">
      <alignment horizontal="left" vertical="top" wrapText="1"/>
    </xf>
    <xf numFmtId="0" fontId="13" fillId="0" borderId="58" xfId="8722" applyBorder="1" applyAlignment="1">
      <alignment horizontal="right"/>
    </xf>
    <xf numFmtId="0" fontId="13" fillId="0" borderId="59" xfId="8722" applyBorder="1" applyAlignment="1">
      <alignment horizontal="right"/>
    </xf>
    <xf numFmtId="0" fontId="115" fillId="0" borderId="0" xfId="1192" applyFont="1" applyAlignment="1">
      <alignment horizontal="left"/>
    </xf>
    <xf numFmtId="0" fontId="112" fillId="0" borderId="0" xfId="1192" applyFont="1" applyAlignment="1">
      <alignment horizontal="left"/>
    </xf>
    <xf numFmtId="9" fontId="13" fillId="0" borderId="0" xfId="1192" quotePrefix="1" applyNumberFormat="1" applyAlignment="1">
      <alignment horizontal="center"/>
    </xf>
    <xf numFmtId="0" fontId="112" fillId="0" borderId="0" xfId="1192" applyFont="1" applyAlignment="1">
      <alignment horizontal="center"/>
    </xf>
    <xf numFmtId="9" fontId="13" fillId="0" borderId="0" xfId="1192" applyNumberFormat="1"/>
    <xf numFmtId="168" fontId="13" fillId="0" borderId="0" xfId="1192" applyNumberFormat="1" applyAlignment="1">
      <alignment horizontal="center"/>
    </xf>
    <xf numFmtId="1" fontId="13" fillId="0" borderId="0" xfId="1192" applyNumberFormat="1" applyAlignment="1">
      <alignment horizontal="center"/>
    </xf>
    <xf numFmtId="0" fontId="13" fillId="0" borderId="0" xfId="1192" applyAlignment="1">
      <alignment horizontal="right"/>
    </xf>
    <xf numFmtId="0" fontId="20" fillId="0" borderId="0" xfId="1192" applyFont="1" applyAlignment="1">
      <alignment horizontal="left" indent="1"/>
    </xf>
    <xf numFmtId="0" fontId="13" fillId="0" borderId="0" xfId="1192" applyAlignment="1">
      <alignment horizontal="left" vertical="top"/>
    </xf>
    <xf numFmtId="0" fontId="31" fillId="0" borderId="0" xfId="1192" applyFont="1" applyAlignment="1">
      <alignment horizontal="left" vertical="top"/>
    </xf>
    <xf numFmtId="0" fontId="43" fillId="0" borderId="0" xfId="8722" applyFont="1" applyAlignment="1">
      <alignment horizontal="left" vertical="top" wrapText="1"/>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6" fontId="20" fillId="0" borderId="0" xfId="1192" applyNumberFormat="1" applyFont="1" applyAlignment="1">
      <alignment horizontal="right"/>
    </xf>
    <xf numFmtId="0" fontId="20" fillId="0" borderId="0" xfId="1192" applyFont="1" applyAlignment="1">
      <alignment vertical="center"/>
    </xf>
    <xf numFmtId="0" fontId="13" fillId="0" borderId="0" xfId="8723" applyFont="1" applyAlignment="1">
      <alignment vertical="top" wrapText="1"/>
    </xf>
    <xf numFmtId="0" fontId="13" fillId="0" borderId="0" xfId="8723" applyFont="1"/>
    <xf numFmtId="168" fontId="13" fillId="0" borderId="0" xfId="543" applyNumberFormat="1"/>
    <xf numFmtId="0" fontId="13" fillId="0" borderId="0" xfId="8723" applyFont="1" applyAlignment="1">
      <alignment horizontal="left"/>
    </xf>
    <xf numFmtId="0" fontId="13" fillId="0" borderId="0" xfId="8723" applyFont="1" applyAlignment="1">
      <alignment horizontal="right"/>
    </xf>
    <xf numFmtId="0" fontId="45" fillId="0" borderId="0" xfId="8723" applyFont="1"/>
    <xf numFmtId="9" fontId="13" fillId="0" borderId="0" xfId="543" applyNumberFormat="1" applyAlignment="1">
      <alignment horizontal="center"/>
    </xf>
    <xf numFmtId="0" fontId="21" fillId="0" borderId="0" xfId="8723" applyFont="1" applyAlignment="1">
      <alignment vertical="top" wrapText="1"/>
    </xf>
    <xf numFmtId="0" fontId="13" fillId="0" borderId="4" xfId="8723" applyFont="1" applyBorder="1"/>
    <xf numFmtId="0" fontId="20" fillId="0" borderId="4" xfId="8723" applyFont="1" applyBorder="1" applyAlignment="1">
      <alignment horizontal="right"/>
    </xf>
    <xf numFmtId="0" fontId="21" fillId="0" borderId="27" xfId="8722" applyFont="1" applyBorder="1" applyAlignment="1">
      <alignment horizontal="left" vertical="top"/>
    </xf>
    <xf numFmtId="0" fontId="13" fillId="0" borderId="27" xfId="8722" applyBorder="1" applyAlignment="1">
      <alignment horizontal="left" vertical="top"/>
    </xf>
    <xf numFmtId="0" fontId="20" fillId="0" borderId="27" xfId="8722" applyFont="1" applyBorder="1" applyAlignment="1">
      <alignment horizontal="right"/>
    </xf>
    <xf numFmtId="0" fontId="13" fillId="0" borderId="27" xfId="8722" applyBorder="1" applyAlignment="1">
      <alignment horizontal="center"/>
    </xf>
    <xf numFmtId="0" fontId="13" fillId="0" borderId="46" xfId="8722" applyBorder="1" applyAlignment="1">
      <alignment horizontal="center"/>
    </xf>
    <xf numFmtId="0" fontId="29" fillId="0" borderId="0" xfId="8722" applyFont="1"/>
    <xf numFmtId="164" fontId="21" fillId="0" borderId="0" xfId="8722" applyNumberFormat="1" applyFont="1" applyAlignment="1">
      <alignment horizontal="left" vertical="top" wrapText="1"/>
    </xf>
    <xf numFmtId="0" fontId="24" fillId="0" borderId="0" xfId="8722" applyFont="1"/>
    <xf numFmtId="0" fontId="21" fillId="0" borderId="0" xfId="8722" applyFont="1" applyAlignment="1">
      <alignment horizontal="right"/>
    </xf>
    <xf numFmtId="164" fontId="13" fillId="0" borderId="57" xfId="8722" applyNumberFormat="1" applyBorder="1" applyAlignment="1">
      <alignment vertical="top" wrapText="1"/>
    </xf>
    <xf numFmtId="164" fontId="13" fillId="0" borderId="58" xfId="8722" applyNumberFormat="1" applyBorder="1" applyAlignment="1">
      <alignment vertical="top" wrapText="1"/>
    </xf>
    <xf numFmtId="164" fontId="13" fillId="0" borderId="59" xfId="8722" applyNumberFormat="1" applyBorder="1" applyAlignment="1">
      <alignment vertical="top" wrapText="1"/>
    </xf>
    <xf numFmtId="0" fontId="13" fillId="0" borderId="8" xfId="543" applyBorder="1"/>
    <xf numFmtId="0" fontId="13" fillId="0" borderId="27" xfId="543" applyBorder="1"/>
    <xf numFmtId="0" fontId="13" fillId="0" borderId="46" xfId="543" applyBorder="1"/>
    <xf numFmtId="0" fontId="20" fillId="0" borderId="0" xfId="8722" applyFont="1" applyAlignment="1">
      <alignment horizontal="left" vertical="top"/>
    </xf>
    <xf numFmtId="1" fontId="13" fillId="0" borderId="0" xfId="8722" applyNumberFormat="1"/>
    <xf numFmtId="0" fontId="13" fillId="0" borderId="50" xfId="8722" applyBorder="1" applyAlignment="1">
      <alignment vertical="top"/>
    </xf>
    <xf numFmtId="0" fontId="13" fillId="0" borderId="51" xfId="8722" applyBorder="1" applyAlignment="1">
      <alignment vertical="top"/>
    </xf>
    <xf numFmtId="0" fontId="13" fillId="0" borderId="52" xfId="8722" applyBorder="1" applyAlignment="1">
      <alignment vertical="top"/>
    </xf>
    <xf numFmtId="1" fontId="21" fillId="0" borderId="8" xfId="8722" applyNumberFormat="1" applyFont="1" applyBorder="1"/>
    <xf numFmtId="0" fontId="13" fillId="0" borderId="0" xfId="543" applyAlignment="1">
      <alignment vertical="top"/>
    </xf>
    <xf numFmtId="0" fontId="21" fillId="0" borderId="51" xfId="8722" applyFont="1" applyBorder="1" applyAlignment="1">
      <alignment horizontal="left" vertical="top"/>
    </xf>
    <xf numFmtId="0" fontId="21" fillId="0" borderId="52" xfId="8722" applyFont="1" applyBorder="1" applyAlignment="1">
      <alignment horizontal="left" vertical="top"/>
    </xf>
    <xf numFmtId="0" fontId="13" fillId="0" borderId="0" xfId="543" applyAlignment="1">
      <alignment horizontal="center"/>
    </xf>
    <xf numFmtId="0" fontId="13" fillId="0" borderId="53" xfId="8722" applyBorder="1" applyAlignment="1">
      <alignment vertical="top"/>
    </xf>
    <xf numFmtId="0" fontId="13" fillId="0" borderId="54" xfId="8722" applyBorder="1" applyAlignment="1">
      <alignment vertical="top"/>
    </xf>
    <xf numFmtId="0" fontId="13" fillId="0" borderId="54" xfId="8722" applyBorder="1" applyAlignment="1">
      <alignment vertical="top" wrapText="1"/>
    </xf>
    <xf numFmtId="0" fontId="13" fillId="0" borderId="53" xfId="8722" applyBorder="1" applyAlignment="1">
      <alignment vertical="top" wrapText="1"/>
    </xf>
    <xf numFmtId="0" fontId="58" fillId="0" borderId="53" xfId="8722" applyFont="1" applyBorder="1"/>
    <xf numFmtId="0" fontId="21" fillId="0" borderId="54" xfId="8722" applyFont="1" applyBorder="1" applyAlignment="1">
      <alignment horizontal="left" vertical="top"/>
    </xf>
    <xf numFmtId="0" fontId="13" fillId="0" borderId="0" xfId="8722" applyAlignment="1" applyProtection="1">
      <alignment horizontal="center"/>
      <protection locked="0"/>
    </xf>
    <xf numFmtId="0" fontId="58" fillId="0" borderId="57" xfId="8722" applyFont="1" applyBorder="1"/>
    <xf numFmtId="0" fontId="21" fillId="0" borderId="58" xfId="8722" applyFont="1" applyBorder="1" applyAlignment="1">
      <alignment horizontal="left" vertical="top"/>
    </xf>
    <xf numFmtId="0" fontId="21" fillId="0" borderId="12" xfId="8722" applyFont="1" applyBorder="1"/>
    <xf numFmtId="0" fontId="13" fillId="0" borderId="57" xfId="8722" applyBorder="1" applyAlignment="1">
      <alignment vertical="center"/>
    </xf>
    <xf numFmtId="0" fontId="13" fillId="0" borderId="58" xfId="8722" applyBorder="1" applyAlignment="1">
      <alignment vertical="top"/>
    </xf>
    <xf numFmtId="0" fontId="13" fillId="0" borderId="59" xfId="8722" applyBorder="1" applyAlignment="1">
      <alignment vertical="top"/>
    </xf>
    <xf numFmtId="0" fontId="21" fillId="0" borderId="4" xfId="8722" applyFont="1" applyBorder="1" applyAlignment="1">
      <alignment horizontal="left" vertical="top"/>
    </xf>
    <xf numFmtId="0" fontId="13" fillId="0" borderId="4" xfId="8722" applyBorder="1" applyAlignment="1">
      <alignment horizontal="left" vertical="top"/>
    </xf>
    <xf numFmtId="0" fontId="127" fillId="0" borderId="0" xfId="8722" applyFont="1" applyAlignment="1">
      <alignment horizontal="left" vertical="top" wrapText="1"/>
    </xf>
    <xf numFmtId="0" fontId="21" fillId="0" borderId="6" xfId="8722" applyFont="1" applyBorder="1"/>
    <xf numFmtId="1" fontId="21" fillId="0" borderId="8" xfId="8722" applyNumberFormat="1" applyFont="1" applyBorder="1" applyAlignment="1">
      <alignment horizontal="center" vertical="top"/>
    </xf>
    <xf numFmtId="0" fontId="13" fillId="0" borderId="12" xfId="8722" applyBorder="1"/>
    <xf numFmtId="0" fontId="21" fillId="0" borderId="9" xfId="8722" applyFont="1" applyBorder="1"/>
    <xf numFmtId="0" fontId="13" fillId="0" borderId="10" xfId="8722" applyBorder="1"/>
    <xf numFmtId="0" fontId="29" fillId="0" borderId="3" xfId="8722" applyFont="1" applyBorder="1"/>
    <xf numFmtId="0" fontId="20" fillId="0" borderId="4" xfId="8722" applyFont="1" applyBorder="1"/>
    <xf numFmtId="0" fontId="127" fillId="0" borderId="0" xfId="8722" applyFont="1" applyAlignment="1">
      <alignment vertical="top" wrapText="1"/>
    </xf>
    <xf numFmtId="0" fontId="13" fillId="0" borderId="12" xfId="8722" applyBorder="1" applyAlignment="1">
      <alignment vertical="top"/>
    </xf>
    <xf numFmtId="0" fontId="29" fillId="0" borderId="1" xfId="8722" applyFont="1" applyBorder="1"/>
    <xf numFmtId="0" fontId="127" fillId="0" borderId="2" xfId="8722" applyFont="1" applyBorder="1" applyAlignment="1">
      <alignment horizontal="left" wrapText="1"/>
    </xf>
    <xf numFmtId="0" fontId="21" fillId="0" borderId="2" xfId="8722" applyFont="1" applyBorder="1"/>
    <xf numFmtId="0" fontId="127" fillId="0" borderId="2" xfId="8722" applyFont="1" applyBorder="1" applyAlignment="1">
      <alignment horizontal="left"/>
    </xf>
    <xf numFmtId="0" fontId="127" fillId="0" borderId="7" xfId="8722" applyFont="1" applyBorder="1" applyAlignment="1">
      <alignment horizontal="left" wrapText="1"/>
    </xf>
    <xf numFmtId="0" fontId="127" fillId="0" borderId="0" xfId="8722" applyFont="1" applyAlignment="1">
      <alignment horizontal="left" wrapText="1"/>
    </xf>
    <xf numFmtId="0" fontId="29" fillId="0" borderId="9" xfId="8722" applyFont="1" applyBorder="1"/>
    <xf numFmtId="0" fontId="21" fillId="0" borderId="10" xfId="8722" applyFont="1" applyBorder="1"/>
    <xf numFmtId="0" fontId="127" fillId="0" borderId="0" xfId="8722" applyFont="1" applyAlignment="1">
      <alignment wrapText="1"/>
    </xf>
    <xf numFmtId="0" fontId="29" fillId="0" borderId="0" xfId="8722" applyFont="1" applyAlignment="1">
      <alignment horizontal="center"/>
    </xf>
    <xf numFmtId="0" fontId="29" fillId="0" borderId="9" xfId="8722" applyFont="1" applyBorder="1" applyAlignment="1">
      <alignment horizontal="center"/>
    </xf>
    <xf numFmtId="0" fontId="20" fillId="0" borderId="10" xfId="8722" applyFont="1" applyBorder="1"/>
    <xf numFmtId="0" fontId="31" fillId="0" borderId="0" xfId="8722" applyFont="1"/>
    <xf numFmtId="0" fontId="21" fillId="0" borderId="50" xfId="8722" applyFont="1" applyBorder="1"/>
    <xf numFmtId="0" fontId="21" fillId="0" borderId="51" xfId="8722" applyFont="1" applyBorder="1"/>
    <xf numFmtId="1" fontId="21" fillId="0" borderId="51" xfId="8722" quotePrefix="1" applyNumberFormat="1" applyFont="1" applyBorder="1" applyAlignment="1">
      <alignment horizontal="center" vertical="top"/>
    </xf>
    <xf numFmtId="0" fontId="20" fillId="0" borderId="51" xfId="8722" applyFont="1" applyBorder="1"/>
    <xf numFmtId="0" fontId="20" fillId="0" borderId="52" xfId="8722" applyFont="1" applyBorder="1" applyAlignment="1">
      <alignment horizontal="center"/>
    </xf>
    <xf numFmtId="0" fontId="13" fillId="0" borderId="53" xfId="8722" applyBorder="1"/>
    <xf numFmtId="1" fontId="21" fillId="0" borderId="0" xfId="8722" quotePrefix="1" applyNumberFormat="1" applyFont="1" applyAlignment="1">
      <alignment horizontal="center" vertical="top"/>
    </xf>
    <xf numFmtId="0" fontId="20" fillId="0" borderId="54" xfId="8722" applyFont="1" applyBorder="1" applyAlignment="1">
      <alignment horizontal="center"/>
    </xf>
    <xf numFmtId="0" fontId="29" fillId="0" borderId="0" xfId="8722" applyFont="1" applyAlignment="1">
      <alignment vertical="top"/>
    </xf>
    <xf numFmtId="0" fontId="21" fillId="0" borderId="61" xfId="8722" applyFont="1" applyBorder="1"/>
    <xf numFmtId="0" fontId="13" fillId="0" borderId="57" xfId="8722" applyBorder="1" applyAlignment="1">
      <alignment horizontal="center"/>
    </xf>
    <xf numFmtId="0" fontId="13" fillId="0" borderId="58" xfId="8722" applyBorder="1" applyAlignment="1">
      <alignment horizontal="center"/>
    </xf>
    <xf numFmtId="1" fontId="21" fillId="0" borderId="58" xfId="8722" quotePrefix="1" applyNumberFormat="1" applyFont="1" applyBorder="1" applyAlignment="1">
      <alignment horizontal="center" vertical="top"/>
    </xf>
    <xf numFmtId="0" fontId="29" fillId="0" borderId="58" xfId="8722" applyFont="1" applyBorder="1" applyAlignment="1">
      <alignment vertical="top"/>
    </xf>
    <xf numFmtId="0" fontId="21" fillId="0" borderId="58" xfId="8722" applyFont="1" applyBorder="1" applyAlignment="1">
      <alignment vertical="top" wrapText="1"/>
    </xf>
    <xf numFmtId="0" fontId="21" fillId="0" borderId="58" xfId="8722" applyFont="1" applyBorder="1"/>
    <xf numFmtId="0" fontId="20" fillId="0" borderId="59" xfId="8722" applyFont="1" applyBorder="1" applyAlignment="1">
      <alignment horizontal="center"/>
    </xf>
    <xf numFmtId="0" fontId="13" fillId="0" borderId="61" xfId="8722" applyBorder="1"/>
    <xf numFmtId="0" fontId="13" fillId="0" borderId="53" xfId="543" applyBorder="1"/>
    <xf numFmtId="1" fontId="21" fillId="0" borderId="0" xfId="8722" applyNumberFormat="1" applyFont="1" applyAlignment="1">
      <alignment horizontal="center" vertical="top"/>
    </xf>
    <xf numFmtId="0" fontId="21" fillId="0" borderId="54" xfId="8722" applyFont="1" applyBorder="1"/>
    <xf numFmtId="0" fontId="13" fillId="0" borderId="57" xfId="543" applyBorder="1"/>
    <xf numFmtId="0" fontId="13" fillId="0" borderId="58" xfId="543" applyBorder="1"/>
    <xf numFmtId="1" fontId="21" fillId="0" borderId="58" xfId="8722" applyNumberFormat="1" applyFont="1" applyBorder="1" applyAlignment="1">
      <alignment horizontal="center" vertical="top"/>
    </xf>
    <xf numFmtId="0" fontId="29" fillId="0" borderId="58" xfId="8722" applyFont="1" applyBorder="1" applyAlignment="1">
      <alignment vertical="center"/>
    </xf>
    <xf numFmtId="0" fontId="13" fillId="0" borderId="58" xfId="8722" applyBorder="1" applyAlignment="1">
      <alignment vertical="top" wrapText="1"/>
    </xf>
    <xf numFmtId="0" fontId="21" fillId="0" borderId="59" xfId="8722" applyFont="1" applyBorder="1"/>
    <xf numFmtId="0" fontId="29" fillId="0" borderId="0" xfId="8722" applyFont="1" applyAlignment="1">
      <alignment vertical="center"/>
    </xf>
    <xf numFmtId="0" fontId="21" fillId="0" borderId="53" xfId="8722" applyFont="1" applyBorder="1"/>
    <xf numFmtId="0" fontId="21" fillId="0" borderId="58" xfId="8722" applyFont="1" applyBorder="1" applyAlignment="1">
      <alignment vertical="top"/>
    </xf>
    <xf numFmtId="0" fontId="21" fillId="0" borderId="57" xfId="8722" applyFont="1" applyBorder="1"/>
    <xf numFmtId="0" fontId="21" fillId="0" borderId="52" xfId="8722" applyFont="1" applyBorder="1"/>
    <xf numFmtId="0" fontId="13" fillId="0" borderId="50" xfId="543" applyBorder="1"/>
    <xf numFmtId="0" fontId="13" fillId="0" borderId="51" xfId="543" applyBorder="1"/>
    <xf numFmtId="0" fontId="13" fillId="0" borderId="52" xfId="543" applyBorder="1"/>
    <xf numFmtId="0" fontId="21" fillId="0" borderId="62" xfId="8722" applyFont="1" applyBorder="1"/>
    <xf numFmtId="0" fontId="21" fillId="0" borderId="0" xfId="8722" applyFont="1" applyAlignment="1">
      <alignment wrapText="1"/>
    </xf>
    <xf numFmtId="0" fontId="20" fillId="0" borderId="54" xfId="8722" applyFont="1" applyBorder="1" applyAlignment="1">
      <alignment horizontal="center" vertical="top"/>
    </xf>
    <xf numFmtId="0" fontId="13" fillId="0" borderId="53" xfId="8722" applyBorder="1" applyAlignment="1">
      <alignment horizontal="center"/>
    </xf>
    <xf numFmtId="2" fontId="21" fillId="0" borderId="0" xfId="8722" applyNumberFormat="1" applyFont="1" applyAlignment="1">
      <alignment horizontal="right"/>
    </xf>
    <xf numFmtId="2" fontId="21" fillId="0" borderId="8" xfId="8722" applyNumberFormat="1" applyFont="1" applyBorder="1" applyAlignment="1">
      <alignment horizontal="left"/>
    </xf>
    <xf numFmtId="0" fontId="21" fillId="0" borderId="8" xfId="8722" applyFont="1" applyBorder="1" applyAlignment="1">
      <alignment horizontal="right"/>
    </xf>
    <xf numFmtId="0" fontId="126" fillId="0" borderId="0" xfId="8722" applyFont="1"/>
    <xf numFmtId="0" fontId="20" fillId="0" borderId="58" xfId="8722" applyFont="1" applyBorder="1" applyAlignment="1">
      <alignment horizontal="center"/>
    </xf>
    <xf numFmtId="0" fontId="21" fillId="0" borderId="0" xfId="8722" applyFont="1" applyAlignment="1">
      <alignment horizontal="left"/>
    </xf>
    <xf numFmtId="9" fontId="21" fillId="0" borderId="0" xfId="8722" applyNumberFormat="1" applyFont="1" applyAlignment="1">
      <alignment horizontal="left"/>
    </xf>
    <xf numFmtId="0" fontId="13" fillId="0" borderId="64" xfId="8722" applyBorder="1"/>
    <xf numFmtId="0" fontId="51" fillId="0" borderId="4" xfId="8722" applyFont="1" applyBorder="1"/>
    <xf numFmtId="0" fontId="21" fillId="0" borderId="4" xfId="8722" applyFont="1" applyBorder="1" applyAlignment="1">
      <alignment horizontal="left" vertical="top" wrapText="1" shrinkToFit="1"/>
    </xf>
    <xf numFmtId="0" fontId="13" fillId="0" borderId="17" xfId="543" applyBorder="1"/>
    <xf numFmtId="0" fontId="13" fillId="0" borderId="16" xfId="543" applyBorder="1"/>
    <xf numFmtId="0" fontId="13" fillId="0" borderId="2" xfId="543" applyBorder="1"/>
    <xf numFmtId="0" fontId="21" fillId="0" borderId="0" xfId="8722" applyFont="1" applyAlignment="1">
      <alignment horizontal="center"/>
    </xf>
    <xf numFmtId="0" fontId="13" fillId="0" borderId="51" xfId="8722" quotePrefix="1" applyBorder="1" applyAlignment="1">
      <alignment horizontal="center" vertical="top"/>
    </xf>
    <xf numFmtId="0" fontId="21" fillId="0" borderId="53" xfId="8722" applyFont="1" applyBorder="1" applyAlignment="1">
      <alignment horizontal="left" vertical="top"/>
    </xf>
    <xf numFmtId="0" fontId="21" fillId="0" borderId="0" xfId="8722" applyFont="1" applyAlignment="1">
      <alignment horizontal="center" vertical="top"/>
    </xf>
    <xf numFmtId="0" fontId="21" fillId="0" borderId="57" xfId="8722" applyFont="1" applyBorder="1" applyAlignment="1">
      <alignment horizontal="left" vertical="top"/>
    </xf>
    <xf numFmtId="0" fontId="21" fillId="0" borderId="58" xfId="8722" applyFont="1" applyBorder="1" applyAlignment="1">
      <alignment horizontal="center" vertical="top"/>
    </xf>
    <xf numFmtId="0" fontId="20" fillId="0" borderId="58" xfId="8722" applyFont="1" applyBorder="1" applyAlignment="1">
      <alignment vertical="top"/>
    </xf>
    <xf numFmtId="0" fontId="20" fillId="0" borderId="58" xfId="8722" applyFont="1" applyBorder="1" applyAlignment="1">
      <alignment horizontal="left" vertical="top"/>
    </xf>
    <xf numFmtId="0" fontId="20" fillId="0" borderId="51" xfId="8722" applyFont="1" applyBorder="1" applyAlignment="1">
      <alignment horizontal="left" vertical="top"/>
    </xf>
    <xf numFmtId="0" fontId="20" fillId="0" borderId="53" xfId="8722" applyFont="1" applyBorder="1" applyAlignment="1">
      <alignment horizontal="left" vertical="top"/>
    </xf>
    <xf numFmtId="0" fontId="50" fillId="0" borderId="0" xfId="8722" applyFont="1" applyAlignment="1">
      <alignment horizontal="left" vertical="top"/>
    </xf>
    <xf numFmtId="0" fontId="21" fillId="0" borderId="0" xfId="8722" quotePrefix="1" applyFont="1" applyAlignment="1">
      <alignment horizontal="center" vertical="top"/>
    </xf>
    <xf numFmtId="0" fontId="51" fillId="0" borderId="0" xfId="8722" applyFont="1" applyAlignment="1">
      <alignment horizontal="center"/>
    </xf>
    <xf numFmtId="0" fontId="51" fillId="0" borderId="0" xfId="8722" applyFont="1" applyAlignment="1">
      <alignment vertical="top"/>
    </xf>
    <xf numFmtId="0" fontId="29" fillId="0" borderId="8" xfId="8722" applyFont="1" applyBorder="1"/>
    <xf numFmtId="0" fontId="104" fillId="0" borderId="0" xfId="8722" applyFont="1"/>
    <xf numFmtId="0" fontId="50" fillId="0" borderId="0" xfId="8722" applyFont="1" applyAlignment="1">
      <alignment vertical="top"/>
    </xf>
    <xf numFmtId="0" fontId="29" fillId="0" borderId="53" xfId="8722" applyFont="1" applyBorder="1"/>
    <xf numFmtId="2" fontId="21" fillId="0" borderId="8" xfId="8722" applyNumberFormat="1" applyFont="1" applyBorder="1" applyAlignment="1">
      <alignment horizontal="right"/>
    </xf>
    <xf numFmtId="0" fontId="20" fillId="0" borderId="50" xfId="8722" applyFont="1" applyBorder="1" applyAlignment="1">
      <alignment horizontal="left" vertical="top"/>
    </xf>
    <xf numFmtId="0" fontId="50" fillId="0" borderId="51" xfId="8722" applyFont="1" applyBorder="1" applyAlignment="1">
      <alignment horizontal="left" vertical="top"/>
    </xf>
    <xf numFmtId="0" fontId="104" fillId="0" borderId="0" xfId="8722" applyFont="1" applyAlignment="1">
      <alignment horizontal="left" vertical="top"/>
    </xf>
    <xf numFmtId="1" fontId="20" fillId="0" borderId="58" xfId="8722"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8722" applyFont="1" applyAlignment="1">
      <alignment wrapText="1"/>
    </xf>
    <xf numFmtId="0" fontId="29" fillId="0" borderId="0" xfId="8722" applyFont="1" applyAlignment="1">
      <alignment vertical="center" wrapText="1"/>
    </xf>
    <xf numFmtId="180" fontId="21" fillId="0" borderId="0" xfId="8722" applyNumberFormat="1" applyFont="1" applyAlignment="1">
      <alignment horizontal="center"/>
    </xf>
    <xf numFmtId="1" fontId="21" fillId="0" borderId="0" xfId="8722" applyNumberFormat="1" applyFont="1" applyAlignment="1">
      <alignment horizontal="center"/>
    </xf>
    <xf numFmtId="0" fontId="20" fillId="0" borderId="51" xfId="8722" applyFont="1" applyBorder="1" applyAlignment="1">
      <alignment horizontal="center"/>
    </xf>
    <xf numFmtId="0" fontId="20" fillId="0" borderId="51" xfId="8722" applyFont="1" applyBorder="1" applyAlignment="1">
      <alignment vertical="top"/>
    </xf>
    <xf numFmtId="0" fontId="20" fillId="0" borderId="53" xfId="8722" applyFont="1" applyBorder="1"/>
    <xf numFmtId="0" fontId="13" fillId="0" borderId="54" xfId="543" applyBorder="1"/>
    <xf numFmtId="49" fontId="21" fillId="0" borderId="0" xfId="8722" applyNumberFormat="1" applyFont="1" applyAlignment="1">
      <alignment horizontal="left" vertical="center" wrapText="1"/>
    </xf>
    <xf numFmtId="0" fontId="13" fillId="0" borderId="57" xfId="8722" applyBorder="1"/>
    <xf numFmtId="1" fontId="13" fillId="0" borderId="0" xfId="8722" applyNumberFormat="1" applyAlignment="1">
      <alignment vertical="center"/>
    </xf>
    <xf numFmtId="0" fontId="31" fillId="0" borderId="50" xfId="8722" applyFont="1" applyBorder="1"/>
    <xf numFmtId="0" fontId="21" fillId="0" borderId="51" xfId="8722" applyFont="1" applyBorder="1" applyAlignment="1">
      <alignment horizontal="center" vertical="top"/>
    </xf>
    <xf numFmtId="0" fontId="21" fillId="0" borderId="51" xfId="8722" applyFont="1" applyBorder="1" applyAlignment="1">
      <alignment vertical="top" wrapText="1"/>
    </xf>
    <xf numFmtId="0" fontId="21" fillId="0" borderId="51" xfId="8722" applyFont="1" applyBorder="1" applyAlignment="1">
      <alignment horizontal="left" vertical="top" wrapText="1"/>
    </xf>
    <xf numFmtId="0" fontId="13" fillId="0" borderId="0" xfId="8722" quotePrefix="1" applyAlignment="1">
      <alignment horizontal="center" vertical="top"/>
    </xf>
    <xf numFmtId="1" fontId="21" fillId="0" borderId="0" xfId="8722" quotePrefix="1" applyNumberFormat="1" applyFont="1" applyAlignment="1">
      <alignment wrapText="1"/>
    </xf>
    <xf numFmtId="0" fontId="21" fillId="0" borderId="6" xfId="8722" applyFont="1" applyBorder="1" applyAlignment="1">
      <alignment horizontal="right"/>
    </xf>
    <xf numFmtId="0" fontId="119" fillId="0" borderId="0" xfId="8723" applyFont="1" applyAlignment="1">
      <alignment wrapText="1"/>
    </xf>
    <xf numFmtId="0" fontId="13" fillId="0" borderId="0" xfId="8723" applyFont="1" applyAlignment="1">
      <alignment wrapText="1"/>
    </xf>
    <xf numFmtId="0" fontId="29" fillId="0" borderId="51" xfId="8722" applyFont="1" applyBorder="1" applyAlignment="1">
      <alignment vertical="top"/>
    </xf>
    <xf numFmtId="0" fontId="13" fillId="0" borderId="51" xfId="8723" applyFont="1" applyBorder="1" applyAlignment="1">
      <alignment wrapText="1"/>
    </xf>
    <xf numFmtId="0" fontId="20" fillId="0" borderId="51" xfId="8722" applyFont="1" applyBorder="1" applyAlignment="1">
      <alignment horizontal="right"/>
    </xf>
    <xf numFmtId="0" fontId="13" fillId="0" borderId="52" xfId="8722" applyBorder="1" applyAlignment="1">
      <alignment horizontal="center"/>
    </xf>
    <xf numFmtId="164" fontId="21" fillId="0" borderId="0" xfId="8722" applyNumberFormat="1" applyFont="1"/>
    <xf numFmtId="0" fontId="13" fillId="0" borderId="53" xfId="8722" applyBorder="1" applyAlignment="1">
      <alignment horizontal="left" vertical="top"/>
    </xf>
    <xf numFmtId="0" fontId="13" fillId="0" borderId="54" xfId="8722" applyBorder="1" applyAlignment="1">
      <alignment horizontal="left" vertical="top"/>
    </xf>
    <xf numFmtId="0" fontId="13" fillId="0" borderId="54" xfId="8722" applyBorder="1" applyAlignment="1">
      <alignment horizontal="center"/>
    </xf>
    <xf numFmtId="0" fontId="13" fillId="0" borderId="59" xfId="8722" applyBorder="1" applyAlignment="1">
      <alignment horizontal="center"/>
    </xf>
    <xf numFmtId="9" fontId="13" fillId="0" borderId="0" xfId="8723" applyNumberFormat="1" applyFont="1" applyAlignment="1">
      <alignment horizontal="center"/>
    </xf>
    <xf numFmtId="0" fontId="13" fillId="0" borderId="2" xfId="8722" applyBorder="1"/>
    <xf numFmtId="0" fontId="13" fillId="0" borderId="2" xfId="8722" applyBorder="1" applyAlignment="1">
      <alignment horizontal="center"/>
    </xf>
    <xf numFmtId="0" fontId="21" fillId="0" borderId="7" xfId="8722" applyFont="1" applyBorder="1"/>
    <xf numFmtId="0" fontId="123" fillId="0" borderId="0" xfId="8722" applyFont="1" applyAlignment="1">
      <alignment horizontal="left" vertical="top" wrapText="1"/>
    </xf>
    <xf numFmtId="0" fontId="29" fillId="0" borderId="0" xfId="8722" applyFont="1" applyAlignment="1">
      <alignment horizontal="left" vertical="top"/>
    </xf>
    <xf numFmtId="0" fontId="23" fillId="0" borderId="0" xfId="8722" applyFont="1"/>
    <xf numFmtId="0" fontId="13" fillId="0" borderId="0" xfId="8722" applyAlignment="1">
      <alignment vertical="top" wrapText="1" shrinkToFit="1"/>
    </xf>
    <xf numFmtId="0" fontId="159" fillId="0" borderId="0" xfId="8722" applyFont="1"/>
    <xf numFmtId="0" fontId="21" fillId="0" borderId="0" xfId="8722" quotePrefix="1" applyFont="1" applyAlignment="1">
      <alignment horizontal="right"/>
    </xf>
    <xf numFmtId="164" fontId="13" fillId="0" borderId="0" xfId="1192" applyNumberFormat="1" applyAlignment="1">
      <alignment horizontal="right"/>
    </xf>
    <xf numFmtId="164" fontId="13" fillId="0" borderId="0" xfId="8722" applyNumberFormat="1" applyAlignment="1">
      <alignment horizontal="right"/>
    </xf>
    <xf numFmtId="0" fontId="13" fillId="0" borderId="0" xfId="4497"/>
    <xf numFmtId="0" fontId="13" fillId="0" borderId="0" xfId="8722" applyAlignment="1">
      <alignment horizontal="left" vertical="top" wrapText="1" shrinkToFit="1"/>
    </xf>
    <xf numFmtId="0" fontId="13" fillId="0" borderId="6" xfId="8722" applyBorder="1" applyAlignment="1">
      <alignment vertical="top" wrapText="1"/>
    </xf>
    <xf numFmtId="0" fontId="13" fillId="0" borderId="6" xfId="8722" applyBorder="1" applyAlignment="1">
      <alignment horizontal="left" vertical="top" wrapText="1"/>
    </xf>
    <xf numFmtId="0" fontId="159" fillId="0" borderId="4" xfId="8722" applyFont="1" applyBorder="1"/>
    <xf numFmtId="0" fontId="13" fillId="0" borderId="4" xfId="8722" applyBorder="1" applyAlignment="1">
      <alignment horizontal="left" vertical="top" wrapText="1" shrinkToFit="1"/>
    </xf>
    <xf numFmtId="0" fontId="21" fillId="0" borderId="0" xfId="8722" applyFont="1" applyAlignment="1">
      <alignment horizontal="left" vertical="top" wrapText="1" shrinkToFit="1"/>
    </xf>
    <xf numFmtId="0" fontId="23" fillId="0" borderId="0" xfId="8722" applyFont="1" applyAlignment="1">
      <alignment horizontal="left" vertical="top"/>
    </xf>
    <xf numFmtId="0" fontId="13" fillId="0" borderId="0" xfId="8722" applyAlignment="1">
      <alignment horizontal="left" vertical="center" wrapText="1" shrinkToFit="1"/>
    </xf>
    <xf numFmtId="0" fontId="13" fillId="0" borderId="0" xfId="8722" applyAlignment="1">
      <alignment vertical="center" wrapText="1" shrinkToFit="1"/>
    </xf>
    <xf numFmtId="0" fontId="21" fillId="0" borderId="0" xfId="8722" quotePrefix="1" applyFont="1"/>
    <xf numFmtId="0" fontId="13" fillId="0" borderId="0" xfId="8722" applyAlignment="1">
      <alignment horizontal="left" vertical="center"/>
    </xf>
    <xf numFmtId="0" fontId="13" fillId="0" borderId="0" xfId="8722" applyAlignment="1">
      <alignment horizontal="left" vertical="top" shrinkToFit="1"/>
    </xf>
    <xf numFmtId="0" fontId="13" fillId="0" borderId="0" xfId="8722" applyAlignment="1">
      <alignment horizontal="left" vertical="center" shrinkToFit="1"/>
    </xf>
    <xf numFmtId="0" fontId="21" fillId="0" borderId="0" xfId="8722" applyFont="1" applyAlignment="1">
      <alignment horizontal="left" vertical="top" shrinkToFit="1"/>
    </xf>
    <xf numFmtId="0" fontId="23" fillId="0" borderId="4" xfId="8722" applyFont="1" applyBorder="1"/>
    <xf numFmtId="0" fontId="13" fillId="0" borderId="4" xfId="8722" applyBorder="1" applyAlignment="1">
      <alignment horizontal="left" vertical="top" shrinkToFit="1"/>
    </xf>
    <xf numFmtId="0" fontId="43" fillId="0" borderId="0" xfId="8722" applyFont="1"/>
    <xf numFmtId="0" fontId="13" fillId="0" borderId="0" xfId="8722" applyAlignment="1">
      <alignment vertical="center"/>
    </xf>
    <xf numFmtId="0" fontId="29" fillId="0" borderId="0" xfId="8722" applyFont="1" applyAlignment="1">
      <alignment horizontal="right"/>
    </xf>
    <xf numFmtId="0" fontId="19" fillId="0" borderId="0" xfId="8722" applyFont="1"/>
    <xf numFmtId="0" fontId="21" fillId="0" borderId="3" xfId="8722" applyFont="1" applyBorder="1" applyAlignment="1">
      <alignment horizontal="center"/>
    </xf>
    <xf numFmtId="0" fontId="23" fillId="0" borderId="0" xfId="8722" applyFont="1" applyAlignment="1">
      <alignment horizontal="center"/>
    </xf>
    <xf numFmtId="0" fontId="13" fillId="0" borderId="4" xfId="8722" applyBorder="1" applyAlignment="1">
      <alignment horizontal="left" vertical="top" wrapText="1"/>
    </xf>
    <xf numFmtId="0" fontId="20" fillId="0" borderId="8" xfId="8722" applyFont="1" applyBorder="1" applyAlignment="1">
      <alignment vertical="top"/>
    </xf>
    <xf numFmtId="164" fontId="31" fillId="0" borderId="0" xfId="8722" applyNumberFormat="1" applyFont="1" applyAlignment="1">
      <alignment horizontal="left"/>
    </xf>
    <xf numFmtId="0" fontId="23" fillId="0" borderId="0" xfId="8722" applyFont="1" applyAlignment="1">
      <alignment horizontal="left"/>
    </xf>
    <xf numFmtId="0" fontId="13" fillId="0" borderId="4" xfId="8722" applyBorder="1" applyAlignment="1">
      <alignment vertical="top" wrapText="1"/>
    </xf>
    <xf numFmtId="0" fontId="20" fillId="0" borderId="4" xfId="8722" applyFont="1" applyBorder="1" applyAlignment="1">
      <alignment horizontal="center" vertical="top"/>
    </xf>
    <xf numFmtId="0" fontId="23" fillId="0" borderId="4" xfId="8722" applyFont="1" applyBorder="1" applyAlignment="1">
      <alignment horizontal="left" vertical="top"/>
    </xf>
    <xf numFmtId="168" fontId="13" fillId="0" borderId="0" xfId="4497" applyNumberFormat="1"/>
    <xf numFmtId="0" fontId="123" fillId="0" borderId="0" xfId="8722" applyFont="1" applyAlignment="1">
      <alignment horizontal="left" vertical="top"/>
    </xf>
    <xf numFmtId="0" fontId="123" fillId="0" borderId="4" xfId="8722" applyFont="1" applyBorder="1" applyAlignment="1">
      <alignment horizontal="left" vertical="top"/>
    </xf>
    <xf numFmtId="1" fontId="13" fillId="0" borderId="0" xfId="543" applyNumberFormat="1"/>
    <xf numFmtId="0" fontId="21" fillId="0" borderId="1" xfId="8722" applyFont="1" applyBorder="1"/>
    <xf numFmtId="0" fontId="20" fillId="0" borderId="0" xfId="8722" applyFont="1" applyAlignment="1">
      <alignment horizontal="center" wrapText="1"/>
    </xf>
    <xf numFmtId="0" fontId="20" fillId="0" borderId="9" xfId="8722" applyFont="1" applyBorder="1" applyAlignment="1">
      <alignment horizontal="left"/>
    </xf>
    <xf numFmtId="0" fontId="20" fillId="0" borderId="3" xfId="8722" applyFont="1" applyBorder="1" applyAlignment="1">
      <alignment horizontal="left"/>
    </xf>
    <xf numFmtId="0" fontId="20" fillId="0" borderId="4" xfId="8722" applyFont="1" applyBorder="1" applyAlignment="1">
      <alignment horizontal="left"/>
    </xf>
    <xf numFmtId="0" fontId="13" fillId="0" borderId="2" xfId="8722" applyBorder="1" applyAlignment="1">
      <alignment horizontal="left"/>
    </xf>
    <xf numFmtId="0" fontId="20" fillId="0" borderId="2" xfId="8722" applyFont="1" applyBorder="1" applyAlignment="1">
      <alignment horizontal="left"/>
    </xf>
    <xf numFmtId="0" fontId="20" fillId="0" borderId="5" xfId="8722" applyFont="1" applyBorder="1" applyAlignment="1">
      <alignment horizontal="left"/>
    </xf>
    <xf numFmtId="180" fontId="61" fillId="0" borderId="0" xfId="8722" applyNumberFormat="1" applyFont="1" applyAlignment="1">
      <alignment horizontal="center" vertical="center"/>
    </xf>
    <xf numFmtId="0" fontId="95" fillId="0" borderId="0" xfId="8723" applyFont="1" applyAlignment="1">
      <alignment wrapText="1"/>
    </xf>
    <xf numFmtId="0" fontId="95" fillId="0" borderId="0" xfId="8723" applyFont="1"/>
    <xf numFmtId="0" fontId="134" fillId="0" borderId="0" xfId="8723" applyFont="1"/>
    <xf numFmtId="181" fontId="135" fillId="0" borderId="0" xfId="8724" applyNumberFormat="1" applyFont="1" applyBorder="1" applyProtection="1"/>
    <xf numFmtId="0" fontId="136" fillId="0" borderId="0" xfId="8723" applyFont="1" applyAlignment="1">
      <alignment vertical="center" wrapText="1"/>
    </xf>
    <xf numFmtId="49" fontId="95" fillId="0" borderId="0" xfId="8723" applyNumberFormat="1" applyFont="1" applyAlignment="1">
      <alignment horizontal="center" vertical="center"/>
    </xf>
    <xf numFmtId="0" fontId="95" fillId="0" borderId="66" xfId="8723" applyFont="1" applyBorder="1" applyAlignment="1">
      <alignment vertical="center"/>
    </xf>
    <xf numFmtId="0" fontId="95" fillId="0" borderId="29" xfId="8723" applyFont="1" applyBorder="1" applyAlignment="1">
      <alignment vertical="center"/>
    </xf>
    <xf numFmtId="0" fontId="134" fillId="0" borderId="29" xfId="8723" applyFont="1" applyBorder="1" applyAlignment="1">
      <alignment vertical="center"/>
    </xf>
    <xf numFmtId="0" fontId="95" fillId="0" borderId="29" xfId="8723" applyFont="1" applyBorder="1" applyAlignment="1">
      <alignment horizontal="right" vertical="center"/>
    </xf>
    <xf numFmtId="5" fontId="95" fillId="0" borderId="29" xfId="8723" applyNumberFormat="1" applyFont="1" applyBorder="1" applyAlignment="1">
      <alignment vertical="center"/>
    </xf>
    <xf numFmtId="0" fontId="95" fillId="0" borderId="31" xfId="8723" applyFont="1" applyBorder="1" applyAlignment="1">
      <alignment vertical="center"/>
    </xf>
    <xf numFmtId="0" fontId="95" fillId="0" borderId="0" xfId="8723" applyFont="1" applyAlignment="1">
      <alignment vertical="center"/>
    </xf>
    <xf numFmtId="0" fontId="95" fillId="0" borderId="67" xfId="8723" applyFont="1" applyBorder="1" applyAlignment="1">
      <alignment vertical="center"/>
    </xf>
    <xf numFmtId="0" fontId="134" fillId="0" borderId="0" xfId="8723" applyFont="1" applyAlignment="1">
      <alignment vertical="center"/>
    </xf>
    <xf numFmtId="175" fontId="95" fillId="0" borderId="0" xfId="8725" applyNumberFormat="1" applyFont="1" applyFill="1" applyBorder="1" applyAlignment="1" applyProtection="1">
      <alignment horizontal="right" vertical="center"/>
    </xf>
    <xf numFmtId="0" fontId="169" fillId="0" borderId="0" xfId="8723" applyFont="1" applyAlignment="1">
      <alignment horizontal="right" vertical="center"/>
    </xf>
    <xf numFmtId="5" fontId="95" fillId="0" borderId="6" xfId="8723" applyNumberFormat="1" applyFont="1" applyBorder="1" applyAlignment="1">
      <alignment vertical="center"/>
    </xf>
    <xf numFmtId="0" fontId="95" fillId="0" borderId="41" xfId="8723" applyFont="1" applyBorder="1" applyAlignment="1">
      <alignment vertical="center"/>
    </xf>
    <xf numFmtId="183" fontId="95" fillId="0" borderId="0" xfId="8723" applyNumberFormat="1" applyFont="1" applyAlignment="1">
      <alignment vertical="center" wrapText="1"/>
    </xf>
    <xf numFmtId="182" fontId="95" fillId="0" borderId="88" xfId="8723" applyNumberFormat="1" applyFont="1" applyBorder="1" applyAlignment="1">
      <alignment vertical="center"/>
    </xf>
    <xf numFmtId="175" fontId="95" fillId="0" borderId="42" xfId="8725" applyNumberFormat="1" applyFont="1" applyFill="1" applyBorder="1" applyAlignment="1" applyProtection="1">
      <alignment horizontal="left" vertical="center"/>
    </xf>
    <xf numFmtId="0" fontId="134" fillId="0" borderId="42" xfId="8723" applyFont="1" applyBorder="1" applyAlignment="1">
      <alignment vertical="center"/>
    </xf>
    <xf numFmtId="0" fontId="95" fillId="0" borderId="42" xfId="8723" applyFont="1" applyBorder="1" applyAlignment="1">
      <alignment vertical="center"/>
    </xf>
    <xf numFmtId="9" fontId="134" fillId="0" borderId="42" xfId="8725" applyFont="1" applyFill="1" applyBorder="1" applyAlignment="1" applyProtection="1">
      <alignment vertical="center"/>
    </xf>
    <xf numFmtId="175" fontId="134" fillId="0" borderId="42" xfId="1022" applyNumberFormat="1" applyFont="1" applyFill="1" applyBorder="1" applyAlignment="1" applyProtection="1">
      <alignment horizontal="center" vertical="center"/>
    </xf>
    <xf numFmtId="0" fontId="95" fillId="0" borderId="44" xfId="8723" applyFont="1" applyBorder="1" applyAlignment="1">
      <alignment vertical="center"/>
    </xf>
    <xf numFmtId="182" fontId="95" fillId="0" borderId="0" xfId="8723" applyNumberFormat="1" applyFont="1" applyAlignment="1">
      <alignment vertical="center"/>
    </xf>
    <xf numFmtId="175" fontId="95" fillId="0" borderId="0" xfId="8725" applyNumberFormat="1" applyFont="1" applyFill="1" applyBorder="1" applyAlignment="1" applyProtection="1">
      <alignment horizontal="left" vertical="center"/>
    </xf>
    <xf numFmtId="9" fontId="95" fillId="0" borderId="0" xfId="8725" applyFont="1" applyFill="1" applyBorder="1" applyAlignment="1" applyProtection="1">
      <alignment vertical="center"/>
    </xf>
    <xf numFmtId="9" fontId="95" fillId="0" borderId="0" xfId="8725" applyFont="1" applyBorder="1" applyAlignment="1" applyProtection="1">
      <alignment vertical="center"/>
    </xf>
    <xf numFmtId="164" fontId="95" fillId="0" borderId="0" xfId="8723" applyNumberFormat="1" applyFont="1" applyAlignment="1">
      <alignment vertical="center" wrapText="1"/>
    </xf>
    <xf numFmtId="0" fontId="95" fillId="0" borderId="0" xfId="8723" applyFont="1" applyAlignment="1">
      <alignment horizontal="center" vertical="center"/>
    </xf>
    <xf numFmtId="182" fontId="95" fillId="0" borderId="11" xfId="700" applyNumberFormat="1" applyFont="1" applyBorder="1" applyProtection="1"/>
    <xf numFmtId="182" fontId="95" fillId="0" borderId="11" xfId="8723" applyNumberFormat="1" applyFont="1" applyBorder="1"/>
    <xf numFmtId="164" fontId="95" fillId="0" borderId="0" xfId="8723" applyNumberFormat="1" applyFont="1" applyAlignment="1">
      <alignment wrapText="1"/>
    </xf>
    <xf numFmtId="49" fontId="95" fillId="0" borderId="0" xfId="8723" applyNumberFormat="1" applyFont="1" applyAlignment="1">
      <alignment horizontal="left"/>
    </xf>
    <xf numFmtId="182" fontId="95" fillId="0" borderId="75" xfId="8723" applyNumberFormat="1" applyFont="1" applyBorder="1"/>
    <xf numFmtId="0" fontId="137" fillId="0" borderId="0" xfId="8723" applyFont="1"/>
    <xf numFmtId="182" fontId="95" fillId="0" borderId="13" xfId="8723" applyNumberFormat="1" applyFont="1" applyBorder="1"/>
    <xf numFmtId="49" fontId="95" fillId="0" borderId="0" xfId="8723" applyNumberFormat="1" applyFont="1" applyAlignment="1">
      <alignment horizontal="center"/>
    </xf>
    <xf numFmtId="0" fontId="134" fillId="0" borderId="4" xfId="8723" applyFont="1" applyBorder="1" applyAlignment="1">
      <alignment horizontal="left" indent="1"/>
    </xf>
    <xf numFmtId="0" fontId="95" fillId="0" borderId="4" xfId="8723" applyFont="1" applyBorder="1"/>
    <xf numFmtId="182" fontId="95" fillId="0" borderId="11" xfId="8723" applyNumberFormat="1" applyFont="1" applyBorder="1" applyAlignment="1">
      <alignment horizontal="left"/>
    </xf>
    <xf numFmtId="9" fontId="95" fillId="0" borderId="11" xfId="1022" applyFont="1" applyFill="1" applyBorder="1" applyAlignment="1" applyProtection="1">
      <alignment horizontal="right"/>
    </xf>
    <xf numFmtId="168" fontId="95" fillId="0" borderId="11" xfId="8725" applyNumberFormat="1" applyFont="1" applyFill="1" applyBorder="1" applyAlignment="1" applyProtection="1">
      <alignment horizontal="left" vertical="center" indent="1"/>
    </xf>
    <xf numFmtId="182" fontId="95" fillId="0" borderId="15" xfId="8723" applyNumberFormat="1" applyFont="1" applyBorder="1"/>
    <xf numFmtId="9" fontId="95" fillId="0" borderId="15" xfId="1022" applyFont="1" applyFill="1" applyBorder="1" applyAlignment="1" applyProtection="1">
      <alignment horizontal="right"/>
    </xf>
    <xf numFmtId="182" fontId="134" fillId="0" borderId="72" xfId="700" applyNumberFormat="1" applyFont="1" applyBorder="1" applyProtection="1"/>
    <xf numFmtId="168" fontId="134" fillId="0" borderId="72" xfId="8725" applyNumberFormat="1" applyFont="1" applyFill="1" applyBorder="1" applyAlignment="1" applyProtection="1">
      <alignment horizontal="left" vertical="center" indent="1"/>
    </xf>
    <xf numFmtId="182" fontId="134" fillId="0" borderId="72" xfId="8723" applyNumberFormat="1" applyFont="1" applyBorder="1"/>
    <xf numFmtId="1" fontId="95" fillId="0" borderId="0" xfId="8723" applyNumberFormat="1" applyFont="1"/>
    <xf numFmtId="2" fontId="95" fillId="0" borderId="0" xfId="8723" applyNumberFormat="1" applyFont="1" applyAlignment="1">
      <alignment horizontal="center"/>
    </xf>
    <xf numFmtId="2" fontId="95" fillId="0" borderId="0" xfId="8723" applyNumberFormat="1" applyFont="1"/>
    <xf numFmtId="0" fontId="134" fillId="45" borderId="3" xfId="8723" applyFont="1" applyFill="1" applyBorder="1" applyAlignment="1">
      <alignment horizontal="left" indent="1"/>
    </xf>
    <xf numFmtId="0" fontId="95" fillId="45" borderId="4" xfId="8723" applyFont="1" applyFill="1" applyBorder="1"/>
    <xf numFmtId="2" fontId="95" fillId="45" borderId="5" xfId="8723" applyNumberFormat="1" applyFont="1" applyFill="1" applyBorder="1"/>
    <xf numFmtId="0" fontId="95" fillId="0" borderId="0" xfId="8723" applyFont="1" applyAlignment="1">
      <alignment horizontal="right"/>
    </xf>
    <xf numFmtId="181" fontId="95" fillId="0" borderId="0" xfId="8723" applyNumberFormat="1" applyFont="1"/>
    <xf numFmtId="165" fontId="135" fillId="0" borderId="0" xfId="8725" applyNumberFormat="1" applyFont="1" applyFill="1" applyBorder="1" applyProtection="1"/>
    <xf numFmtId="9" fontId="95" fillId="0" borderId="0" xfId="1022" applyFont="1" applyFill="1" applyProtection="1"/>
    <xf numFmtId="0" fontId="95" fillId="0" borderId="11" xfId="8723" applyFont="1" applyBorder="1" applyAlignment="1">
      <alignment horizontal="center"/>
    </xf>
    <xf numFmtId="2" fontId="95" fillId="0" borderId="11" xfId="8723" applyNumberFormat="1" applyFont="1" applyBorder="1" applyAlignment="1">
      <alignment horizontal="center"/>
    </xf>
    <xf numFmtId="0" fontId="95" fillId="0" borderId="0" xfId="8723" applyFont="1" applyAlignment="1">
      <alignment vertical="top" wrapText="1"/>
    </xf>
    <xf numFmtId="0" fontId="95" fillId="0" borderId="11" xfId="8723" applyFont="1" applyBorder="1" applyAlignment="1">
      <alignment horizontal="center" vertical="top" wrapText="1"/>
    </xf>
    <xf numFmtId="0" fontId="95" fillId="0" borderId="15" xfId="8723" applyFont="1" applyBorder="1" applyAlignment="1">
      <alignment horizontal="center" vertical="top" wrapText="1"/>
    </xf>
    <xf numFmtId="2" fontId="95" fillId="0" borderId="15" xfId="8723" applyNumberFormat="1" applyFont="1" applyBorder="1" applyAlignment="1">
      <alignment horizontal="center"/>
    </xf>
    <xf numFmtId="0" fontId="95" fillId="0" borderId="15" xfId="8723" applyFont="1" applyBorder="1" applyAlignment="1">
      <alignment horizontal="center"/>
    </xf>
    <xf numFmtId="0" fontId="134" fillId="0" borderId="72" xfId="8723" applyFont="1" applyBorder="1" applyAlignment="1">
      <alignment horizontal="center" vertical="top" wrapText="1"/>
    </xf>
    <xf numFmtId="0" fontId="134" fillId="0" borderId="72" xfId="8723" applyFont="1" applyBorder="1" applyAlignment="1">
      <alignment horizontal="center"/>
    </xf>
    <xf numFmtId="0" fontId="95" fillId="0" borderId="0" xfId="8723" applyFont="1" applyAlignment="1">
      <alignment horizontal="right" vertical="top"/>
    </xf>
    <xf numFmtId="0" fontId="95" fillId="0" borderId="0" xfId="8723" applyFont="1" applyAlignment="1">
      <alignment horizontal="right" vertical="top" wrapText="1" indent="1"/>
    </xf>
    <xf numFmtId="0" fontId="169" fillId="0" borderId="0" xfId="8723" applyFont="1" applyAlignment="1">
      <alignment horizontal="right"/>
    </xf>
    <xf numFmtId="182" fontId="95" fillId="0" borderId="6" xfId="700" applyNumberFormat="1" applyFont="1" applyBorder="1" applyAlignment="1" applyProtection="1">
      <alignment horizontal="center"/>
    </xf>
    <xf numFmtId="0" fontId="134" fillId="0" borderId="0" xfId="8723" applyFont="1" applyAlignment="1">
      <alignment horizontal="right"/>
    </xf>
    <xf numFmtId="182" fontId="134" fillId="0" borderId="0" xfId="700" applyNumberFormat="1" applyFont="1" applyBorder="1" applyAlignment="1" applyProtection="1">
      <alignment horizontal="center"/>
    </xf>
    <xf numFmtId="10" fontId="95" fillId="0" borderId="0" xfId="1022" applyNumberFormat="1" applyFont="1" applyBorder="1" applyAlignment="1" applyProtection="1">
      <alignment horizontal="center"/>
    </xf>
    <xf numFmtId="0" fontId="95" fillId="0" borderId="0" xfId="8723" applyFont="1" applyAlignment="1">
      <alignment horizontal="center"/>
    </xf>
    <xf numFmtId="182" fontId="95" fillId="0" borderId="0" xfId="8723" applyNumberFormat="1" applyFont="1"/>
    <xf numFmtId="184" fontId="95" fillId="0" borderId="6" xfId="8723" applyNumberFormat="1" applyFont="1" applyBorder="1"/>
    <xf numFmtId="0" fontId="134" fillId="0" borderId="0" xfId="8723" applyFont="1" applyAlignment="1">
      <alignment horizontal="right" vertical="top"/>
    </xf>
    <xf numFmtId="182" fontId="134" fillId="0" borderId="0" xfId="8723" applyNumberFormat="1" applyFont="1"/>
    <xf numFmtId="184" fontId="95" fillId="0" borderId="0" xfId="8723" applyNumberFormat="1" applyFont="1" applyAlignment="1">
      <alignment horizontal="center"/>
    </xf>
    <xf numFmtId="9" fontId="95" fillId="0" borderId="0" xfId="1022" applyFont="1" applyFill="1" applyBorder="1" applyProtection="1"/>
    <xf numFmtId="182" fontId="95" fillId="0" borderId="6" xfId="700" applyNumberFormat="1" applyFont="1" applyBorder="1" applyProtection="1"/>
    <xf numFmtId="184" fontId="95" fillId="0" borderId="0" xfId="8723" applyNumberFormat="1" applyFont="1"/>
    <xf numFmtId="0" fontId="95" fillId="0" borderId="71" xfId="8723" applyFont="1" applyBorder="1" applyAlignment="1">
      <alignment horizontal="right" indent="1"/>
    </xf>
    <xf numFmtId="182" fontId="95" fillId="0" borderId="0" xfId="700" applyNumberFormat="1" applyFont="1" applyBorder="1" applyProtection="1"/>
    <xf numFmtId="0" fontId="95" fillId="0" borderId="82" xfId="8723" applyFont="1" applyBorder="1" applyAlignment="1">
      <alignment horizontal="right" indent="1"/>
    </xf>
    <xf numFmtId="0" fontId="95" fillId="0" borderId="6" xfId="8723" applyFont="1" applyBorder="1" applyAlignment="1">
      <alignment horizontal="right" vertical="top" wrapText="1" indent="1"/>
    </xf>
    <xf numFmtId="0" fontId="95" fillId="0" borderId="0" xfId="8723" applyFont="1" applyAlignment="1">
      <alignment horizontal="left" indent="1"/>
    </xf>
    <xf numFmtId="0" fontId="95" fillId="0" borderId="82" xfId="8723" quotePrefix="1" applyFont="1" applyBorder="1" applyAlignment="1">
      <alignment horizontal="right" indent="1"/>
    </xf>
    <xf numFmtId="0" fontId="95" fillId="0" borderId="74" xfId="8723" applyFont="1" applyBorder="1" applyAlignment="1">
      <alignment horizontal="right" indent="1"/>
    </xf>
    <xf numFmtId="0" fontId="95" fillId="0" borderId="0" xfId="8723" applyFont="1" applyAlignment="1">
      <alignment horizontal="left"/>
    </xf>
    <xf numFmtId="0" fontId="95" fillId="43" borderId="6" xfId="8723" applyFont="1" applyFill="1" applyBorder="1" applyAlignment="1" applyProtection="1">
      <alignment horizontal="center"/>
      <protection locked="0"/>
    </xf>
    <xf numFmtId="182" fontId="95" fillId="0" borderId="76" xfId="8723" applyNumberFormat="1" applyFont="1" applyBorder="1"/>
    <xf numFmtId="182" fontId="95" fillId="0" borderId="93" xfId="8723" applyNumberFormat="1" applyFont="1" applyBorder="1"/>
    <xf numFmtId="182" fontId="95" fillId="0" borderId="95" xfId="8723" applyNumberFormat="1" applyFont="1" applyBorder="1"/>
    <xf numFmtId="0" fontId="95" fillId="0" borderId="0" xfId="8723" applyFont="1" applyAlignment="1">
      <alignment horizontal="right" indent="1"/>
    </xf>
    <xf numFmtId="182" fontId="95" fillId="0" borderId="6" xfId="8723" applyNumberFormat="1" applyFont="1" applyBorder="1"/>
    <xf numFmtId="175" fontId="20" fillId="0" borderId="0" xfId="543" applyNumberFormat="1" applyFont="1" applyAlignment="1">
      <alignment vertical="center"/>
    </xf>
    <xf numFmtId="10" fontId="134" fillId="0" borderId="0" xfId="1022" applyNumberFormat="1" applyFont="1" applyProtection="1"/>
    <xf numFmtId="175" fontId="13" fillId="0" borderId="0" xfId="543" applyNumberFormat="1" applyAlignment="1">
      <alignment vertical="center"/>
    </xf>
    <xf numFmtId="0" fontId="50" fillId="5" borderId="11" xfId="0" applyFont="1" applyFill="1" applyBorder="1" applyAlignment="1" applyProtection="1">
      <alignment horizontal="right" vertical="top" wrapText="1"/>
      <protection locked="0"/>
    </xf>
    <xf numFmtId="0" fontId="13" fillId="0" borderId="0" xfId="0" applyFont="1" applyAlignment="1">
      <alignment horizontal="left" vertical="top" wrapText="1"/>
    </xf>
    <xf numFmtId="0" fontId="14" fillId="0" borderId="0" xfId="244" applyBorder="1" applyAlignment="1" applyProtection="1">
      <alignment horizontal="left" vertical="top" wrapText="1"/>
    </xf>
    <xf numFmtId="0" fontId="13" fillId="0" borderId="0" xfId="0" applyFont="1" applyFill="1" applyAlignment="1">
      <alignment horizontal="left" vertical="top" wrapText="1"/>
    </xf>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4" fontId="31" fillId="0" borderId="0" xfId="569" applyNumberFormat="1"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pplyProtection="1">
      <alignment horizontal="left"/>
    </xf>
    <xf numFmtId="0" fontId="20" fillId="0" borderId="4" xfId="569"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2" applyNumberFormat="1" applyFont="1" applyAlignment="1" applyProtection="1">
      <alignment horizontal="left" vertical="top" wrapText="1"/>
    </xf>
    <xf numFmtId="4" fontId="13" fillId="0" borderId="0" xfId="1192"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0" fontId="13" fillId="0" borderId="0" xfId="1192"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0" fontId="13" fillId="0" borderId="0" xfId="1192" applyFont="1" applyFill="1" applyAlignment="1">
      <alignment horizontal="left" vertical="top" wrapText="1"/>
    </xf>
    <xf numFmtId="0" fontId="13" fillId="0" borderId="0" xfId="569" applyFont="1" applyAlignment="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2"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569" applyFont="1" applyAlignment="1" applyProtection="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xf>
    <xf numFmtId="0" fontId="13" fillId="0" borderId="0" xfId="1192" applyFont="1" applyAlignment="1" applyProtection="1">
      <alignment vertical="top" wrapText="1"/>
    </xf>
    <xf numFmtId="0" fontId="31" fillId="0" borderId="0" xfId="569" applyFont="1" applyFill="1" applyAlignment="1">
      <alignment horizontal="left"/>
    </xf>
    <xf numFmtId="0" fontId="13" fillId="0" borderId="0" xfId="569" applyFont="1" applyBorder="1" applyAlignment="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3" fillId="0" borderId="0" xfId="569"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69" applyFont="1" applyFill="1" applyAlignment="1">
      <alignment horizontal="left"/>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31" fillId="0" borderId="0" xfId="569" applyFont="1" applyAlignment="1" applyProtection="1">
      <alignment horizontal="left"/>
    </xf>
    <xf numFmtId="0" fontId="13" fillId="0" borderId="0" xfId="569" applyFont="1" applyAlignment="1" applyProtection="1">
      <alignment horizontal="left" vertical="top"/>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13" fillId="0" borderId="0" xfId="569" applyFont="1" applyFill="1" applyAlignment="1">
      <alignment horizontal="left" vertical="center"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4" fillId="0" borderId="0" xfId="244" applyNumberFormat="1" applyFill="1" applyAlignment="1" applyProtection="1">
      <alignment horizontal="left"/>
    </xf>
    <xf numFmtId="0" fontId="13" fillId="0" borderId="0" xfId="569" applyFill="1" applyAlignment="1" applyProtection="1"/>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13" fillId="0" borderId="0" xfId="569" applyFont="1" applyFill="1" applyAlignment="1">
      <alignment vertical="top" wrapText="1"/>
    </xf>
    <xf numFmtId="0" fontId="13" fillId="0" borderId="0" xfId="569" applyFont="1" applyAlignment="1">
      <alignmen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Fill="1" applyAlignment="1">
      <alignment horizontal="left" vertical="top" wrapText="1"/>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20" fillId="0" borderId="4" xfId="0" applyFont="1" applyFill="1" applyBorder="1" applyAlignment="1" applyProtection="1">
      <alignment horizontal="left"/>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5" borderId="11" xfId="0" applyFont="1" applyFill="1" applyBorder="1" applyAlignment="1" applyProtection="1">
      <alignment horizontal="center"/>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2"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1" fillId="43" borderId="3" xfId="0" applyNumberFormat="1" applyFont="1" applyFill="1" applyBorder="1" applyAlignment="1" applyProtection="1">
      <alignment horizontal="center"/>
      <protection locked="0"/>
    </xf>
    <xf numFmtId="180" fontId="21" fillId="43" borderId="4" xfId="0" applyNumberFormat="1" applyFont="1" applyFill="1" applyBorder="1" applyAlignment="1" applyProtection="1">
      <alignment horizontal="center"/>
      <protection locked="0"/>
    </xf>
    <xf numFmtId="180" fontId="21"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168" fontId="13" fillId="43" borderId="3" xfId="0" applyNumberFormat="1" applyFont="1" applyFill="1" applyBorder="1" applyAlignment="1" applyProtection="1">
      <alignment horizontal="center"/>
      <protection locked="0"/>
    </xf>
    <xf numFmtId="168" fontId="13" fillId="43" borderId="4" xfId="0" applyNumberFormat="1" applyFont="1" applyFill="1" applyBorder="1" applyAlignment="1" applyProtection="1">
      <alignment horizontal="center"/>
      <protection locked="0"/>
    </xf>
    <xf numFmtId="168"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13" fillId="5" borderId="6"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13" fillId="5" borderId="0" xfId="0" applyFont="1" applyFill="1" applyBorder="1" applyAlignment="1" applyProtection="1">
      <alignment horizontal="left" vertical="top" wrapText="1"/>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2" fillId="5" borderId="11" xfId="0" applyNumberFormat="1"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0" xfId="0" applyFont="1" applyAlignment="1" applyProtection="1">
      <alignment horizontal="center"/>
    </xf>
    <xf numFmtId="0" fontId="21" fillId="43" borderId="6" xfId="0" applyFont="1" applyFill="1" applyBorder="1" applyAlignment="1" applyProtection="1">
      <alignment horizontal="left"/>
      <protection locked="0"/>
    </xf>
    <xf numFmtId="0" fontId="13"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168" fontId="13"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168" fontId="22"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3" fillId="5" borderId="3" xfId="0" applyNumberFormat="1" applyFont="1" applyFill="1" applyBorder="1" applyAlignment="1" applyProtection="1">
      <alignment horizontal="right" vertical="top"/>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20" fillId="0" borderId="11" xfId="0" applyFont="1" applyFill="1" applyBorder="1" applyAlignment="1" applyProtection="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166" fontId="13" fillId="5" borderId="4"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0" borderId="6" xfId="0" applyFont="1" applyBorder="1" applyAlignment="1" applyProtection="1">
      <alignment horizontal="right"/>
    </xf>
    <xf numFmtId="0" fontId="13" fillId="0" borderId="4" xfId="0" applyFont="1" applyBorder="1" applyAlignment="1" applyProtection="1">
      <alignment horizontal="center"/>
    </xf>
    <xf numFmtId="0" fontId="13" fillId="0" borderId="11" xfId="0" applyFont="1" applyBorder="1" applyAlignment="1" applyProtection="1">
      <alignment horizontal="center"/>
    </xf>
    <xf numFmtId="0" fontId="13" fillId="0" borderId="11" xfId="543" applyFont="1" applyFill="1" applyBorder="1" applyAlignment="1" applyProtection="1">
      <alignment horizontal="center"/>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2" fillId="5" borderId="6"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32"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13" fillId="43" borderId="0" xfId="0" applyFont="1" applyFill="1" applyBorder="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2" fillId="5" borderId="4" xfId="271"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13" fillId="0" borderId="6" xfId="0" applyFont="1" applyFill="1" applyBorder="1" applyAlignment="1" applyProtection="1">
      <alignment horizontal="center"/>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0" fontId="28"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22"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0"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2" fillId="5" borderId="3" xfId="0" applyFont="1" applyFill="1" applyBorder="1" applyAlignment="1" applyProtection="1">
      <alignment horizontal="lef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165" fillId="44" borderId="8" xfId="0" applyFont="1" applyFill="1" applyBorder="1" applyAlignment="1" applyProtection="1">
      <alignment horizontal="center" vertical="top" wrapText="1"/>
    </xf>
    <xf numFmtId="0" fontId="165" fillId="44" borderId="0" xfId="0" applyFont="1" applyFill="1" applyBorder="1" applyAlignment="1" applyProtection="1">
      <alignment horizontal="center" vertical="top" wrapText="1"/>
    </xf>
    <xf numFmtId="9" fontId="165" fillId="44" borderId="8" xfId="0" applyNumberFormat="1" applyFont="1" applyFill="1" applyBorder="1" applyAlignment="1" applyProtection="1">
      <alignment horizontal="center"/>
    </xf>
    <xf numFmtId="9" fontId="165" fillId="44" borderId="0" xfId="0" applyNumberFormat="1" applyFont="1" applyFill="1" applyBorder="1" applyAlignment="1" applyProtection="1">
      <alignment horizontal="center"/>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3" fillId="0" borderId="0" xfId="543" applyNumberFormat="1" applyFont="1" applyFill="1" applyBorder="1" applyAlignment="1" applyProtection="1">
      <alignment horizontal="center" vertical="center"/>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22" fillId="0" borderId="3" xfId="0" applyFont="1" applyBorder="1" applyAlignment="1" applyProtection="1">
      <alignment horizontal="left"/>
    </xf>
    <xf numFmtId="0" fontId="21"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2" fontId="13" fillId="0" borderId="0" xfId="543" applyNumberFormat="1" applyFont="1" applyFill="1" applyBorder="1" applyAlignment="1" applyProtection="1">
      <alignment horizontal="center"/>
    </xf>
    <xf numFmtId="0" fontId="13"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13"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6" xfId="0" applyFont="1" applyBorder="1" applyAlignment="1" applyProtection="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3"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3" fillId="0" borderId="1" xfId="0" applyFont="1" applyFill="1" applyBorder="1" applyAlignment="1" applyProtection="1">
      <alignment horizontal="center" vertical="top" wrapText="1"/>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13" fillId="43" borderId="11" xfId="0" applyFont="1" applyFill="1" applyBorder="1" applyAlignment="1" applyProtection="1">
      <alignment horizontal="center"/>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11" xfId="0" applyFont="1" applyBorder="1" applyAlignment="1" applyProtection="1">
      <alignment horizontal="center" wrapText="1"/>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2" fillId="2" borderId="11" xfId="0" applyFont="1" applyFill="1" applyBorder="1" applyAlignment="1" applyProtection="1">
      <alignment horizontal="center"/>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8"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2"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4" fontId="22" fillId="5" borderId="4"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3" fontId="41" fillId="10"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0" fontId="20"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5" borderId="6" xfId="271" applyFont="1" applyFill="1" applyBorder="1" applyAlignment="1" applyProtection="1">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21" fillId="5" borderId="3" xfId="543" applyFont="1" applyFill="1" applyBorder="1" applyAlignment="1" applyProtection="1">
      <alignment horizontal="center"/>
      <protection locked="0"/>
    </xf>
    <xf numFmtId="9" fontId="13" fillId="5" borderId="3" xfId="0" applyNumberFormat="1" applyFont="1" applyFill="1" applyBorder="1" applyAlignment="1" applyProtection="1">
      <alignment horizontal="right"/>
      <protection locked="0"/>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22" fillId="0" borderId="11" xfId="0" applyFont="1" applyBorder="1" applyAlignment="1" applyProtection="1">
      <alignment horizontal="center"/>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0" fillId="0" borderId="3" xfId="8722" applyFont="1" applyBorder="1" applyAlignment="1">
      <alignment horizontal="left"/>
    </xf>
    <xf numFmtId="0" fontId="20" fillId="0" borderId="4" xfId="8722" applyFont="1" applyBorder="1" applyAlignment="1">
      <alignment horizontal="left"/>
    </xf>
    <xf numFmtId="0" fontId="20" fillId="0" borderId="5" xfId="8722" applyFont="1" applyBorder="1" applyAlignment="1">
      <alignment horizontal="left"/>
    </xf>
    <xf numFmtId="0" fontId="13" fillId="5" borderId="11" xfId="8722" applyFill="1" applyBorder="1" applyAlignment="1" applyProtection="1">
      <alignment horizontal="center"/>
      <protection locked="0"/>
    </xf>
    <xf numFmtId="0" fontId="13" fillId="0" borderId="11" xfId="8722" applyBorder="1" applyAlignment="1">
      <alignment horizontal="center"/>
    </xf>
    <xf numFmtId="0" fontId="20" fillId="0" borderId="3" xfId="8722" applyFont="1" applyBorder="1" applyAlignment="1">
      <alignment horizontal="center"/>
    </xf>
    <xf numFmtId="0" fontId="20" fillId="0" borderId="4" xfId="8722" applyFont="1" applyBorder="1" applyAlignment="1">
      <alignment horizontal="center"/>
    </xf>
    <xf numFmtId="0" fontId="20" fillId="0" borderId="5" xfId="8722" applyFont="1" applyBorder="1" applyAlignment="1">
      <alignment horizontal="center"/>
    </xf>
    <xf numFmtId="164" fontId="61" fillId="0" borderId="1" xfId="8722" applyNumberFormat="1" applyFont="1" applyBorder="1" applyAlignment="1">
      <alignment horizontal="right" vertical="center"/>
    </xf>
    <xf numFmtId="164" fontId="61" fillId="0" borderId="2" xfId="8722" applyNumberFormat="1" applyFont="1" applyBorder="1" applyAlignment="1">
      <alignment horizontal="right" vertical="center"/>
    </xf>
    <xf numFmtId="164" fontId="61" fillId="0" borderId="7" xfId="8722" applyNumberFormat="1" applyFont="1" applyBorder="1" applyAlignment="1">
      <alignment horizontal="right" vertical="center"/>
    </xf>
    <xf numFmtId="164" fontId="61" fillId="0" borderId="9" xfId="8722" applyNumberFormat="1" applyFont="1" applyBorder="1" applyAlignment="1">
      <alignment horizontal="right" vertical="center"/>
    </xf>
    <xf numFmtId="164" fontId="61" fillId="0" borderId="6" xfId="8722" applyNumberFormat="1" applyFont="1" applyBorder="1" applyAlignment="1">
      <alignment horizontal="right" vertical="center"/>
    </xf>
    <xf numFmtId="164" fontId="61" fillId="0" borderId="10" xfId="8722" applyNumberFormat="1" applyFont="1" applyBorder="1" applyAlignment="1">
      <alignment horizontal="right" vertical="center"/>
    </xf>
    <xf numFmtId="180" fontId="61" fillId="0" borderId="1" xfId="8722" applyNumberFormat="1" applyFont="1" applyBorder="1" applyAlignment="1">
      <alignment horizontal="center" vertical="center"/>
    </xf>
    <xf numFmtId="180" fontId="61" fillId="0" borderId="2" xfId="8722" applyNumberFormat="1" applyFont="1" applyBorder="1" applyAlignment="1">
      <alignment horizontal="center" vertical="center"/>
    </xf>
    <xf numFmtId="180" fontId="61" fillId="0" borderId="7" xfId="8722" applyNumberFormat="1" applyFont="1" applyBorder="1" applyAlignment="1">
      <alignment horizontal="center" vertical="center"/>
    </xf>
    <xf numFmtId="180" fontId="61" fillId="0" borderId="9" xfId="8722" applyNumberFormat="1" applyFont="1" applyBorder="1" applyAlignment="1">
      <alignment horizontal="center" vertical="center"/>
    </xf>
    <xf numFmtId="180" fontId="61" fillId="0" borderId="6" xfId="8722" applyNumberFormat="1" applyFont="1" applyBorder="1" applyAlignment="1">
      <alignment horizontal="center" vertical="center"/>
    </xf>
    <xf numFmtId="180" fontId="61" fillId="0" borderId="10" xfId="8722" applyNumberFormat="1" applyFont="1" applyBorder="1" applyAlignment="1">
      <alignment horizontal="center" vertical="center"/>
    </xf>
    <xf numFmtId="1" fontId="20" fillId="0" borderId="11" xfId="8722" applyNumberFormat="1" applyFont="1" applyBorder="1" applyAlignment="1">
      <alignment horizontal="center"/>
    </xf>
    <xf numFmtId="0" fontId="20" fillId="0" borderId="11" xfId="8722" applyFont="1" applyBorder="1" applyAlignment="1">
      <alignment horizontal="center"/>
    </xf>
    <xf numFmtId="1" fontId="13" fillId="0" borderId="11" xfId="8722" applyNumberFormat="1" applyBorder="1" applyAlignment="1">
      <alignment horizontal="center"/>
    </xf>
    <xf numFmtId="0" fontId="13" fillId="0" borderId="3" xfId="8722" applyBorder="1" applyAlignment="1">
      <alignment horizontal="center"/>
    </xf>
    <xf numFmtId="0" fontId="13" fillId="0" borderId="4" xfId="8722" applyBorder="1" applyAlignment="1">
      <alignment horizontal="center"/>
    </xf>
    <xf numFmtId="0" fontId="13" fillId="0" borderId="5" xfId="8722" applyBorder="1" applyAlignment="1">
      <alignment horizontal="center"/>
    </xf>
    <xf numFmtId="1" fontId="13" fillId="46" borderId="11" xfId="8722" applyNumberFormat="1" applyFill="1" applyBorder="1" applyAlignment="1">
      <alignment horizontal="center"/>
    </xf>
    <xf numFmtId="0" fontId="20" fillId="0" borderId="3" xfId="8722" applyFont="1" applyBorder="1" applyAlignment="1">
      <alignment horizontal="center" wrapText="1"/>
    </xf>
    <xf numFmtId="0" fontId="20" fillId="0" borderId="4" xfId="8722" applyFont="1" applyBorder="1" applyAlignment="1">
      <alignment horizontal="center" wrapText="1"/>
    </xf>
    <xf numFmtId="0" fontId="20" fillId="0" borderId="5" xfId="8722" applyFont="1" applyBorder="1" applyAlignment="1">
      <alignment horizontal="center" wrapText="1"/>
    </xf>
    <xf numFmtId="0" fontId="13" fillId="0" borderId="4" xfId="8722" applyBorder="1" applyAlignment="1">
      <alignment horizontal="left"/>
    </xf>
    <xf numFmtId="0" fontId="13" fillId="0" borderId="5" xfId="8722" applyBorder="1" applyAlignment="1">
      <alignment horizontal="left"/>
    </xf>
    <xf numFmtId="1" fontId="20" fillId="0" borderId="4" xfId="8722" applyNumberFormat="1" applyFont="1" applyBorder="1" applyAlignment="1">
      <alignment horizontal="center" wrapText="1"/>
    </xf>
    <xf numFmtId="49" fontId="19" fillId="3" borderId="2" xfId="8722" applyNumberFormat="1" applyFont="1" applyFill="1" applyBorder="1" applyAlignment="1">
      <alignment horizontal="center" vertical="center" wrapText="1"/>
    </xf>
    <xf numFmtId="49" fontId="19" fillId="3" borderId="2" xfId="8722" applyNumberFormat="1" applyFont="1" applyFill="1" applyBorder="1" applyAlignment="1">
      <alignment horizontal="center" vertical="center"/>
    </xf>
    <xf numFmtId="49" fontId="19" fillId="3" borderId="0" xfId="8722" applyNumberFormat="1" applyFont="1" applyFill="1" applyAlignment="1">
      <alignment horizontal="center" vertical="center"/>
    </xf>
    <xf numFmtId="0" fontId="20" fillId="0" borderId="0" xfId="8722" applyFont="1" applyAlignment="1">
      <alignment horizontal="center"/>
    </xf>
    <xf numFmtId="0" fontId="20" fillId="0" borderId="1" xfId="8722" applyFont="1" applyBorder="1" applyAlignment="1">
      <alignment horizontal="center" wrapText="1"/>
    </xf>
    <xf numFmtId="0" fontId="20" fillId="0" borderId="2" xfId="8722" applyFont="1" applyBorder="1" applyAlignment="1">
      <alignment horizontal="center" wrapText="1"/>
    </xf>
    <xf numFmtId="0" fontId="20" fillId="0" borderId="7" xfId="8722" applyFont="1" applyBorder="1" applyAlignment="1">
      <alignment horizontal="center" wrapText="1"/>
    </xf>
    <xf numFmtId="0" fontId="20" fillId="0" borderId="9" xfId="8722" applyFont="1" applyBorder="1" applyAlignment="1">
      <alignment horizontal="center" wrapText="1"/>
    </xf>
    <xf numFmtId="0" fontId="20" fillId="0" borderId="6" xfId="8722" applyFont="1" applyBorder="1" applyAlignment="1">
      <alignment horizontal="center" wrapText="1"/>
    </xf>
    <xf numFmtId="0" fontId="20" fillId="0" borderId="10" xfId="8722" applyFont="1" applyBorder="1" applyAlignment="1">
      <alignment horizontal="center" wrapText="1"/>
    </xf>
    <xf numFmtId="0" fontId="13" fillId="0" borderId="0" xfId="8722" applyAlignment="1">
      <alignment horizontal="left" vertical="top" wrapText="1"/>
    </xf>
    <xf numFmtId="0" fontId="20" fillId="0" borderId="0" xfId="8722" applyFont="1" applyAlignment="1">
      <alignment horizontal="center" vertical="top"/>
    </xf>
    <xf numFmtId="0" fontId="13" fillId="5" borderId="6" xfId="8722" applyFill="1" applyBorder="1" applyAlignment="1" applyProtection="1">
      <alignment horizontal="center" vertical="center" wrapText="1" shrinkToFit="1"/>
      <protection locked="0"/>
    </xf>
    <xf numFmtId="0" fontId="20" fillId="0" borderId="0" xfId="8722" applyFont="1" applyAlignment="1">
      <alignment horizontal="left" vertical="top" wrapText="1"/>
    </xf>
    <xf numFmtId="0" fontId="13" fillId="0" borderId="0" xfId="8722" applyAlignment="1">
      <alignment horizontal="left" vertical="top" wrapText="1" shrinkToFit="1"/>
    </xf>
    <xf numFmtId="44" fontId="13" fillId="0" borderId="0" xfId="707" applyFont="1" applyFill="1" applyBorder="1" applyAlignment="1" applyProtection="1">
      <alignment horizontal="left" vertical="top" wrapText="1"/>
    </xf>
    <xf numFmtId="0" fontId="21" fillId="0" borderId="0" xfId="8722" applyFont="1" applyAlignment="1">
      <alignment horizontal="center"/>
    </xf>
    <xf numFmtId="0" fontId="13" fillId="5" borderId="6" xfId="8722" applyFill="1" applyBorder="1" applyAlignment="1" applyProtection="1">
      <alignment horizontal="center"/>
      <protection locked="0"/>
    </xf>
    <xf numFmtId="0" fontId="13" fillId="0" borderId="0" xfId="8722" applyAlignment="1">
      <alignment horizontal="left" vertical="center" wrapText="1" shrinkToFit="1"/>
    </xf>
    <xf numFmtId="0" fontId="13" fillId="43" borderId="6" xfId="1192" applyFill="1" applyBorder="1" applyAlignment="1" applyProtection="1">
      <alignment horizontal="left" vertical="top"/>
      <protection locked="0"/>
    </xf>
    <xf numFmtId="0" fontId="13" fillId="5" borderId="6" xfId="8722" applyFill="1" applyBorder="1" applyAlignment="1" applyProtection="1">
      <alignment horizontal="left" wrapText="1" shrinkToFit="1"/>
      <protection locked="0"/>
    </xf>
    <xf numFmtId="1" fontId="13" fillId="0" borderId="4" xfId="8723" applyNumberFormat="1" applyFont="1" applyBorder="1" applyAlignment="1">
      <alignment horizontal="center"/>
    </xf>
    <xf numFmtId="1" fontId="13" fillId="0" borderId="5" xfId="8723" applyNumberFormat="1" applyFont="1" applyBorder="1" applyAlignment="1">
      <alignment horizontal="center"/>
    </xf>
    <xf numFmtId="4" fontId="21" fillId="0" borderId="3" xfId="8722" applyNumberFormat="1" applyFont="1" applyBorder="1" applyAlignment="1">
      <alignment horizontal="center"/>
    </xf>
    <xf numFmtId="4" fontId="21" fillId="0" borderId="4" xfId="8722" applyNumberFormat="1" applyFont="1" applyBorder="1" applyAlignment="1">
      <alignment horizontal="center"/>
    </xf>
    <xf numFmtId="4" fontId="21" fillId="0" borderId="5" xfId="8722" applyNumberFormat="1" applyFont="1" applyBorder="1" applyAlignment="1">
      <alignment horizontal="center"/>
    </xf>
    <xf numFmtId="0" fontId="20" fillId="0" borderId="0" xfId="8722" applyFont="1" applyAlignment="1">
      <alignment horizontal="right"/>
    </xf>
    <xf numFmtId="9" fontId="13" fillId="0" borderId="4" xfId="8723" applyNumberFormat="1" applyFont="1" applyBorder="1" applyAlignment="1">
      <alignment horizontal="center"/>
    </xf>
    <xf numFmtId="4" fontId="21" fillId="0" borderId="6" xfId="8722" applyNumberFormat="1" applyFont="1" applyBorder="1" applyAlignment="1">
      <alignment horizontal="center"/>
    </xf>
    <xf numFmtId="10" fontId="21" fillId="0" borderId="2" xfId="8722" applyNumberFormat="1" applyFont="1" applyBorder="1" applyAlignment="1">
      <alignment horizontal="center"/>
    </xf>
    <xf numFmtId="0" fontId="13" fillId="0" borderId="50" xfId="8723" applyFont="1" applyBorder="1" applyAlignment="1">
      <alignment horizontal="left" wrapText="1"/>
    </xf>
    <xf numFmtId="0" fontId="13" fillId="0" borderId="51" xfId="8723" applyFont="1" applyBorder="1" applyAlignment="1">
      <alignment horizontal="left" wrapText="1"/>
    </xf>
    <xf numFmtId="0" fontId="13" fillId="0" borderId="52" xfId="8723" applyFont="1" applyBorder="1" applyAlignment="1">
      <alignment horizontal="left" wrapText="1"/>
    </xf>
    <xf numFmtId="0" fontId="13" fillId="0" borderId="53" xfId="8723" applyFont="1" applyBorder="1" applyAlignment="1">
      <alignment horizontal="left" wrapText="1"/>
    </xf>
    <xf numFmtId="0" fontId="13" fillId="0" borderId="0" xfId="8723" applyFont="1" applyAlignment="1">
      <alignment horizontal="left" wrapText="1"/>
    </xf>
    <xf numFmtId="0" fontId="13" fillId="0" borderId="54" xfId="8723" applyFont="1" applyBorder="1" applyAlignment="1">
      <alignment horizontal="left" wrapText="1"/>
    </xf>
    <xf numFmtId="0" fontId="13" fillId="0" borderId="57" xfId="8723" applyFont="1" applyBorder="1" applyAlignment="1">
      <alignment horizontal="left" wrapText="1"/>
    </xf>
    <xf numFmtId="0" fontId="13" fillId="0" borderId="58" xfId="8723" applyFont="1" applyBorder="1" applyAlignment="1">
      <alignment horizontal="left" wrapText="1"/>
    </xf>
    <xf numFmtId="0" fontId="13" fillId="0" borderId="59" xfId="8723" applyFont="1" applyBorder="1" applyAlignment="1">
      <alignment horizontal="left" wrapText="1"/>
    </xf>
    <xf numFmtId="4" fontId="21" fillId="0" borderId="0" xfId="8722" applyNumberFormat="1" applyFont="1" applyAlignment="1">
      <alignment horizontal="center"/>
    </xf>
    <xf numFmtId="0" fontId="13" fillId="0" borderId="53" xfId="8722" applyBorder="1" applyAlignment="1">
      <alignment horizontal="left" vertical="top" wrapText="1"/>
    </xf>
    <xf numFmtId="0" fontId="13" fillId="0" borderId="54" xfId="8722" applyBorder="1" applyAlignment="1">
      <alignment horizontal="left" vertical="top" wrapText="1"/>
    </xf>
    <xf numFmtId="0" fontId="13" fillId="0" borderId="57" xfId="8722" applyBorder="1" applyAlignment="1">
      <alignment horizontal="left" vertical="top" wrapText="1"/>
    </xf>
    <xf numFmtId="0" fontId="13" fillId="0" borderId="58" xfId="8722" applyBorder="1" applyAlignment="1">
      <alignment horizontal="left" vertical="top" wrapText="1"/>
    </xf>
    <xf numFmtId="168" fontId="13" fillId="0" borderId="6" xfId="8723" applyNumberFormat="1" applyFont="1" applyBorder="1" applyAlignment="1">
      <alignment horizontal="center"/>
    </xf>
    <xf numFmtId="168" fontId="13" fillId="0" borderId="4" xfId="8723" applyNumberFormat="1" applyFont="1" applyBorder="1" applyAlignment="1">
      <alignment horizontal="center"/>
    </xf>
    <xf numFmtId="0" fontId="13" fillId="5" borderId="55" xfId="8722" applyFill="1" applyBorder="1" applyAlignment="1">
      <alignment horizontal="center"/>
    </xf>
    <xf numFmtId="0" fontId="13" fillId="5" borderId="6" xfId="8722" applyFill="1" applyBorder="1" applyAlignment="1">
      <alignment horizontal="center"/>
    </xf>
    <xf numFmtId="0" fontId="21" fillId="5" borderId="0" xfId="8722" applyFont="1" applyFill="1" applyAlignment="1">
      <alignment horizontal="left" vertical="top" wrapText="1"/>
    </xf>
    <xf numFmtId="0" fontId="21" fillId="5" borderId="58" xfId="8722" applyFont="1" applyFill="1" applyBorder="1" applyAlignment="1">
      <alignment horizontal="left" vertical="top" wrapText="1"/>
    </xf>
    <xf numFmtId="0" fontId="119" fillId="0" borderId="50" xfId="8723" applyFont="1" applyBorder="1" applyAlignment="1">
      <alignment horizontal="left" wrapText="1"/>
    </xf>
    <xf numFmtId="0" fontId="119" fillId="0" borderId="51" xfId="8723" applyFont="1" applyBorder="1" applyAlignment="1">
      <alignment horizontal="left" wrapText="1"/>
    </xf>
    <xf numFmtId="0" fontId="119" fillId="0" borderId="52" xfId="8723" applyFont="1" applyBorder="1" applyAlignment="1">
      <alignment horizontal="left" wrapText="1"/>
    </xf>
    <xf numFmtId="0" fontId="119" fillId="0" borderId="57" xfId="8723" applyFont="1" applyBorder="1" applyAlignment="1">
      <alignment horizontal="left" wrapText="1"/>
    </xf>
    <xf numFmtId="0" fontId="119" fillId="0" borderId="58" xfId="8723" applyFont="1" applyBorder="1" applyAlignment="1">
      <alignment horizontal="left" wrapText="1"/>
    </xf>
    <xf numFmtId="0" fontId="119" fillId="0" borderId="59" xfId="8723" applyFont="1" applyBorder="1" applyAlignment="1">
      <alignment horizontal="left" wrapText="1"/>
    </xf>
    <xf numFmtId="0" fontId="13" fillId="5" borderId="50" xfId="8722" applyFill="1" applyBorder="1" applyAlignment="1">
      <alignment horizontal="center"/>
    </xf>
    <xf numFmtId="0" fontId="13" fillId="5" borderId="51" xfId="8722" applyFill="1" applyBorder="1" applyAlignment="1">
      <alignment horizontal="center"/>
    </xf>
    <xf numFmtId="0" fontId="13" fillId="0" borderId="53" xfId="8722" applyBorder="1" applyAlignment="1">
      <alignment horizontal="center"/>
    </xf>
    <xf numFmtId="0" fontId="13" fillId="0" borderId="0" xfId="8722" applyAlignment="1">
      <alignment horizontal="center"/>
    </xf>
    <xf numFmtId="0" fontId="21" fillId="5" borderId="0" xfId="8722" applyFont="1" applyFill="1" applyAlignment="1">
      <alignment horizontal="left" vertical="top"/>
    </xf>
    <xf numFmtId="0" fontId="13" fillId="5" borderId="53" xfId="8722" applyFill="1" applyBorder="1" applyAlignment="1">
      <alignment horizontal="center"/>
    </xf>
    <xf numFmtId="0" fontId="13" fillId="5" borderId="0" xfId="8722" applyFill="1" applyAlignment="1">
      <alignment horizontal="center"/>
    </xf>
    <xf numFmtId="0" fontId="21" fillId="0" borderId="0" xfId="8722" applyFont="1" applyAlignment="1">
      <alignment horizontal="left" vertical="top" wrapText="1"/>
    </xf>
    <xf numFmtId="0" fontId="21" fillId="0" borderId="58" xfId="8722" applyFont="1" applyBorder="1" applyAlignment="1">
      <alignment horizontal="left" vertical="top" wrapText="1"/>
    </xf>
    <xf numFmtId="0" fontId="50" fillId="0" borderId="51" xfId="8722" applyFont="1" applyBorder="1" applyAlignment="1">
      <alignment horizontal="left" wrapText="1"/>
    </xf>
    <xf numFmtId="0" fontId="50" fillId="0" borderId="0" xfId="8722" applyFont="1" applyAlignment="1">
      <alignment horizontal="left" wrapText="1"/>
    </xf>
    <xf numFmtId="0" fontId="21" fillId="5" borderId="58" xfId="8722" applyFont="1" applyFill="1" applyBorder="1" applyAlignment="1">
      <alignment horizontal="left"/>
    </xf>
    <xf numFmtId="0" fontId="50" fillId="0" borderId="51" xfId="8722" applyFont="1" applyBorder="1" applyAlignment="1">
      <alignment horizontal="left" vertical="top" wrapText="1"/>
    </xf>
    <xf numFmtId="0" fontId="50" fillId="0" borderId="0" xfId="8722" applyFont="1" applyAlignment="1">
      <alignment horizontal="left" vertical="top" wrapText="1"/>
    </xf>
    <xf numFmtId="9" fontId="21" fillId="5" borderId="58" xfId="8722" applyNumberFormat="1" applyFont="1" applyFill="1" applyBorder="1" applyAlignment="1">
      <alignment horizontal="left"/>
    </xf>
    <xf numFmtId="9" fontId="21" fillId="5" borderId="6" xfId="8722" applyNumberFormat="1" applyFont="1" applyFill="1" applyBorder="1" applyAlignment="1">
      <alignment horizontal="left"/>
    </xf>
    <xf numFmtId="0" fontId="21" fillId="5" borderId="6" xfId="8722" applyFont="1" applyFill="1" applyBorder="1" applyAlignment="1">
      <alignment horizontal="left"/>
    </xf>
    <xf numFmtId="0" fontId="13" fillId="5" borderId="63" xfId="8722" applyFill="1" applyBorder="1" applyAlignment="1">
      <alignment horizontal="center"/>
    </xf>
    <xf numFmtId="0" fontId="13" fillId="5" borderId="64" xfId="8722" applyFill="1" applyBorder="1" applyAlignment="1">
      <alignment horizontal="center"/>
    </xf>
    <xf numFmtId="0" fontId="13" fillId="5" borderId="55" xfId="8722" applyFill="1" applyBorder="1" applyAlignment="1" applyProtection="1">
      <alignment horizontal="center"/>
      <protection locked="0"/>
    </xf>
    <xf numFmtId="0" fontId="21" fillId="0" borderId="51" xfId="8722" applyFont="1" applyBorder="1" applyAlignment="1">
      <alignment horizontal="left" vertical="top" wrapText="1"/>
    </xf>
    <xf numFmtId="0" fontId="20" fillId="0" borderId="51" xfId="8722" applyFont="1" applyBorder="1" applyAlignment="1">
      <alignment horizontal="center" vertical="top"/>
    </xf>
    <xf numFmtId="0" fontId="20" fillId="0" borderId="52" xfId="8722" applyFont="1" applyBorder="1" applyAlignment="1">
      <alignment horizontal="center" vertical="top"/>
    </xf>
    <xf numFmtId="0" fontId="20" fillId="0" borderId="54" xfId="8722" applyFont="1" applyBorder="1" applyAlignment="1">
      <alignment horizontal="center"/>
    </xf>
    <xf numFmtId="0" fontId="20" fillId="0" borderId="54" xfId="8722" applyFont="1" applyBorder="1" applyAlignment="1">
      <alignment horizontal="center" vertical="top"/>
    </xf>
    <xf numFmtId="0" fontId="13" fillId="5" borderId="63" xfId="8722" applyFill="1" applyBorder="1" applyAlignment="1" applyProtection="1">
      <alignment horizontal="center"/>
      <protection locked="0"/>
    </xf>
    <xf numFmtId="0" fontId="13" fillId="5" borderId="64" xfId="8722" applyFill="1" applyBorder="1" applyAlignment="1" applyProtection="1">
      <alignment horizontal="center"/>
      <protection locked="0"/>
    </xf>
    <xf numFmtId="0" fontId="29" fillId="42" borderId="2" xfId="8722" applyFont="1" applyFill="1" applyBorder="1" applyAlignment="1">
      <alignment horizontal="center"/>
    </xf>
    <xf numFmtId="0" fontId="29" fillId="42" borderId="6" xfId="8722" applyFont="1" applyFill="1" applyBorder="1" applyAlignment="1">
      <alignment horizontal="center"/>
    </xf>
    <xf numFmtId="0" fontId="13" fillId="45" borderId="11" xfId="8722" applyFill="1" applyBorder="1" applyAlignment="1">
      <alignment horizontal="center"/>
    </xf>
    <xf numFmtId="0" fontId="127" fillId="0" borderId="0" xfId="8722" applyFont="1" applyAlignment="1">
      <alignment horizontal="left" vertical="center" wrapText="1"/>
    </xf>
    <xf numFmtId="0" fontId="127" fillId="0" borderId="0" xfId="8722" applyFont="1" applyAlignment="1">
      <alignment horizontal="left" vertical="top" wrapText="1"/>
    </xf>
    <xf numFmtId="0" fontId="13" fillId="43" borderId="53" xfId="8722" applyFill="1" applyBorder="1" applyAlignment="1" applyProtection="1">
      <alignment vertical="top" wrapText="1"/>
      <protection locked="0"/>
    </xf>
    <xf numFmtId="0" fontId="13" fillId="43" borderId="0" xfId="8722" applyFill="1" applyAlignment="1" applyProtection="1">
      <alignment vertical="top" wrapText="1"/>
      <protection locked="0"/>
    </xf>
    <xf numFmtId="0" fontId="13" fillId="43" borderId="54" xfId="8722" applyFill="1" applyBorder="1" applyAlignment="1" applyProtection="1">
      <alignment vertical="top" wrapText="1"/>
      <protection locked="0"/>
    </xf>
    <xf numFmtId="0" fontId="13" fillId="43" borderId="55" xfId="8722" applyFill="1" applyBorder="1" applyAlignment="1" applyProtection="1">
      <alignment vertical="top" wrapText="1"/>
      <protection locked="0"/>
    </xf>
    <xf numFmtId="0" fontId="13" fillId="43" borderId="6" xfId="8722" applyFill="1" applyBorder="1" applyAlignment="1" applyProtection="1">
      <alignment vertical="top" wrapText="1"/>
      <protection locked="0"/>
    </xf>
    <xf numFmtId="0" fontId="13" fillId="43" borderId="56" xfId="8722" applyFill="1" applyBorder="1" applyAlignment="1" applyProtection="1">
      <alignment vertical="top" wrapText="1"/>
      <protection locked="0"/>
    </xf>
    <xf numFmtId="0" fontId="13" fillId="43" borderId="0" xfId="8722" applyFill="1" applyAlignment="1" applyProtection="1">
      <alignment horizontal="left" vertical="center" wrapText="1"/>
      <protection locked="0"/>
    </xf>
    <xf numFmtId="0" fontId="13" fillId="43" borderId="54" xfId="8722" applyFill="1" applyBorder="1" applyAlignment="1" applyProtection="1">
      <alignment horizontal="left" vertical="center" wrapText="1"/>
      <protection locked="0"/>
    </xf>
    <xf numFmtId="0" fontId="13" fillId="43" borderId="6" xfId="8722" applyFill="1" applyBorder="1" applyAlignment="1" applyProtection="1">
      <alignment horizontal="left" vertical="center" wrapText="1"/>
      <protection locked="0"/>
    </xf>
    <xf numFmtId="0" fontId="13" fillId="43" borderId="56" xfId="8722" applyFill="1" applyBorder="1" applyAlignment="1" applyProtection="1">
      <alignment horizontal="left" vertical="center" wrapText="1"/>
      <protection locked="0"/>
    </xf>
    <xf numFmtId="0" fontId="13" fillId="0" borderId="0" xfId="543" applyAlignment="1">
      <alignment horizontal="center"/>
    </xf>
    <xf numFmtId="0" fontId="13" fillId="0" borderId="50" xfId="8722" applyBorder="1" applyAlignment="1">
      <alignment horizontal="left" vertical="center" wrapText="1"/>
    </xf>
    <xf numFmtId="0" fontId="13" fillId="0" borderId="51" xfId="8722" applyBorder="1" applyAlignment="1">
      <alignment horizontal="left" vertical="center" wrapText="1"/>
    </xf>
    <xf numFmtId="0" fontId="13" fillId="0" borderId="52" xfId="8722" applyBorder="1" applyAlignment="1">
      <alignment horizontal="left" vertical="center" wrapText="1"/>
    </xf>
    <xf numFmtId="0" fontId="13" fillId="0" borderId="53" xfId="8722" applyBorder="1" applyAlignment="1">
      <alignment horizontal="left" vertical="center" wrapText="1"/>
    </xf>
    <xf numFmtId="0" fontId="13" fillId="0" borderId="0" xfId="8722" applyAlignment="1">
      <alignment horizontal="left" vertical="center" wrapText="1"/>
    </xf>
    <xf numFmtId="0" fontId="13" fillId="0" borderId="54" xfId="8722" applyBorder="1" applyAlignment="1">
      <alignment horizontal="left" vertical="center" wrapText="1"/>
    </xf>
    <xf numFmtId="0" fontId="13" fillId="0" borderId="59" xfId="8722" applyBorder="1" applyAlignment="1">
      <alignment horizontal="left" vertical="top" wrapText="1"/>
    </xf>
    <xf numFmtId="0" fontId="13" fillId="0" borderId="57" xfId="8722" applyBorder="1" applyAlignment="1">
      <alignment horizontal="left" vertical="center" wrapText="1"/>
    </xf>
    <xf numFmtId="0" fontId="13" fillId="0" borderId="58" xfId="8722" applyBorder="1" applyAlignment="1">
      <alignment horizontal="left" vertical="center" wrapText="1"/>
    </xf>
    <xf numFmtId="0" fontId="13" fillId="0" borderId="59" xfId="8722" applyBorder="1" applyAlignment="1">
      <alignment horizontal="left" vertical="center" wrapText="1"/>
    </xf>
    <xf numFmtId="0" fontId="13" fillId="0" borderId="4" xfId="8723" applyFont="1" applyBorder="1" applyAlignment="1">
      <alignment horizontal="center"/>
    </xf>
    <xf numFmtId="0" fontId="13" fillId="0" borderId="5" xfId="8723" applyFont="1" applyBorder="1" applyAlignment="1">
      <alignment horizontal="center"/>
    </xf>
    <xf numFmtId="0" fontId="13" fillId="0" borderId="50" xfId="8722" applyBorder="1" applyAlignment="1">
      <alignment horizontal="left" vertical="top" wrapText="1"/>
    </xf>
    <xf numFmtId="0" fontId="13" fillId="0" borderId="51" xfId="8722" applyBorder="1" applyAlignment="1">
      <alignment horizontal="left" vertical="top" wrapText="1"/>
    </xf>
    <xf numFmtId="0" fontId="13" fillId="0" borderId="52" xfId="8722" applyBorder="1" applyAlignment="1">
      <alignment horizontal="left" vertical="top" wrapText="1"/>
    </xf>
    <xf numFmtId="0" fontId="20" fillId="0" borderId="0" xfId="8722" applyFont="1"/>
    <xf numFmtId="164" fontId="13" fillId="0" borderId="50" xfId="8722" applyNumberFormat="1" applyBorder="1" applyAlignment="1">
      <alignment horizontal="left" vertical="top" wrapText="1"/>
    </xf>
    <xf numFmtId="164" fontId="13" fillId="0" borderId="51" xfId="8722" applyNumberFormat="1" applyBorder="1" applyAlignment="1">
      <alignment horizontal="left" vertical="top" wrapText="1"/>
    </xf>
    <xf numFmtId="164" fontId="13" fillId="0" borderId="52" xfId="8722" applyNumberFormat="1" applyBorder="1" applyAlignment="1">
      <alignment horizontal="left" vertical="top" wrapText="1"/>
    </xf>
    <xf numFmtId="164" fontId="13" fillId="0" borderId="53" xfId="8722" applyNumberFormat="1" applyBorder="1" applyAlignment="1">
      <alignment horizontal="left" vertical="top" wrapText="1"/>
    </xf>
    <xf numFmtId="164" fontId="13" fillId="0" borderId="0" xfId="8722" applyNumberFormat="1" applyAlignment="1">
      <alignment horizontal="left" vertical="top" wrapText="1"/>
    </xf>
    <xf numFmtId="164" fontId="13" fillId="0" borderId="54" xfId="8722" applyNumberFormat="1" applyBorder="1" applyAlignment="1">
      <alignment horizontal="left" vertical="top" wrapText="1"/>
    </xf>
    <xf numFmtId="164" fontId="13" fillId="0" borderId="57" xfId="8722" applyNumberFormat="1" applyBorder="1" applyAlignment="1">
      <alignment horizontal="left" vertical="top" wrapText="1"/>
    </xf>
    <xf numFmtId="164" fontId="13" fillId="0" borderId="58" xfId="8722" applyNumberFormat="1" applyBorder="1" applyAlignment="1">
      <alignment horizontal="left" vertical="top" wrapText="1"/>
    </xf>
    <xf numFmtId="164" fontId="13" fillId="0" borderId="59" xfId="8722" applyNumberFormat="1" applyBorder="1" applyAlignment="1">
      <alignment horizontal="left" vertical="top" wrapText="1"/>
    </xf>
    <xf numFmtId="0" fontId="20" fillId="0" borderId="0" xfId="8722" applyFont="1" applyAlignment="1">
      <alignment horizontal="left" vertical="top"/>
    </xf>
    <xf numFmtId="0" fontId="13" fillId="0" borderId="0" xfId="8722" applyAlignment="1" applyProtection="1">
      <alignment horizontal="center"/>
      <protection locked="0"/>
    </xf>
    <xf numFmtId="2" fontId="13" fillId="0" borderId="0" xfId="1192" applyNumberFormat="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5" fontId="13" fillId="43" borderId="3" xfId="8722" applyNumberFormat="1" applyFill="1" applyBorder="1" applyAlignment="1" applyProtection="1">
      <alignment horizontal="center"/>
      <protection locked="0"/>
    </xf>
    <xf numFmtId="165" fontId="13" fillId="43" borderId="4" xfId="8722" applyNumberFormat="1" applyFill="1" applyBorder="1" applyAlignment="1" applyProtection="1">
      <alignment horizontal="center"/>
      <protection locked="0"/>
    </xf>
    <xf numFmtId="165" fontId="13" fillId="43" borderId="5" xfId="8722" applyNumberFormat="1" applyFill="1" applyBorder="1" applyAlignment="1" applyProtection="1">
      <alignment horizontal="center"/>
      <protection locked="0"/>
    </xf>
    <xf numFmtId="9" fontId="13" fillId="0" borderId="4" xfId="543" applyNumberFormat="1" applyBorder="1" applyAlignment="1">
      <alignment horizontal="center"/>
    </xf>
    <xf numFmtId="168" fontId="13" fillId="0" borderId="0" xfId="1192" applyNumberFormat="1" applyAlignment="1">
      <alignment horizontal="right"/>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0" borderId="0" xfId="1192" applyAlignment="1">
      <alignment horizontal="right"/>
    </xf>
    <xf numFmtId="165" fontId="13" fillId="0" borderId="0" xfId="1192" applyNumberFormat="1" applyAlignment="1">
      <alignment horizontal="right"/>
    </xf>
    <xf numFmtId="168" fontId="13" fillId="43" borderId="6" xfId="1192" applyNumberFormat="1" applyFill="1" applyBorder="1" applyAlignment="1" applyProtection="1">
      <alignment horizontal="right"/>
      <protection locked="0"/>
    </xf>
    <xf numFmtId="3" fontId="13" fillId="43" borderId="6" xfId="1192" applyNumberFormat="1" applyFill="1" applyBorder="1" applyAlignment="1" applyProtection="1">
      <alignment horizontal="right"/>
      <protection locked="0"/>
    </xf>
    <xf numFmtId="168" fontId="13" fillId="0" borderId="4" xfId="1192" applyNumberFormat="1" applyBorder="1" applyAlignment="1">
      <alignment horizontal="right"/>
    </xf>
    <xf numFmtId="168" fontId="13" fillId="0" borderId="6" xfId="1192" applyNumberFormat="1" applyBorder="1" applyAlignment="1">
      <alignment horizontal="right"/>
    </xf>
    <xf numFmtId="9" fontId="13" fillId="5" borderId="4" xfId="1192" applyNumberFormat="1" applyFill="1" applyBorder="1" applyAlignment="1" applyProtection="1">
      <alignment horizontal="left"/>
      <protection locked="0"/>
    </xf>
    <xf numFmtId="1" fontId="13" fillId="5" borderId="2" xfId="1192"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168" fontId="13" fillId="43" borderId="6" xfId="543" applyNumberFormat="1" applyFill="1" applyBorder="1" applyAlignment="1" applyProtection="1">
      <alignment horizontal="center"/>
      <protection locked="0"/>
    </xf>
    <xf numFmtId="1" fontId="13" fillId="5" borderId="4" xfId="1192" applyNumberFormat="1" applyFill="1" applyBorder="1" applyAlignment="1" applyProtection="1">
      <alignment horizontal="center"/>
      <protection locked="0"/>
    </xf>
    <xf numFmtId="168" fontId="13" fillId="0" borderId="4" xfId="8722" applyNumberFormat="1" applyBorder="1" applyAlignment="1">
      <alignment horizontal="right"/>
    </xf>
    <xf numFmtId="9" fontId="13" fillId="0" borderId="0" xfId="1192" quotePrefix="1" applyNumberFormat="1" applyAlignment="1">
      <alignment horizontal="center"/>
    </xf>
    <xf numFmtId="0" fontId="139" fillId="0" borderId="0" xfId="1192" applyFont="1" applyAlignment="1">
      <alignment horizontal="center"/>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0" fontId="139" fillId="0" borderId="6" xfId="1192" applyFont="1" applyBorder="1" applyAlignment="1">
      <alignment horizontal="center"/>
    </xf>
    <xf numFmtId="0" fontId="13" fillId="0" borderId="6" xfId="1192" applyBorder="1" applyAlignment="1">
      <alignment horizontal="right"/>
    </xf>
    <xf numFmtId="0" fontId="13" fillId="5" borderId="6" xfId="1192" applyFill="1" applyBorder="1" applyAlignment="1" applyProtection="1">
      <alignment horizontal="left"/>
      <protection locked="0"/>
    </xf>
    <xf numFmtId="168" fontId="13" fillId="43" borderId="6" xfId="8722" applyNumberFormat="1" applyFill="1" applyBorder="1" applyAlignment="1" applyProtection="1">
      <alignment horizontal="right"/>
      <protection locked="0"/>
    </xf>
    <xf numFmtId="0" fontId="13" fillId="0" borderId="6" xfId="1192" applyBorder="1" applyAlignment="1">
      <alignment horizontal="left"/>
    </xf>
    <xf numFmtId="168" fontId="13" fillId="0" borderId="6" xfId="8722" applyNumberFormat="1" applyBorder="1" applyAlignment="1">
      <alignment horizontal="right"/>
    </xf>
    <xf numFmtId="0" fontId="115" fillId="0" borderId="4" xfId="1192" applyFont="1" applyBorder="1" applyAlignment="1">
      <alignment horizontal="left"/>
    </xf>
    <xf numFmtId="168" fontId="115" fillId="0" borderId="6" xfId="8722" applyNumberFormat="1" applyFont="1" applyBorder="1" applyAlignment="1">
      <alignment horizontal="right"/>
    </xf>
    <xf numFmtId="0" fontId="13" fillId="5" borderId="6" xfId="1192" applyFont="1" applyFill="1" applyBorder="1" applyAlignment="1" applyProtection="1">
      <alignment horizontal="left"/>
      <protection locked="0"/>
    </xf>
    <xf numFmtId="0" fontId="21" fillId="5" borderId="6" xfId="8722" applyFont="1" applyFill="1" applyBorder="1" applyAlignment="1" applyProtection="1">
      <alignment horizontal="left"/>
      <protection locked="0"/>
    </xf>
    <xf numFmtId="0" fontId="13" fillId="0" borderId="0" xfId="8722" applyAlignment="1">
      <alignment horizontal="left"/>
    </xf>
    <xf numFmtId="0" fontId="13" fillId="5" borderId="6" xfId="8722" applyFill="1" applyBorder="1" applyAlignment="1" applyProtection="1">
      <alignment horizontal="left"/>
      <protection locked="0"/>
    </xf>
    <xf numFmtId="0" fontId="50" fillId="5" borderId="6" xfId="8722" applyFont="1" applyFill="1" applyBorder="1" applyAlignment="1" applyProtection="1">
      <alignment horizontal="left"/>
      <protection locked="0"/>
    </xf>
    <xf numFmtId="1" fontId="13" fillId="0" borderId="3" xfId="8722" applyNumberFormat="1" applyBorder="1" applyAlignment="1">
      <alignment horizontal="center"/>
    </xf>
    <xf numFmtId="1" fontId="13" fillId="0" borderId="4" xfId="8722" applyNumberFormat="1" applyBorder="1" applyAlignment="1">
      <alignment horizontal="center"/>
    </xf>
    <xf numFmtId="1" fontId="13" fillId="0" borderId="5" xfId="8722" applyNumberFormat="1" applyBorder="1" applyAlignment="1">
      <alignment horizontal="center"/>
    </xf>
    <xf numFmtId="165" fontId="119" fillId="0" borderId="3" xfId="8723" applyNumberFormat="1" applyFont="1" applyBorder="1" applyAlignment="1">
      <alignment horizontal="center" vertical="top" wrapText="1"/>
    </xf>
    <xf numFmtId="165" fontId="119" fillId="0" borderId="4" xfId="8723" applyNumberFormat="1" applyFont="1" applyBorder="1" applyAlignment="1">
      <alignment horizontal="center" vertical="top" wrapText="1"/>
    </xf>
    <xf numFmtId="165" fontId="119" fillId="0" borderId="5" xfId="8723" applyNumberFormat="1" applyFont="1" applyBorder="1" applyAlignment="1">
      <alignment horizontal="center" vertical="top" wrapText="1"/>
    </xf>
    <xf numFmtId="10" fontId="119" fillId="0" borderId="3" xfId="8723" applyNumberFormat="1" applyFont="1" applyBorder="1" applyAlignment="1">
      <alignment horizontal="center" vertical="top" wrapText="1"/>
    </xf>
    <xf numFmtId="10" fontId="119" fillId="0" borderId="4" xfId="8723" applyNumberFormat="1" applyFont="1" applyBorder="1" applyAlignment="1">
      <alignment horizontal="center" vertical="top" wrapText="1"/>
    </xf>
    <xf numFmtId="10" fontId="119" fillId="0" borderId="5" xfId="8723" applyNumberFormat="1" applyFont="1" applyBorder="1" applyAlignment="1">
      <alignment horizontal="center" vertical="top" wrapText="1"/>
    </xf>
    <xf numFmtId="168" fontId="119" fillId="0" borderId="55" xfId="8723" applyNumberFormat="1" applyFont="1" applyBorder="1" applyAlignment="1">
      <alignment horizontal="center" vertical="top"/>
    </xf>
    <xf numFmtId="168" fontId="119" fillId="0" borderId="6" xfId="8723" applyNumberFormat="1" applyFont="1" applyBorder="1" applyAlignment="1">
      <alignment horizontal="center" vertical="top"/>
    </xf>
    <xf numFmtId="168" fontId="119" fillId="43" borderId="55" xfId="8723" applyNumberFormat="1" applyFont="1" applyFill="1" applyBorder="1" applyAlignment="1" applyProtection="1">
      <alignment horizontal="center" vertical="top" wrapText="1"/>
      <protection locked="0"/>
    </xf>
    <xf numFmtId="168" fontId="119" fillId="43" borderId="6" xfId="8723" applyNumberFormat="1" applyFont="1" applyFill="1" applyBorder="1" applyAlignment="1" applyProtection="1">
      <alignment horizontal="center" vertical="top" wrapText="1"/>
      <protection locked="0"/>
    </xf>
    <xf numFmtId="165" fontId="119" fillId="0" borderId="55" xfId="8723" applyNumberFormat="1" applyFont="1" applyBorder="1" applyAlignment="1">
      <alignment horizontal="center" vertical="top" wrapText="1"/>
    </xf>
    <xf numFmtId="165" fontId="119" fillId="0" borderId="6" xfId="8723" applyNumberFormat="1" applyFont="1" applyBorder="1" applyAlignment="1">
      <alignment horizontal="center" vertical="top" wrapText="1"/>
    </xf>
    <xf numFmtId="1" fontId="119" fillId="0" borderId="55" xfId="8723" applyNumberFormat="1" applyFont="1" applyBorder="1" applyAlignment="1">
      <alignment horizontal="center" vertical="top" wrapText="1"/>
    </xf>
    <xf numFmtId="1" fontId="119" fillId="0" borderId="6" xfId="8723" applyNumberFormat="1" applyFont="1" applyBorder="1" applyAlignment="1">
      <alignment horizontal="center" vertical="top" wrapText="1"/>
    </xf>
    <xf numFmtId="0" fontId="119" fillId="5" borderId="6" xfId="8723" applyFont="1" applyFill="1" applyBorder="1" applyAlignment="1" applyProtection="1">
      <alignment horizontal="center"/>
      <protection locked="0"/>
    </xf>
    <xf numFmtId="0" fontId="119" fillId="0" borderId="50" xfId="8723" applyFont="1" applyBorder="1" applyAlignment="1">
      <alignment horizontal="left" vertical="top" wrapText="1"/>
    </xf>
    <xf numFmtId="0" fontId="119" fillId="0" borderId="51" xfId="8723" applyFont="1" applyBorder="1" applyAlignment="1">
      <alignment horizontal="left" vertical="top" wrapText="1"/>
    </xf>
    <xf numFmtId="0" fontId="119" fillId="0" borderId="52" xfId="8723" applyFont="1" applyBorder="1" applyAlignment="1">
      <alignment horizontal="left" vertical="top" wrapText="1"/>
    </xf>
    <xf numFmtId="0" fontId="119" fillId="0" borderId="53" xfId="8723" applyFont="1" applyBorder="1" applyAlignment="1">
      <alignment horizontal="left" vertical="top" wrapText="1"/>
    </xf>
    <xf numFmtId="0" fontId="119" fillId="0" borderId="0" xfId="8723" applyFont="1" applyAlignment="1">
      <alignment horizontal="left" vertical="top" wrapText="1"/>
    </xf>
    <xf numFmtId="0" fontId="119" fillId="0" borderId="54" xfId="8723" applyFont="1" applyBorder="1" applyAlignment="1">
      <alignment horizontal="left" vertical="top" wrapText="1"/>
    </xf>
    <xf numFmtId="165" fontId="119" fillId="0" borderId="60" xfId="8723" applyNumberFormat="1" applyFont="1" applyBorder="1" applyAlignment="1">
      <alignment horizontal="center" vertical="top" wrapText="1"/>
    </xf>
    <xf numFmtId="0" fontId="119" fillId="0" borderId="55" xfId="8723" applyFont="1" applyBorder="1" applyAlignment="1">
      <alignment horizontal="center" vertical="top" wrapText="1"/>
    </xf>
    <xf numFmtId="0" fontId="119" fillId="0" borderId="6" xfId="8723" applyFont="1" applyBorder="1" applyAlignment="1">
      <alignment horizontal="center" vertical="top" wrapText="1"/>
    </xf>
    <xf numFmtId="0" fontId="119" fillId="5" borderId="55" xfId="8723" applyFont="1" applyFill="1" applyBorder="1" applyAlignment="1" applyProtection="1">
      <alignment horizontal="center"/>
      <protection locked="0"/>
    </xf>
    <xf numFmtId="0" fontId="119" fillId="0" borderId="57" xfId="8723" applyFont="1" applyBorder="1" applyAlignment="1">
      <alignment horizontal="left" vertical="top" wrapText="1"/>
    </xf>
    <xf numFmtId="0" fontId="119" fillId="0" borderId="58" xfId="8723" applyFont="1" applyBorder="1" applyAlignment="1">
      <alignment horizontal="left" vertical="top" wrapText="1"/>
    </xf>
    <xf numFmtId="0" fontId="119" fillId="0" borderId="59" xfId="8723" applyFont="1" applyBorder="1" applyAlignment="1">
      <alignment horizontal="left" vertical="top" wrapText="1"/>
    </xf>
    <xf numFmtId="0" fontId="119" fillId="5" borderId="60" xfId="8723" applyFont="1" applyFill="1" applyBorder="1" applyAlignment="1" applyProtection="1">
      <alignment horizontal="center"/>
      <protection locked="0"/>
    </xf>
    <xf numFmtId="0" fontId="119" fillId="5" borderId="4" xfId="8723" applyFont="1" applyFill="1" applyBorder="1" applyAlignment="1" applyProtection="1">
      <alignment horizontal="center"/>
      <protection locked="0"/>
    </xf>
    <xf numFmtId="0" fontId="119" fillId="0" borderId="47" xfId="8723" applyFont="1" applyBorder="1"/>
    <xf numFmtId="0" fontId="119" fillId="0" borderId="48" xfId="8723" applyFont="1" applyBorder="1"/>
    <xf numFmtId="0" fontId="119" fillId="0" borderId="49" xfId="8723" applyFont="1" applyBorder="1"/>
    <xf numFmtId="0" fontId="119" fillId="43" borderId="55" xfId="8723" applyFont="1" applyFill="1" applyBorder="1" applyAlignment="1" applyProtection="1">
      <alignment horizontal="left" vertical="top" wrapText="1"/>
      <protection locked="0"/>
    </xf>
    <xf numFmtId="0" fontId="119" fillId="43" borderId="6" xfId="8723" applyFont="1" applyFill="1" applyBorder="1" applyAlignment="1" applyProtection="1">
      <alignment horizontal="left" vertical="top" wrapText="1"/>
      <protection locked="0"/>
    </xf>
    <xf numFmtId="0" fontId="119" fillId="43" borderId="56" xfId="8723" applyFont="1" applyFill="1" applyBorder="1" applyAlignment="1" applyProtection="1">
      <alignment horizontal="left" vertical="top" wrapText="1"/>
      <protection locked="0"/>
    </xf>
    <xf numFmtId="0" fontId="13" fillId="0" borderId="50" xfId="8722" applyBorder="1" applyAlignment="1">
      <alignment vertical="center" wrapText="1"/>
    </xf>
    <xf numFmtId="0" fontId="13" fillId="0" borderId="51" xfId="8722" applyBorder="1" applyAlignment="1">
      <alignment vertical="center" wrapText="1"/>
    </xf>
    <xf numFmtId="0" fontId="13" fillId="0" borderId="52" xfId="8722" applyBorder="1" applyAlignment="1">
      <alignment vertical="center" wrapText="1"/>
    </xf>
    <xf numFmtId="0" fontId="13" fillId="0" borderId="57" xfId="8722" applyBorder="1" applyAlignment="1">
      <alignment vertical="center" wrapText="1"/>
    </xf>
    <xf numFmtId="0" fontId="13" fillId="0" borderId="58" xfId="8722" applyBorder="1" applyAlignment="1">
      <alignment vertical="center" wrapText="1"/>
    </xf>
    <xf numFmtId="0" fontId="13" fillId="0" borderId="59" xfId="8722" applyBorder="1" applyAlignment="1">
      <alignment vertical="center" wrapText="1"/>
    </xf>
    <xf numFmtId="0" fontId="19" fillId="3" borderId="2" xfId="8722" applyFont="1" applyFill="1" applyBorder="1" applyAlignment="1">
      <alignment horizontal="center" vertical="center"/>
    </xf>
    <xf numFmtId="0" fontId="19" fillId="3" borderId="16" xfId="8722" applyFont="1" applyFill="1" applyBorder="1" applyAlignment="1">
      <alignment horizontal="center" vertical="center"/>
    </xf>
    <xf numFmtId="0" fontId="20" fillId="0" borderId="48" xfId="8722" applyFont="1" applyBorder="1" applyAlignment="1">
      <alignment horizontal="left" vertical="top"/>
    </xf>
    <xf numFmtId="0" fontId="20" fillId="0" borderId="49" xfId="8722" applyFont="1" applyBorder="1" applyAlignment="1">
      <alignment horizontal="left" vertical="top"/>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142" fillId="47" borderId="66" xfId="8719" applyFont="1" applyFill="1" applyBorder="1" applyAlignment="1">
      <alignment horizontal="center"/>
    </xf>
    <xf numFmtId="0" fontId="142" fillId="47" borderId="29" xfId="8719" applyFont="1" applyFill="1" applyBorder="1" applyAlignment="1">
      <alignment horizontal="center"/>
    </xf>
    <xf numFmtId="0" fontId="142" fillId="47" borderId="31" xfId="8719" applyFont="1" applyFill="1" applyBorder="1" applyAlignment="1">
      <alignment horizontal="center"/>
    </xf>
    <xf numFmtId="0" fontId="143" fillId="48" borderId="67" xfId="8719" applyFont="1" applyFill="1" applyBorder="1" applyAlignment="1">
      <alignment horizontal="center"/>
    </xf>
    <xf numFmtId="0" fontId="143" fillId="48" borderId="0" xfId="8719" applyFont="1" applyFill="1" applyAlignment="1">
      <alignment horizontal="center"/>
    </xf>
    <xf numFmtId="0" fontId="143" fillId="48" borderId="41" xfId="8719" applyFont="1" applyFill="1" applyBorder="1" applyAlignment="1">
      <alignment horizontal="center"/>
    </xf>
    <xf numFmtId="0" fontId="148" fillId="44" borderId="68" xfId="8719" applyFont="1" applyFill="1" applyBorder="1" applyAlignment="1">
      <alignment horizontal="center"/>
    </xf>
    <xf numFmtId="0" fontId="148" fillId="44" borderId="69" xfId="8719" applyFont="1" applyFill="1" applyBorder="1" applyAlignment="1">
      <alignment horizontal="center"/>
    </xf>
    <xf numFmtId="0" fontId="148" fillId="44" borderId="70" xfId="8719" applyFont="1" applyFill="1" applyBorder="1" applyAlignment="1">
      <alignment horizontal="center"/>
    </xf>
    <xf numFmtId="0" fontId="144" fillId="45" borderId="71" xfId="8719" applyFont="1" applyFill="1" applyBorder="1" applyAlignment="1">
      <alignment horizontal="center"/>
    </xf>
    <xf numFmtId="0" fontId="144" fillId="45" borderId="72" xfId="8719" applyFont="1" applyFill="1" applyBorder="1" applyAlignment="1">
      <alignment horizontal="center"/>
    </xf>
    <xf numFmtId="14" fontId="148" fillId="43" borderId="73" xfId="8719" applyNumberFormat="1" applyFont="1" applyFill="1" applyBorder="1" applyAlignment="1" applyProtection="1">
      <alignment horizontal="center"/>
      <protection locked="0"/>
    </xf>
    <xf numFmtId="0" fontId="148" fillId="43" borderId="69" xfId="8719" applyFont="1" applyFill="1" applyBorder="1" applyAlignment="1" applyProtection="1">
      <alignment horizontal="center"/>
      <protection locked="0"/>
    </xf>
    <xf numFmtId="0" fontId="148" fillId="43" borderId="70" xfId="8719" applyFont="1" applyFill="1" applyBorder="1" applyAlignment="1" applyProtection="1">
      <alignment horizontal="center"/>
      <protection locked="0"/>
    </xf>
    <xf numFmtId="0" fontId="144" fillId="45" borderId="74" xfId="8719" applyFont="1" applyFill="1" applyBorder="1" applyAlignment="1">
      <alignment horizontal="center"/>
    </xf>
    <xf numFmtId="0" fontId="144" fillId="45" borderId="75" xfId="8719" applyFont="1" applyFill="1" applyBorder="1" applyAlignment="1">
      <alignment horizontal="center"/>
    </xf>
    <xf numFmtId="0" fontId="99" fillId="45" borderId="68" xfId="8719" applyFont="1" applyFill="1" applyBorder="1" applyAlignment="1">
      <alignment horizontal="center"/>
    </xf>
    <xf numFmtId="0" fontId="99" fillId="45" borderId="69" xfId="8719" applyFont="1" applyFill="1" applyBorder="1" applyAlignment="1">
      <alignment horizontal="center"/>
    </xf>
    <xf numFmtId="0" fontId="99" fillId="45" borderId="70" xfId="8719" applyFont="1" applyFill="1" applyBorder="1" applyAlignment="1">
      <alignment horizontal="center"/>
    </xf>
    <xf numFmtId="14" fontId="148" fillId="43" borderId="68" xfId="8719" applyNumberFormat="1" applyFont="1" applyFill="1" applyBorder="1" applyAlignment="1" applyProtection="1">
      <alignment horizontal="center" vertical="center"/>
      <protection locked="0"/>
    </xf>
    <xf numFmtId="0" fontId="148" fillId="43" borderId="69" xfId="8719" applyFont="1" applyFill="1" applyBorder="1" applyAlignment="1" applyProtection="1">
      <alignment horizontal="center" vertical="center"/>
      <protection locked="0"/>
    </xf>
    <xf numFmtId="0" fontId="148" fillId="43" borderId="70" xfId="8719" applyFont="1" applyFill="1" applyBorder="1" applyAlignment="1" applyProtection="1">
      <alignment horizontal="center" vertical="center"/>
      <protection locked="0"/>
    </xf>
    <xf numFmtId="1" fontId="3" fillId="44" borderId="68" xfId="8719" applyNumberFormat="1" applyFill="1" applyBorder="1" applyAlignment="1">
      <alignment horizontal="center"/>
    </xf>
    <xf numFmtId="0" fontId="3" fillId="44" borderId="69" xfId="8719" applyFill="1" applyBorder="1" applyAlignment="1">
      <alignment horizontal="center"/>
    </xf>
    <xf numFmtId="0" fontId="3" fillId="44" borderId="70" xfId="8719" applyFill="1" applyBorder="1" applyAlignment="1">
      <alignment horizontal="center"/>
    </xf>
    <xf numFmtId="0" fontId="148" fillId="43" borderId="68" xfId="8719" applyFont="1" applyFill="1" applyBorder="1" applyAlignment="1" applyProtection="1">
      <alignment horizontal="center"/>
      <protection locked="0"/>
    </xf>
    <xf numFmtId="0" fontId="99" fillId="45" borderId="0" xfId="8719" applyFont="1" applyFill="1" applyAlignment="1">
      <alignment horizontal="center"/>
    </xf>
    <xf numFmtId="0" fontId="99" fillId="45" borderId="41" xfId="8719" applyFont="1" applyFill="1" applyBorder="1" applyAlignment="1">
      <alignment horizontal="center"/>
    </xf>
    <xf numFmtId="0" fontId="3" fillId="44" borderId="72" xfId="8719" applyFill="1" applyBorder="1" applyAlignment="1">
      <alignment horizontal="center"/>
    </xf>
    <xf numFmtId="0" fontId="3" fillId="44" borderId="76" xfId="8719" applyFill="1" applyBorder="1" applyAlignment="1">
      <alignment horizontal="center"/>
    </xf>
    <xf numFmtId="0" fontId="148" fillId="44" borderId="68" xfId="8719" applyFont="1" applyFill="1" applyBorder="1" applyAlignment="1">
      <alignment horizontal="left"/>
    </xf>
    <xf numFmtId="0" fontId="148" fillId="44" borderId="69" xfId="8719" applyFont="1" applyFill="1" applyBorder="1" applyAlignment="1">
      <alignment horizontal="left"/>
    </xf>
    <xf numFmtId="0" fontId="148" fillId="44" borderId="70" xfId="8719" applyFont="1" applyFill="1" applyBorder="1" applyAlignment="1">
      <alignment horizontal="left"/>
    </xf>
    <xf numFmtId="0" fontId="3"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5" fillId="45" borderId="68" xfId="8719" applyFont="1" applyFill="1" applyBorder="1" applyAlignment="1">
      <alignment horizontal="center" wrapText="1"/>
    </xf>
    <xf numFmtId="0" fontId="145" fillId="45" borderId="69" xfId="8719" applyFont="1" applyFill="1" applyBorder="1" applyAlignment="1">
      <alignment horizontal="center" wrapText="1"/>
    </xf>
    <xf numFmtId="0" fontId="145" fillId="45" borderId="70" xfId="8719" applyFont="1" applyFill="1" applyBorder="1" applyAlignment="1">
      <alignment horizontal="center" wrapText="1"/>
    </xf>
    <xf numFmtId="0" fontId="143" fillId="45" borderId="77" xfId="8719" applyFont="1"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149" fillId="45" borderId="80" xfId="8719" applyFont="1" applyFill="1" applyBorder="1" applyAlignment="1">
      <alignment horizontal="center"/>
    </xf>
    <xf numFmtId="0" fontId="149" fillId="45" borderId="2" xfId="8719" applyFont="1" applyFill="1" applyBorder="1" applyAlignment="1">
      <alignment horizontal="center"/>
    </xf>
    <xf numFmtId="0" fontId="149" fillId="45" borderId="7" xfId="8719" applyFont="1" applyFill="1" applyBorder="1" applyAlignment="1">
      <alignment horizontal="center"/>
    </xf>
    <xf numFmtId="0" fontId="149" fillId="45" borderId="3" xfId="8719" applyFont="1" applyFill="1" applyBorder="1" applyAlignment="1">
      <alignment horizontal="center"/>
    </xf>
    <xf numFmtId="0" fontId="149" fillId="45" borderId="4" xfId="8719" applyFont="1" applyFill="1" applyBorder="1" applyAlignment="1">
      <alignment horizontal="center"/>
    </xf>
    <xf numFmtId="0" fontId="149" fillId="45" borderId="5" xfId="8719" applyFont="1" applyFill="1" applyBorder="1" applyAlignment="1">
      <alignment horizontal="center"/>
    </xf>
    <xf numFmtId="0" fontId="149" fillId="45" borderId="81" xfId="8719" applyFont="1" applyFill="1" applyBorder="1" applyAlignment="1">
      <alignment horizontal="center"/>
    </xf>
    <xf numFmtId="0" fontId="149" fillId="44" borderId="3" xfId="8719" applyFont="1" applyFill="1" applyBorder="1" applyAlignment="1">
      <alignment horizontal="center"/>
    </xf>
    <xf numFmtId="0" fontId="149" fillId="44" borderId="4" xfId="8719" applyFont="1" applyFill="1" applyBorder="1" applyAlignment="1">
      <alignment horizontal="center"/>
    </xf>
    <xf numFmtId="0" fontId="149" fillId="44" borderId="5" xfId="8719" applyFont="1" applyFill="1" applyBorder="1" applyAlignment="1">
      <alignment horizontal="center"/>
    </xf>
    <xf numFmtId="9" fontId="149" fillId="44" borderId="3" xfId="8719" applyNumberFormat="1" applyFont="1" applyFill="1" applyBorder="1" applyAlignment="1">
      <alignment horizontal="center"/>
    </xf>
    <xf numFmtId="9" fontId="149" fillId="44" borderId="4" xfId="8719" applyNumberFormat="1" applyFont="1" applyFill="1" applyBorder="1" applyAlignment="1">
      <alignment horizontal="center"/>
    </xf>
    <xf numFmtId="9" fontId="149" fillId="44" borderId="81" xfId="8719" applyNumberFormat="1" applyFont="1" applyFill="1" applyBorder="1" applyAlignment="1">
      <alignment horizontal="center"/>
    </xf>
    <xf numFmtId="9" fontId="149" fillId="43" borderId="82" xfId="8719" applyNumberFormat="1" applyFont="1" applyFill="1" applyBorder="1" applyAlignment="1">
      <alignment horizontal="center"/>
    </xf>
    <xf numFmtId="0" fontId="149" fillId="43" borderId="11" xfId="8719" applyFont="1" applyFill="1" applyBorder="1" applyAlignment="1">
      <alignment horizontal="center"/>
    </xf>
    <xf numFmtId="0" fontId="149" fillId="44" borderId="83" xfId="8719" applyFont="1" applyFill="1" applyBorder="1" applyAlignment="1">
      <alignment horizontal="center"/>
    </xf>
    <xf numFmtId="0" fontId="149" fillId="44" borderId="84" xfId="8719" applyFont="1" applyFill="1" applyBorder="1" applyAlignment="1">
      <alignment horizontal="center"/>
    </xf>
    <xf numFmtId="0" fontId="149" fillId="44" borderId="85" xfId="8719" applyFont="1" applyFill="1" applyBorder="1" applyAlignment="1">
      <alignment horizontal="center"/>
    </xf>
    <xf numFmtId="9" fontId="3" fillId="43" borderId="68" xfId="8719" applyNumberFormat="1" applyFill="1" applyBorder="1" applyAlignment="1" applyProtection="1">
      <alignment horizontal="center"/>
      <protection locked="0"/>
    </xf>
    <xf numFmtId="9" fontId="3" fillId="43" borderId="69" xfId="8719" applyNumberFormat="1" applyFill="1" applyBorder="1" applyAlignment="1" applyProtection="1">
      <alignment horizontal="center"/>
      <protection locked="0"/>
    </xf>
    <xf numFmtId="9" fontId="3" fillId="43" borderId="70" xfId="8719" applyNumberFormat="1" applyFill="1" applyBorder="1" applyAlignment="1" applyProtection="1">
      <alignment horizontal="center"/>
      <protection locked="0"/>
    </xf>
    <xf numFmtId="0" fontId="149" fillId="44" borderId="90" xfId="8719" applyFont="1" applyFill="1" applyBorder="1" applyAlignment="1">
      <alignment horizontal="center"/>
    </xf>
    <xf numFmtId="0" fontId="149" fillId="44" borderId="42" xfId="8719" applyFont="1" applyFill="1" applyBorder="1" applyAlignment="1">
      <alignment horizontal="center"/>
    </xf>
    <xf numFmtId="0" fontId="149" fillId="44" borderId="89" xfId="8719" applyFont="1" applyFill="1" applyBorder="1" applyAlignment="1">
      <alignment horizontal="center"/>
    </xf>
    <xf numFmtId="9" fontId="149" fillId="44" borderId="90" xfId="1022" applyFont="1" applyFill="1" applyBorder="1" applyAlignment="1">
      <alignment horizontal="center"/>
    </xf>
    <xf numFmtId="9" fontId="149" fillId="44" borderId="42" xfId="1022" applyFont="1" applyFill="1" applyBorder="1" applyAlignment="1">
      <alignment horizontal="center"/>
    </xf>
    <xf numFmtId="9" fontId="149" fillId="44" borderId="44" xfId="1022" applyFont="1" applyFill="1" applyBorder="1" applyAlignment="1">
      <alignment horizontal="center"/>
    </xf>
    <xf numFmtId="0" fontId="62" fillId="45" borderId="68" xfId="8719" applyFont="1" applyFill="1" applyBorder="1" applyAlignment="1">
      <alignment horizontal="center"/>
    </xf>
    <xf numFmtId="0" fontId="62" fillId="45" borderId="69" xfId="8719" applyFont="1" applyFill="1" applyBorder="1" applyAlignment="1">
      <alignment horizontal="center"/>
    </xf>
    <xf numFmtId="0" fontId="62" fillId="45" borderId="70" xfId="8719" applyFont="1" applyFill="1" applyBorder="1" applyAlignment="1">
      <alignment horizontal="center"/>
    </xf>
    <xf numFmtId="0" fontId="150" fillId="45" borderId="67" xfId="8719" applyFont="1" applyFill="1" applyBorder="1" applyAlignment="1">
      <alignment horizontal="center" vertical="center" wrapText="1"/>
    </xf>
    <xf numFmtId="0" fontId="150" fillId="45" borderId="0" xfId="8719" applyFont="1" applyFill="1" applyAlignment="1">
      <alignment horizontal="center" vertical="center"/>
    </xf>
    <xf numFmtId="0" fontId="150" fillId="45" borderId="41" xfId="8719" applyFont="1" applyFill="1" applyBorder="1" applyAlignment="1">
      <alignment horizontal="center" vertical="center"/>
    </xf>
    <xf numFmtId="0" fontId="150" fillId="45" borderId="67" xfId="8719" applyFont="1" applyFill="1" applyBorder="1" applyAlignment="1">
      <alignment horizontal="center" vertical="center"/>
    </xf>
    <xf numFmtId="0" fontId="144" fillId="45" borderId="67" xfId="8719" applyFont="1" applyFill="1" applyBorder="1" applyAlignment="1">
      <alignment horizontal="center" vertical="center" wrapText="1"/>
    </xf>
    <xf numFmtId="0" fontId="144" fillId="45" borderId="0" xfId="8719" applyFont="1" applyFill="1" applyAlignment="1">
      <alignment horizontal="center" vertical="center"/>
    </xf>
    <xf numFmtId="0" fontId="144" fillId="45" borderId="41" xfId="8719" applyFont="1" applyFill="1" applyBorder="1" applyAlignment="1">
      <alignment horizontal="center" vertical="center"/>
    </xf>
    <xf numFmtId="0" fontId="144" fillId="45" borderId="67" xfId="8719" applyFont="1" applyFill="1" applyBorder="1" applyAlignment="1">
      <alignment horizontal="center" vertic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51" fillId="45" borderId="66" xfId="8719" applyFont="1" applyFill="1" applyBorder="1" applyAlignment="1">
      <alignment horizontal="center" vertical="center" wrapText="1"/>
    </xf>
    <xf numFmtId="0" fontId="144" fillId="45" borderId="29" xfId="8719" applyFont="1" applyFill="1" applyBorder="1" applyAlignment="1">
      <alignment horizontal="center" vertical="center" wrapText="1"/>
    </xf>
    <xf numFmtId="0" fontId="144" fillId="45" borderId="31" xfId="8719" applyFont="1" applyFill="1" applyBorder="1" applyAlignment="1">
      <alignment horizontal="center" vertical="center" wrapText="1"/>
    </xf>
    <xf numFmtId="0" fontId="144" fillId="45" borderId="88" xfId="8719" applyFont="1" applyFill="1" applyBorder="1" applyAlignment="1">
      <alignment horizontal="center" vertical="center" wrapText="1"/>
    </xf>
    <xf numFmtId="0" fontId="144" fillId="45" borderId="42" xfId="8719" applyFont="1" applyFill="1" applyBorder="1" applyAlignment="1">
      <alignment horizontal="center" vertical="center" wrapText="1"/>
    </xf>
    <xf numFmtId="0" fontId="144" fillId="45" borderId="44" xfId="8719" applyFont="1" applyFill="1" applyBorder="1" applyAlignment="1">
      <alignment horizontal="center" vertical="center" wrapText="1"/>
    </xf>
    <xf numFmtId="0" fontId="149" fillId="44" borderId="88" xfId="8719" applyFont="1" applyFill="1" applyBorder="1" applyAlignment="1">
      <alignment horizontal="center"/>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146" fillId="43" borderId="5"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0" fontId="146" fillId="43" borderId="93" xfId="8719" applyFont="1" applyFill="1" applyBorder="1" applyAlignment="1" applyProtection="1">
      <alignment horizontal="center"/>
      <protection locked="0"/>
    </xf>
    <xf numFmtId="0" fontId="146" fillId="43" borderId="82" xfId="8719"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1" fontId="3" fillId="43" borderId="11" xfId="8719" applyNumberFormat="1" applyFill="1" applyBorder="1" applyAlignment="1" applyProtection="1">
      <alignment horizontal="center"/>
      <protection locked="0"/>
    </xf>
    <xf numFmtId="0" fontId="51" fillId="43" borderId="71" xfId="8719" applyFont="1" applyFill="1" applyBorder="1" applyAlignment="1" applyProtection="1">
      <alignment horizontal="right"/>
      <protection locked="0"/>
    </xf>
    <xf numFmtId="0" fontId="51" fillId="43" borderId="72" xfId="8719" applyFont="1" applyFill="1" applyBorder="1" applyAlignment="1" applyProtection="1">
      <alignment horizontal="right"/>
      <protection locked="0"/>
    </xf>
    <xf numFmtId="0" fontId="51" fillId="43" borderId="76" xfId="8719" applyFont="1" applyFill="1" applyBorder="1" applyAlignment="1" applyProtection="1">
      <alignment horizontal="right"/>
      <protection locked="0"/>
    </xf>
    <xf numFmtId="0" fontId="151" fillId="43" borderId="91" xfId="8719" applyFont="1" applyFill="1" applyBorder="1" applyAlignment="1" applyProtection="1">
      <alignment horizontal="center"/>
      <protection locked="0"/>
    </xf>
    <xf numFmtId="0" fontId="151" fillId="43" borderId="72" xfId="8719" applyFont="1" applyFill="1" applyBorder="1" applyAlignment="1" applyProtection="1">
      <alignment horizontal="center"/>
      <protection locked="0"/>
    </xf>
    <xf numFmtId="0" fontId="151" fillId="43" borderId="76" xfId="8719" applyFont="1" applyFill="1" applyBorder="1" applyAlignment="1" applyProtection="1">
      <alignment horizontal="center"/>
      <protection locked="0"/>
    </xf>
    <xf numFmtId="0" fontId="146" fillId="43" borderId="71" xfId="8719" applyFont="1" applyFill="1" applyBorder="1" applyAlignment="1" applyProtection="1">
      <alignment horizontal="center"/>
      <protection locked="0"/>
    </xf>
    <xf numFmtId="0" fontId="146" fillId="43" borderId="72" xfId="8719" applyFont="1" applyFill="1" applyBorder="1" applyAlignment="1" applyProtection="1">
      <alignment horizontal="center"/>
      <protection locked="0"/>
    </xf>
    <xf numFmtId="0" fontId="146" fillId="43" borderId="92" xfId="8719" applyFont="1" applyFill="1" applyBorder="1" applyAlignment="1" applyProtection="1">
      <alignment horizontal="center"/>
      <protection locked="0"/>
    </xf>
    <xf numFmtId="1" fontId="146" fillId="43" borderId="13" xfId="8719" applyNumberFormat="1" applyFont="1" applyFill="1" applyBorder="1" applyAlignment="1" applyProtection="1">
      <alignment horizontal="center"/>
      <protection locked="0"/>
    </xf>
    <xf numFmtId="1" fontId="148" fillId="44" borderId="13" xfId="8719" applyNumberFormat="1" applyFont="1" applyFill="1" applyBorder="1" applyAlignment="1">
      <alignment horizontal="center"/>
    </xf>
    <xf numFmtId="9" fontId="148" fillId="44" borderId="13" xfId="8721" applyFont="1" applyFill="1" applyBorder="1" applyAlignment="1">
      <alignment horizontal="center"/>
    </xf>
    <xf numFmtId="1" fontId="3" fillId="43" borderId="13" xfId="8719" applyNumberFormat="1" applyFill="1" applyBorder="1" applyAlignment="1" applyProtection="1">
      <alignment horizontal="center"/>
      <protection locked="0"/>
    </xf>
    <xf numFmtId="0" fontId="3" fillId="43" borderId="5" xfId="8719" applyFill="1" applyBorder="1" applyAlignment="1" applyProtection="1">
      <alignment horizontal="center"/>
      <protection locked="0"/>
    </xf>
    <xf numFmtId="0" fontId="3" fillId="43" borderId="11" xfId="8719" applyFill="1" applyBorder="1" applyAlignment="1" applyProtection="1">
      <alignment horizontal="center"/>
      <protection locked="0"/>
    </xf>
    <xf numFmtId="0" fontId="3" fillId="43" borderId="93" xfId="8719" applyFill="1" applyBorder="1" applyAlignment="1" applyProtection="1">
      <alignment horizontal="center"/>
      <protection locked="0"/>
    </xf>
    <xf numFmtId="0" fontId="3" fillId="43" borderId="82" xfId="8719" applyFill="1" applyBorder="1" applyAlignment="1" applyProtection="1">
      <alignment horizontal="center"/>
      <protection locked="0"/>
    </xf>
    <xf numFmtId="0" fontId="3" fillId="43" borderId="3" xfId="8719" applyFill="1" applyBorder="1" applyAlignment="1" applyProtection="1">
      <alignment horizontal="center"/>
      <protection locked="0"/>
    </xf>
    <xf numFmtId="0" fontId="152" fillId="43" borderId="82" xfId="8719" applyFont="1" applyFill="1" applyBorder="1" applyAlignment="1" applyProtection="1">
      <alignment horizontal="right"/>
      <protection locked="0"/>
    </xf>
    <xf numFmtId="0" fontId="152" fillId="43" borderId="11" xfId="8719" applyFont="1" applyFill="1" applyBorder="1" applyAlignment="1" applyProtection="1">
      <alignment horizontal="right"/>
      <protection locked="0"/>
    </xf>
    <xf numFmtId="0" fontId="152" fillId="43" borderId="93" xfId="8719" applyFont="1" applyFill="1" applyBorder="1" applyAlignment="1" applyProtection="1">
      <alignment horizontal="right"/>
      <protection locked="0"/>
    </xf>
    <xf numFmtId="0" fontId="144" fillId="43" borderId="94" xfId="8719" applyFont="1" applyFill="1" applyBorder="1" applyAlignment="1" applyProtection="1">
      <alignment horizontal="right"/>
      <protection locked="0"/>
    </xf>
    <xf numFmtId="0" fontId="144" fillId="43" borderId="4" xfId="8719" applyFont="1" applyFill="1" applyBorder="1" applyAlignment="1" applyProtection="1">
      <alignment horizontal="right"/>
      <protection locked="0"/>
    </xf>
    <xf numFmtId="0" fontId="144" fillId="43" borderId="81" xfId="8719" applyFont="1" applyFill="1" applyBorder="1" applyAlignment="1" applyProtection="1">
      <alignment horizontal="right"/>
      <protection locked="0"/>
    </xf>
    <xf numFmtId="0" fontId="144" fillId="43" borderId="82" xfId="8719" applyFont="1" applyFill="1" applyBorder="1" applyAlignment="1" applyProtection="1">
      <alignment horizontal="right"/>
      <protection locked="0"/>
    </xf>
    <xf numFmtId="0" fontId="144" fillId="43" borderId="11" xfId="8719" applyFont="1" applyFill="1" applyBorder="1" applyAlignment="1" applyProtection="1">
      <alignment horizontal="right"/>
      <protection locked="0"/>
    </xf>
    <xf numFmtId="0" fontId="144" fillId="43" borderId="93" xfId="8719" applyFont="1" applyFill="1" applyBorder="1" applyAlignment="1" applyProtection="1">
      <alignment horizontal="right"/>
      <protection locked="0"/>
    </xf>
    <xf numFmtId="0" fontId="144" fillId="43" borderId="74" xfId="8719" applyFont="1" applyFill="1" applyBorder="1" applyAlignment="1" applyProtection="1">
      <alignment horizontal="right"/>
      <protection locked="0"/>
    </xf>
    <xf numFmtId="0" fontId="144" fillId="43" borderId="75" xfId="8719" applyFont="1" applyFill="1" applyBorder="1" applyAlignment="1" applyProtection="1">
      <alignment horizontal="right"/>
      <protection locked="0"/>
    </xf>
    <xf numFmtId="0" fontId="144" fillId="43" borderId="95" xfId="8719" applyFont="1" applyFill="1" applyBorder="1" applyAlignment="1" applyProtection="1">
      <alignment horizontal="right"/>
      <protection locked="0"/>
    </xf>
    <xf numFmtId="0" fontId="3" fillId="43" borderId="85" xfId="8719" applyFill="1" applyBorder="1" applyAlignment="1" applyProtection="1">
      <alignment horizontal="center"/>
      <protection locked="0"/>
    </xf>
    <xf numFmtId="0" fontId="3" fillId="43" borderId="75" xfId="8719" applyFill="1" applyBorder="1" applyAlignment="1" applyProtection="1">
      <alignment horizontal="center"/>
      <protection locked="0"/>
    </xf>
    <xf numFmtId="0" fontId="3" fillId="43" borderId="95" xfId="8719" applyFill="1" applyBorder="1" applyAlignment="1" applyProtection="1">
      <alignment horizontal="center"/>
      <protection locked="0"/>
    </xf>
    <xf numFmtId="0" fontId="3" fillId="43" borderId="74" xfId="8719" applyFill="1" applyBorder="1" applyAlignment="1" applyProtection="1">
      <alignment horizontal="center"/>
      <protection locked="0"/>
    </xf>
    <xf numFmtId="0" fontId="3" fillId="43" borderId="86" xfId="8719" applyFill="1" applyBorder="1" applyAlignment="1" applyProtection="1">
      <alignment horizontal="center"/>
      <protection locked="0"/>
    </xf>
    <xf numFmtId="0" fontId="143" fillId="45" borderId="68" xfId="8719" applyFont="1" applyFill="1" applyBorder="1" applyAlignment="1">
      <alignment horizontal="center"/>
    </xf>
    <xf numFmtId="0" fontId="143" fillId="45" borderId="69" xfId="8719" applyFont="1" applyFill="1" applyBorder="1" applyAlignment="1">
      <alignment horizontal="center"/>
    </xf>
    <xf numFmtId="0" fontId="143" fillId="45" borderId="70" xfId="8719" applyFont="1" applyFill="1" applyBorder="1" applyAlignment="1">
      <alignment horizontal="center"/>
    </xf>
    <xf numFmtId="0" fontId="144" fillId="45" borderId="66" xfId="8719" applyFont="1" applyFill="1" applyBorder="1" applyAlignment="1">
      <alignment horizontal="center"/>
    </xf>
    <xf numFmtId="0" fontId="144" fillId="45" borderId="29" xfId="8719" applyFont="1" applyFill="1" applyBorder="1" applyAlignment="1">
      <alignment horizontal="center"/>
    </xf>
    <xf numFmtId="0" fontId="144" fillId="45" borderId="31" xfId="8719" applyFont="1" applyFill="1" applyBorder="1" applyAlignment="1">
      <alignment horizontal="center"/>
    </xf>
    <xf numFmtId="0" fontId="51" fillId="45" borderId="29" xfId="8719" applyFont="1" applyFill="1" applyBorder="1" applyAlignment="1">
      <alignment horizontal="center" vertical="center" wrapText="1"/>
    </xf>
    <xf numFmtId="0" fontId="51" fillId="45" borderId="31" xfId="8719" applyFont="1" applyFill="1" applyBorder="1" applyAlignment="1">
      <alignment horizontal="center" vertical="center" wrapText="1"/>
    </xf>
    <xf numFmtId="0" fontId="29" fillId="45" borderId="66" xfId="8719" applyFont="1" applyFill="1" applyBorder="1" applyAlignment="1">
      <alignment horizontal="center" vertical="center" wrapText="1"/>
    </xf>
    <xf numFmtId="0" fontId="29" fillId="45" borderId="29" xfId="8719" applyFont="1" applyFill="1" applyBorder="1" applyAlignment="1">
      <alignment horizontal="center" vertical="center" wrapText="1"/>
    </xf>
    <xf numFmtId="0" fontId="29" fillId="45" borderId="31" xfId="8719" applyFont="1" applyFill="1" applyBorder="1" applyAlignment="1">
      <alignment horizontal="center" vertical="center" wrapText="1"/>
    </xf>
    <xf numFmtId="0" fontId="154" fillId="43" borderId="82" xfId="8719" applyFont="1" applyFill="1" applyBorder="1" applyAlignment="1" applyProtection="1">
      <alignment horizontal="center"/>
      <protection locked="0"/>
    </xf>
    <xf numFmtId="0" fontId="154" fillId="43" borderId="11" xfId="8719" applyFont="1" applyFill="1" applyBorder="1" applyAlignment="1" applyProtection="1">
      <alignment horizontal="center"/>
      <protection locked="0"/>
    </xf>
    <xf numFmtId="182" fontId="154" fillId="43" borderId="11" xfId="8720" applyNumberFormat="1" applyFont="1" applyFill="1" applyBorder="1" applyAlignment="1" applyProtection="1">
      <alignment horizontal="center"/>
      <protection locked="0"/>
    </xf>
    <xf numFmtId="180" fontId="154" fillId="43" borderId="11" xfId="8719" applyNumberFormat="1" applyFont="1" applyFill="1" applyBorder="1" applyAlignment="1" applyProtection="1">
      <alignment horizontal="center"/>
      <protection locked="0"/>
    </xf>
    <xf numFmtId="182" fontId="154" fillId="43" borderId="11" xfId="700" applyNumberFormat="1" applyFont="1" applyFill="1" applyBorder="1" applyAlignment="1" applyProtection="1">
      <alignment horizontal="center"/>
      <protection locked="0"/>
    </xf>
    <xf numFmtId="182" fontId="154" fillId="43" borderId="93" xfId="700" applyNumberFormat="1" applyFont="1" applyFill="1" applyBorder="1" applyAlignment="1" applyProtection="1">
      <alignment horizontal="center"/>
      <protection locked="0"/>
    </xf>
    <xf numFmtId="0" fontId="51" fillId="45" borderId="66" xfId="8719" applyFont="1" applyFill="1" applyBorder="1" applyAlignment="1">
      <alignment horizontal="center"/>
    </xf>
    <xf numFmtId="0" fontId="51" fillId="45" borderId="29" xfId="8719" applyFont="1" applyFill="1" applyBorder="1" applyAlignment="1">
      <alignment horizontal="center"/>
    </xf>
    <xf numFmtId="0" fontId="51" fillId="45" borderId="31" xfId="8719" applyFont="1" applyFill="1" applyBorder="1" applyAlignment="1">
      <alignment horizontal="center"/>
    </xf>
    <xf numFmtId="0" fontId="51" fillId="45" borderId="78" xfId="8719" applyFont="1" applyFill="1" applyBorder="1" applyAlignment="1">
      <alignment horizontal="center"/>
    </xf>
    <xf numFmtId="0" fontId="51" fillId="45" borderId="79" xfId="8719" applyFont="1" applyFill="1" applyBorder="1" applyAlignment="1">
      <alignment horizontal="center"/>
    </xf>
    <xf numFmtId="0" fontId="154" fillId="43" borderId="93" xfId="8719" applyFont="1" applyFill="1" applyBorder="1" applyAlignment="1" applyProtection="1">
      <alignment horizontal="center"/>
      <protection locked="0"/>
    </xf>
    <xf numFmtId="0" fontId="154" fillId="43" borderId="5" xfId="8719" applyFont="1" applyFill="1" applyBorder="1" applyAlignment="1" applyProtection="1">
      <alignment horizontal="center"/>
      <protection locked="0"/>
    </xf>
    <xf numFmtId="0" fontId="154" fillId="43" borderId="74" xfId="8719" applyFont="1" applyFill="1" applyBorder="1" applyAlignment="1" applyProtection="1">
      <alignment horizontal="center"/>
      <protection locked="0"/>
    </xf>
    <xf numFmtId="0" fontId="154" fillId="43" borderId="75" xfId="8719" applyFont="1" applyFill="1" applyBorder="1" applyAlignment="1" applyProtection="1">
      <alignment horizontal="center"/>
      <protection locked="0"/>
    </xf>
    <xf numFmtId="182" fontId="154" fillId="43" borderId="75" xfId="8720" applyNumberFormat="1" applyFont="1" applyFill="1" applyBorder="1" applyAlignment="1" applyProtection="1">
      <alignment horizontal="center"/>
      <protection locked="0"/>
    </xf>
    <xf numFmtId="180" fontId="154" fillId="43" borderId="75" xfId="8719" applyNumberFormat="1" applyFont="1" applyFill="1" applyBorder="1" applyAlignment="1" applyProtection="1">
      <alignment horizontal="center"/>
      <protection locked="0"/>
    </xf>
    <xf numFmtId="182" fontId="154" fillId="43" borderId="75" xfId="700" applyNumberFormat="1" applyFont="1" applyFill="1" applyBorder="1" applyAlignment="1" applyProtection="1">
      <alignment horizontal="center"/>
      <protection locked="0"/>
    </xf>
    <xf numFmtId="182" fontId="154" fillId="43" borderId="95" xfId="700" applyNumberFormat="1" applyFont="1" applyFill="1" applyBorder="1" applyAlignment="1" applyProtection="1">
      <alignment horizontal="center"/>
      <protection locked="0"/>
    </xf>
    <xf numFmtId="0" fontId="144" fillId="45" borderId="96" xfId="8719" applyFont="1" applyFill="1" applyBorder="1" applyAlignment="1">
      <alignment horizontal="center"/>
    </xf>
    <xf numFmtId="0" fontId="144" fillId="45" borderId="43" xfId="8719" applyFont="1" applyFill="1" applyBorder="1" applyAlignment="1">
      <alignment horizontal="center"/>
    </xf>
    <xf numFmtId="182" fontId="144" fillId="45" borderId="43" xfId="8720" applyNumberFormat="1" applyFont="1" applyFill="1" applyBorder="1" applyAlignment="1">
      <alignment horizontal="center"/>
    </xf>
    <xf numFmtId="180" fontId="144" fillId="45" borderId="43" xfId="8720" applyNumberFormat="1" applyFont="1" applyFill="1" applyBorder="1" applyAlignment="1">
      <alignment horizontal="center"/>
    </xf>
    <xf numFmtId="44" fontId="144" fillId="45" borderId="43" xfId="8720" applyFont="1" applyFill="1" applyBorder="1" applyAlignment="1">
      <alignment horizontal="center"/>
    </xf>
    <xf numFmtId="0" fontId="148" fillId="43" borderId="72" xfId="8719" applyFont="1" applyFill="1" applyBorder="1" applyAlignment="1" applyProtection="1">
      <alignment horizontal="center"/>
      <protection locked="0"/>
    </xf>
    <xf numFmtId="0" fontId="148" fillId="43" borderId="76" xfId="8719" applyFont="1" applyFill="1" applyBorder="1" applyAlignment="1" applyProtection="1">
      <alignment horizontal="center"/>
      <protection locked="0"/>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143" fillId="45" borderId="3"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99" fillId="45" borderId="74" xfId="8719" applyFont="1" applyFill="1" applyBorder="1" applyAlignment="1">
      <alignment horizontal="center"/>
    </xf>
    <xf numFmtId="0" fontId="99" fillId="45" borderId="75" xfId="8719" applyFont="1" applyFill="1" applyBorder="1" applyAlignment="1">
      <alignment horizontal="center"/>
    </xf>
    <xf numFmtId="14" fontId="148" fillId="43" borderId="75" xfId="8719" applyNumberFormat="1" applyFont="1" applyFill="1" applyBorder="1" applyAlignment="1" applyProtection="1">
      <alignment horizontal="center"/>
      <protection locked="0"/>
    </xf>
    <xf numFmtId="0" fontId="148" fillId="43" borderId="75" xfId="8719" applyFont="1" applyFill="1" applyBorder="1" applyAlignment="1" applyProtection="1">
      <alignment horizontal="center"/>
      <protection locked="0"/>
    </xf>
    <xf numFmtId="0" fontId="148" fillId="43" borderId="95" xfId="8719" applyFont="1" applyFill="1" applyBorder="1" applyAlignment="1" applyProtection="1">
      <alignment horizontal="center"/>
      <protection locked="0"/>
    </xf>
    <xf numFmtId="0" fontId="154" fillId="43" borderId="95" xfId="8719" applyFont="1" applyFill="1" applyBorder="1" applyAlignment="1" applyProtection="1">
      <alignment horizontal="center"/>
      <protection locked="0"/>
    </xf>
    <xf numFmtId="0" fontId="154" fillId="43" borderId="85" xfId="8719" applyFont="1" applyFill="1" applyBorder="1" applyAlignment="1" applyProtection="1">
      <alignment horizontal="center"/>
      <protection locked="0"/>
    </xf>
    <xf numFmtId="0" fontId="100" fillId="43" borderId="82" xfId="8719" applyFont="1" applyFill="1" applyBorder="1" applyAlignment="1" applyProtection="1">
      <alignment horizontal="center"/>
      <protection locked="0"/>
    </xf>
    <xf numFmtId="0" fontId="100" fillId="43" borderId="11" xfId="8719" applyFont="1" applyFill="1" applyBorder="1" applyAlignment="1" applyProtection="1">
      <alignment horizontal="center"/>
      <protection locked="0"/>
    </xf>
    <xf numFmtId="182" fontId="148" fillId="43" borderId="11" xfId="700" applyNumberFormat="1" applyFont="1" applyFill="1" applyBorder="1" applyAlignment="1" applyProtection="1">
      <alignment horizontal="center"/>
      <protection locked="0"/>
    </xf>
    <xf numFmtId="182" fontId="148" fillId="43" borderId="93" xfId="700" applyNumberFormat="1" applyFont="1" applyFill="1" applyBorder="1" applyAlignment="1" applyProtection="1">
      <alignment horizontal="center"/>
      <protection locked="0"/>
    </xf>
    <xf numFmtId="0" fontId="143" fillId="45" borderId="97" xfId="8719" applyFont="1" applyFill="1" applyBorder="1" applyAlignment="1">
      <alignment horizontal="center"/>
    </xf>
    <xf numFmtId="0" fontId="143" fillId="45" borderId="13" xfId="8719" applyFont="1" applyFill="1" applyBorder="1" applyAlignment="1">
      <alignment horizontal="center"/>
    </xf>
    <xf numFmtId="0" fontId="3" fillId="43" borderId="13" xfId="8719" applyFill="1" applyBorder="1" applyAlignment="1" applyProtection="1">
      <alignment horizontal="center"/>
      <protection locked="0"/>
    </xf>
    <xf numFmtId="0" fontId="3" fillId="43" borderId="98" xfId="8719" applyFill="1" applyBorder="1" applyAlignment="1" applyProtection="1">
      <alignment horizontal="center"/>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99" fillId="45" borderId="71" xfId="8719" applyFont="1" applyFill="1" applyBorder="1" applyAlignment="1">
      <alignment horizontal="center"/>
    </xf>
    <xf numFmtId="0" fontId="99" fillId="45" borderId="72"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0" fontId="143" fillId="45" borderId="76" xfId="8719" applyFont="1" applyFill="1" applyBorder="1" applyAlignment="1">
      <alignment horizontal="center"/>
    </xf>
    <xf numFmtId="0" fontId="166" fillId="43" borderId="82" xfId="8719" applyFont="1" applyFill="1" applyBorder="1" applyAlignment="1" applyProtection="1">
      <alignment horizontal="left" vertical="top"/>
      <protection locked="0"/>
    </xf>
    <xf numFmtId="0" fontId="166" fillId="43" borderId="11" xfId="8719" applyFont="1" applyFill="1" applyBorder="1" applyAlignment="1" applyProtection="1">
      <alignment horizontal="left" vertical="top"/>
      <protection locked="0"/>
    </xf>
    <xf numFmtId="0" fontId="166" fillId="43" borderId="93" xfId="8719" applyFont="1" applyFill="1" applyBorder="1" applyAlignment="1" applyProtection="1">
      <alignment horizontal="left" vertical="top"/>
      <protection locked="0"/>
    </xf>
    <xf numFmtId="0" fontId="166" fillId="43" borderId="74" xfId="8719" applyFont="1" applyFill="1" applyBorder="1" applyAlignment="1" applyProtection="1">
      <alignment horizontal="left" vertical="top"/>
      <protection locked="0"/>
    </xf>
    <xf numFmtId="0" fontId="166" fillId="43" borderId="75" xfId="8719" applyFont="1" applyFill="1" applyBorder="1" applyAlignment="1" applyProtection="1">
      <alignment horizontal="left" vertical="top"/>
      <protection locked="0"/>
    </xf>
    <xf numFmtId="0" fontId="166" fillId="43" borderId="95" xfId="8719" applyFont="1" applyFill="1" applyBorder="1" applyAlignment="1" applyProtection="1">
      <alignment horizontal="left" vertical="top"/>
      <protection locked="0"/>
    </xf>
    <xf numFmtId="182" fontId="148" fillId="43" borderId="99" xfId="700" applyNumberFormat="1" applyFont="1" applyFill="1" applyBorder="1" applyAlignment="1" applyProtection="1">
      <alignment horizontal="center"/>
      <protection locked="0"/>
    </xf>
    <xf numFmtId="182" fontId="148" fillId="43" borderId="100" xfId="700" applyNumberFormat="1" applyFont="1" applyFill="1" applyBorder="1" applyAlignment="1" applyProtection="1">
      <alignment horizontal="center"/>
      <protection locked="0"/>
    </xf>
    <xf numFmtId="0" fontId="143" fillId="45" borderId="96" xfId="8719" applyFont="1" applyFill="1" applyBorder="1" applyAlignment="1">
      <alignment horizontal="right"/>
    </xf>
    <xf numFmtId="0" fontId="143" fillId="45" borderId="43" xfId="8719" applyFont="1" applyFill="1" applyBorder="1" applyAlignment="1">
      <alignment horizontal="right"/>
    </xf>
    <xf numFmtId="44" fontId="143" fillId="45" borderId="43" xfId="8719" applyNumberFormat="1" applyFont="1" applyFill="1" applyBorder="1" applyAlignment="1">
      <alignment horizontal="center"/>
    </xf>
    <xf numFmtId="0" fontId="143" fillId="45" borderId="43" xfId="8719" applyFont="1" applyFill="1" applyBorder="1" applyAlignment="1">
      <alignment horizontal="center"/>
    </xf>
    <xf numFmtId="0" fontId="143" fillId="45" borderId="101" xfId="8719" applyFont="1" applyFill="1" applyBorder="1" applyAlignment="1">
      <alignment horizontal="center"/>
    </xf>
    <xf numFmtId="0" fontId="99" fillId="45" borderId="66" xfId="8719" applyFont="1" applyFill="1" applyBorder="1" applyAlignment="1">
      <alignment horizontal="center" wrapText="1"/>
    </xf>
    <xf numFmtId="0" fontId="99" fillId="45" borderId="29" xfId="8719" applyFont="1" applyFill="1" applyBorder="1" applyAlignment="1">
      <alignment horizontal="center" wrapText="1"/>
    </xf>
    <xf numFmtId="0" fontId="99" fillId="45" borderId="31" xfId="8719" applyFont="1" applyFill="1" applyBorder="1" applyAlignment="1">
      <alignment horizontal="center" wrapText="1"/>
    </xf>
    <xf numFmtId="0" fontId="99" fillId="45" borderId="66" xfId="8719" applyFont="1" applyFill="1" applyBorder="1" applyAlignment="1">
      <alignment horizontal="left" wrapText="1"/>
    </xf>
    <xf numFmtId="0" fontId="99" fillId="45" borderId="29" xfId="8719" applyFont="1" applyFill="1" applyBorder="1" applyAlignment="1">
      <alignment horizontal="left" wrapText="1"/>
    </xf>
    <xf numFmtId="0" fontId="99" fillId="45" borderId="67" xfId="8719" applyFont="1" applyFill="1" applyBorder="1" applyAlignment="1">
      <alignment horizontal="left" wrapText="1"/>
    </xf>
    <xf numFmtId="0" fontId="99" fillId="45" borderId="0" xfId="8719" applyFont="1" applyFill="1" applyAlignment="1">
      <alignment horizontal="left" wrapText="1"/>
    </xf>
    <xf numFmtId="0" fontId="99" fillId="45" borderId="88" xfId="8719" applyFont="1" applyFill="1" applyBorder="1" applyAlignment="1">
      <alignment horizontal="left" wrapText="1"/>
    </xf>
    <xf numFmtId="0" fontId="99" fillId="45" borderId="42" xfId="8719" applyFont="1" applyFill="1" applyBorder="1" applyAlignment="1">
      <alignment horizontal="left" wrapText="1"/>
    </xf>
    <xf numFmtId="0" fontId="148" fillId="43" borderId="29" xfId="8719" applyFont="1" applyFill="1" applyBorder="1" applyAlignment="1" applyProtection="1">
      <alignment horizontal="center"/>
      <protection locked="0"/>
    </xf>
    <xf numFmtId="0" fontId="148" fillId="43" borderId="31" xfId="8719" applyFont="1" applyFill="1" applyBorder="1" applyAlignment="1" applyProtection="1">
      <alignment horizontal="center"/>
      <protection locked="0"/>
    </xf>
    <xf numFmtId="0" fontId="148" fillId="43" borderId="0" xfId="8719" applyFont="1" applyFill="1" applyAlignment="1" applyProtection="1">
      <alignment horizontal="center"/>
      <protection locked="0"/>
    </xf>
    <xf numFmtId="0" fontId="148" fillId="43" borderId="41" xfId="8719" applyFont="1" applyFill="1" applyBorder="1" applyAlignment="1" applyProtection="1">
      <alignment horizontal="center"/>
      <protection locked="0"/>
    </xf>
    <xf numFmtId="0" fontId="148" fillId="43" borderId="42" xfId="8719" applyFont="1" applyFill="1" applyBorder="1" applyAlignment="1" applyProtection="1">
      <alignment horizontal="center"/>
      <protection locked="0"/>
    </xf>
    <xf numFmtId="0" fontId="148" fillId="43" borderId="44" xfId="8719" applyFont="1" applyFill="1" applyBorder="1" applyAlignment="1" applyProtection="1">
      <alignment horizontal="center"/>
      <protection locked="0"/>
    </xf>
    <xf numFmtId="0" fontId="99" fillId="45" borderId="66" xfId="8719" applyFont="1" applyFill="1" applyBorder="1" applyAlignment="1">
      <alignment horizontal="center"/>
    </xf>
    <xf numFmtId="0" fontId="99" fillId="45" borderId="29" xfId="8719" applyFont="1" applyFill="1" applyBorder="1" applyAlignment="1">
      <alignment horizontal="center"/>
    </xf>
    <xf numFmtId="0" fontId="99" fillId="45" borderId="31" xfId="8719" applyFont="1" applyFill="1" applyBorder="1" applyAlignment="1">
      <alignment horizontal="center"/>
    </xf>
    <xf numFmtId="0" fontId="99" fillId="45" borderId="88" xfId="8719" applyFont="1" applyFill="1" applyBorder="1" applyAlignment="1">
      <alignment horizontal="center"/>
    </xf>
    <xf numFmtId="0" fontId="99" fillId="45" borderId="42" xfId="8719" applyFont="1" applyFill="1" applyBorder="1" applyAlignment="1">
      <alignment horizontal="center"/>
    </xf>
    <xf numFmtId="0" fontId="99" fillId="45" borderId="44" xfId="8719" applyFont="1" applyFill="1" applyBorder="1" applyAlignment="1">
      <alignment horizontal="center"/>
    </xf>
    <xf numFmtId="0" fontId="99" fillId="45" borderId="82" xfId="8719" applyFont="1" applyFill="1" applyBorder="1" applyAlignment="1">
      <alignment horizontal="center"/>
    </xf>
    <xf numFmtId="0" fontId="99" fillId="45" borderId="11" xfId="8719" applyFont="1" applyFill="1" applyBorder="1" applyAlignment="1">
      <alignment horizontal="center"/>
    </xf>
    <xf numFmtId="0" fontId="99" fillId="45" borderId="72" xfId="8719" applyFont="1" applyFill="1" applyBorder="1" applyAlignment="1">
      <alignment horizontal="center" wrapText="1"/>
    </xf>
    <xf numFmtId="0" fontId="99" fillId="45" borderId="11" xfId="8719" applyFont="1" applyFill="1" applyBorder="1" applyAlignment="1">
      <alignment horizontal="center" wrapText="1"/>
    </xf>
    <xf numFmtId="0" fontId="143" fillId="45" borderId="93" xfId="8719" applyFont="1" applyFill="1" applyBorder="1" applyAlignment="1">
      <alignment horizontal="center"/>
    </xf>
    <xf numFmtId="0" fontId="99" fillId="43" borderId="97" xfId="8719" applyFont="1" applyFill="1" applyBorder="1" applyAlignment="1" applyProtection="1">
      <alignment horizontal="center"/>
      <protection locked="0"/>
    </xf>
    <xf numFmtId="0" fontId="99" fillId="43" borderId="13" xfId="8719" applyFont="1" applyFill="1" applyBorder="1" applyAlignment="1" applyProtection="1">
      <alignment horizontal="center"/>
      <protection locked="0"/>
    </xf>
    <xf numFmtId="0" fontId="166" fillId="43" borderId="66" xfId="8719" applyFont="1" applyFill="1" applyBorder="1" applyAlignment="1">
      <alignment horizontal="left" vertical="top"/>
    </xf>
    <xf numFmtId="0" fontId="166" fillId="43" borderId="29" xfId="8719" applyFont="1" applyFill="1" applyBorder="1" applyAlignment="1">
      <alignment horizontal="left" vertical="top"/>
    </xf>
    <xf numFmtId="0" fontId="166" fillId="43" borderId="31" xfId="8719" applyFont="1" applyFill="1" applyBorder="1" applyAlignment="1">
      <alignment horizontal="left" vertical="top"/>
    </xf>
    <xf numFmtId="0" fontId="166" fillId="43" borderId="88" xfId="8719" applyFont="1" applyFill="1" applyBorder="1" applyAlignment="1">
      <alignment horizontal="left" vertical="top"/>
    </xf>
    <xf numFmtId="0" fontId="166" fillId="43" borderId="42" xfId="8719" applyFont="1" applyFill="1" applyBorder="1" applyAlignment="1">
      <alignment horizontal="left" vertical="top"/>
    </xf>
    <xf numFmtId="0" fontId="166" fillId="43" borderId="44" xfId="8719" applyFont="1" applyFill="1" applyBorder="1" applyAlignment="1">
      <alignment horizontal="left" vertical="top"/>
    </xf>
    <xf numFmtId="0" fontId="99" fillId="45" borderId="102" xfId="8719" applyFont="1" applyFill="1" applyBorder="1" applyAlignment="1">
      <alignment horizontal="center"/>
    </xf>
    <xf numFmtId="0" fontId="99" fillId="45" borderId="103" xfId="8719" applyFont="1" applyFill="1" applyBorder="1" applyAlignment="1">
      <alignment horizontal="center"/>
    </xf>
    <xf numFmtId="0" fontId="99" fillId="45" borderId="104" xfId="8719" applyFont="1" applyFill="1" applyBorder="1" applyAlignment="1">
      <alignment horizontal="center"/>
    </xf>
    <xf numFmtId="0" fontId="99" fillId="43" borderId="74" xfId="8719" applyFont="1" applyFill="1" applyBorder="1" applyAlignment="1" applyProtection="1">
      <alignment horizontal="center"/>
      <protection locked="0"/>
    </xf>
    <xf numFmtId="0" fontId="99" fillId="43" borderId="75" xfId="8719" applyFont="1" applyFill="1" applyBorder="1" applyAlignment="1" applyProtection="1">
      <alignment horizontal="center"/>
      <protection locked="0"/>
    </xf>
    <xf numFmtId="0" fontId="99" fillId="43" borderId="86" xfId="8719" applyFont="1" applyFill="1" applyBorder="1" applyAlignment="1" applyProtection="1">
      <alignment horizontal="center"/>
      <protection locked="0"/>
    </xf>
    <xf numFmtId="0" fontId="99" fillId="43" borderId="95" xfId="8719" applyFont="1" applyFill="1" applyBorder="1" applyAlignment="1" applyProtection="1">
      <alignment horizontal="center"/>
      <protection locked="0"/>
    </xf>
    <xf numFmtId="0" fontId="99" fillId="43" borderId="9"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99" fillId="43" borderId="93" xfId="8719" applyFont="1" applyFill="1" applyBorder="1" applyAlignment="1" applyProtection="1">
      <alignment horizontal="center"/>
      <protection locked="0"/>
    </xf>
    <xf numFmtId="0" fontId="99" fillId="45" borderId="73" xfId="8719" applyFont="1" applyFill="1" applyBorder="1" applyAlignment="1">
      <alignment horizontal="center"/>
    </xf>
    <xf numFmtId="0" fontId="99" fillId="43" borderId="85" xfId="8719" applyFont="1" applyFill="1" applyBorder="1" applyAlignment="1" applyProtection="1">
      <alignment horizontal="center"/>
      <protection locked="0"/>
    </xf>
    <xf numFmtId="0" fontId="99" fillId="47" borderId="75" xfId="8719" applyFont="1" applyFill="1" applyBorder="1" applyAlignment="1" applyProtection="1">
      <alignment horizontal="center"/>
      <protection locked="0"/>
    </xf>
    <xf numFmtId="0" fontId="99" fillId="47" borderId="95" xfId="8719" applyFont="1" applyFill="1" applyBorder="1" applyAlignment="1" applyProtection="1">
      <alignment horizontal="center"/>
      <protection locked="0"/>
    </xf>
    <xf numFmtId="0" fontId="143" fillId="45" borderId="91" xfId="8719" applyFont="1" applyFill="1" applyBorder="1" applyAlignment="1">
      <alignment horizontal="center"/>
    </xf>
    <xf numFmtId="0" fontId="99" fillId="45" borderId="80" xfId="8719" applyFont="1" applyFill="1" applyBorder="1" applyAlignment="1">
      <alignment horizontal="center"/>
    </xf>
    <xf numFmtId="0" fontId="99" fillId="45" borderId="2" xfId="8719" applyFont="1" applyFill="1" applyBorder="1" applyAlignment="1">
      <alignment horizontal="center"/>
    </xf>
    <xf numFmtId="0" fontId="99" fillId="45" borderId="7" xfId="8719" applyFont="1" applyFill="1" applyBorder="1" applyAlignment="1">
      <alignment horizontal="center"/>
    </xf>
    <xf numFmtId="0" fontId="99" fillId="45" borderId="89" xfId="8719" applyFont="1" applyFill="1" applyBorder="1" applyAlignment="1">
      <alignment horizontal="center"/>
    </xf>
    <xf numFmtId="0" fontId="143" fillId="45" borderId="1" xfId="8719" applyFont="1" applyFill="1" applyBorder="1" applyAlignment="1">
      <alignment horizontal="center" wrapText="1"/>
    </xf>
    <xf numFmtId="0" fontId="143" fillId="45" borderId="2" xfId="8719" applyFont="1" applyFill="1" applyBorder="1" applyAlignment="1">
      <alignment horizontal="center" wrapText="1"/>
    </xf>
    <xf numFmtId="0" fontId="143" fillId="45" borderId="7" xfId="8719" applyFont="1" applyFill="1" applyBorder="1" applyAlignment="1">
      <alignment horizontal="center" wrapText="1"/>
    </xf>
    <xf numFmtId="0" fontId="143" fillId="45" borderId="9" xfId="8719" applyFont="1" applyFill="1" applyBorder="1" applyAlignment="1">
      <alignment horizontal="center" wrapText="1"/>
    </xf>
    <xf numFmtId="0" fontId="143" fillId="45" borderId="6" xfId="8719" applyFont="1" applyFill="1" applyBorder="1" applyAlignment="1">
      <alignment horizontal="center" wrapText="1"/>
    </xf>
    <xf numFmtId="0" fontId="143" fillId="45" borderId="10" xfId="8719" applyFont="1" applyFill="1" applyBorder="1" applyAlignment="1">
      <alignment horizontal="center" wrapText="1"/>
    </xf>
    <xf numFmtId="0" fontId="152" fillId="45" borderId="1" xfId="8719" applyFont="1" applyFill="1" applyBorder="1" applyAlignment="1">
      <alignment horizontal="center" wrapText="1"/>
    </xf>
    <xf numFmtId="0" fontId="152" fillId="45" borderId="2" xfId="8719" applyFont="1" applyFill="1" applyBorder="1" applyAlignment="1">
      <alignment horizontal="center" wrapText="1"/>
    </xf>
    <xf numFmtId="0" fontId="152" fillId="45" borderId="7" xfId="8719" applyFont="1" applyFill="1" applyBorder="1" applyAlignment="1">
      <alignment horizontal="center" wrapText="1"/>
    </xf>
    <xf numFmtId="0" fontId="152" fillId="45" borderId="9" xfId="8719" applyFont="1" applyFill="1" applyBorder="1" applyAlignment="1">
      <alignment horizontal="center" wrapText="1"/>
    </xf>
    <xf numFmtId="0" fontId="152" fillId="45" borderId="6" xfId="8719" applyFont="1" applyFill="1" applyBorder="1" applyAlignment="1">
      <alignment horizontal="center" wrapText="1"/>
    </xf>
    <xf numFmtId="0" fontId="152" fillId="45" borderId="10" xfId="8719" applyFont="1" applyFill="1" applyBorder="1" applyAlignment="1">
      <alignment horizontal="center" wrapText="1"/>
    </xf>
    <xf numFmtId="0" fontId="99" fillId="45" borderId="71" xfId="8719" applyFont="1" applyFill="1" applyBorder="1" applyAlignment="1">
      <alignment horizontal="left" wrapText="1"/>
    </xf>
    <xf numFmtId="0" fontId="99" fillId="45" borderId="72" xfId="8719" applyFont="1" applyFill="1" applyBorder="1" applyAlignment="1">
      <alignment horizontal="left" wrapText="1"/>
    </xf>
    <xf numFmtId="0" fontId="99" fillId="45" borderId="76" xfId="8719" applyFont="1" applyFill="1" applyBorder="1" applyAlignment="1">
      <alignment horizontal="left" wrapText="1"/>
    </xf>
    <xf numFmtId="0" fontId="99" fillId="45" borderId="82" xfId="8719" applyFont="1" applyFill="1" applyBorder="1" applyAlignment="1">
      <alignment horizontal="left" wrapText="1"/>
    </xf>
    <xf numFmtId="0" fontId="99" fillId="45" borderId="11" xfId="8719" applyFont="1" applyFill="1" applyBorder="1" applyAlignment="1">
      <alignment horizontal="left" wrapText="1"/>
    </xf>
    <xf numFmtId="0" fontId="99" fillId="45" borderId="93" xfId="8719" applyFont="1" applyFill="1" applyBorder="1" applyAlignment="1">
      <alignment horizontal="left" wrapText="1"/>
    </xf>
    <xf numFmtId="0" fontId="163" fillId="45" borderId="68" xfId="8719" applyFont="1" applyFill="1" applyBorder="1" applyAlignment="1">
      <alignment horizontal="left"/>
    </xf>
    <xf numFmtId="0" fontId="163" fillId="45" borderId="69" xfId="8719" applyFont="1" applyFill="1" applyBorder="1" applyAlignment="1">
      <alignment horizontal="left"/>
    </xf>
    <xf numFmtId="0" fontId="163" fillId="45" borderId="70" xfId="8719" applyFont="1" applyFill="1" applyBorder="1" applyAlignment="1">
      <alignment horizontal="left"/>
    </xf>
    <xf numFmtId="0" fontId="164" fillId="45" borderId="102" xfId="8719" applyFont="1" applyFill="1" applyBorder="1" applyAlignment="1">
      <alignment horizontal="left"/>
    </xf>
    <xf numFmtId="0" fontId="164" fillId="45" borderId="103" xfId="8719" applyFont="1" applyFill="1" applyBorder="1" applyAlignment="1">
      <alignment horizontal="left"/>
    </xf>
    <xf numFmtId="0" fontId="164" fillId="45" borderId="104" xfId="8719" applyFont="1" applyFill="1" applyBorder="1" applyAlignment="1">
      <alignment horizontal="left"/>
    </xf>
    <xf numFmtId="0" fontId="99" fillId="43" borderId="10" xfId="8719" applyFont="1" applyFill="1" applyBorder="1" applyAlignment="1" applyProtection="1">
      <alignment horizontal="center"/>
      <protection locked="0"/>
    </xf>
    <xf numFmtId="0" fontId="99" fillId="43" borderId="98" xfId="8719" applyFont="1" applyFill="1" applyBorder="1" applyAlignment="1" applyProtection="1">
      <alignment horizontal="center"/>
      <protection locked="0"/>
    </xf>
    <xf numFmtId="0" fontId="143" fillId="45" borderId="29" xfId="8719" applyFont="1" applyFill="1" applyBorder="1" applyAlignment="1">
      <alignment horizontal="center"/>
    </xf>
    <xf numFmtId="0" fontId="156" fillId="45" borderId="68" xfId="8719" applyFont="1" applyFill="1" applyBorder="1" applyAlignment="1">
      <alignment horizontal="center"/>
    </xf>
    <xf numFmtId="0" fontId="156" fillId="45" borderId="69" xfId="8719" applyFont="1" applyFill="1" applyBorder="1" applyAlignment="1">
      <alignment horizontal="center"/>
    </xf>
    <xf numFmtId="0" fontId="156" fillId="45" borderId="70" xfId="8719" applyFont="1" applyFill="1" applyBorder="1" applyAlignment="1">
      <alignment horizontal="center"/>
    </xf>
    <xf numFmtId="0" fontId="167" fillId="43" borderId="68" xfId="8719" applyFont="1" applyFill="1" applyBorder="1" applyAlignment="1" applyProtection="1">
      <alignment horizontal="left"/>
      <protection locked="0"/>
    </xf>
    <xf numFmtId="0" fontId="167" fillId="43" borderId="69" xfId="8719" applyFont="1" applyFill="1" applyBorder="1" applyAlignment="1" applyProtection="1">
      <alignment horizontal="left"/>
      <protection locked="0"/>
    </xf>
    <xf numFmtId="0" fontId="167" fillId="43" borderId="70" xfId="8719" applyFont="1" applyFill="1" applyBorder="1" applyAlignment="1" applyProtection="1">
      <alignment horizontal="left"/>
      <protection locked="0"/>
    </xf>
    <xf numFmtId="0" fontId="168" fillId="43" borderId="66" xfId="8719" applyFont="1" applyFill="1" applyBorder="1" applyAlignment="1" applyProtection="1">
      <alignment horizontal="left" vertical="top"/>
      <protection locked="0"/>
    </xf>
    <xf numFmtId="0" fontId="168" fillId="43" borderId="29" xfId="8719" applyFont="1" applyFill="1" applyBorder="1" applyAlignment="1" applyProtection="1">
      <alignment horizontal="left" vertical="top"/>
      <protection locked="0"/>
    </xf>
    <xf numFmtId="0" fontId="168" fillId="43" borderId="31" xfId="8719" applyFont="1" applyFill="1" applyBorder="1" applyAlignment="1" applyProtection="1">
      <alignment horizontal="left" vertical="top"/>
      <protection locked="0"/>
    </xf>
    <xf numFmtId="0" fontId="168" fillId="43" borderId="67" xfId="8719" applyFont="1" applyFill="1" applyBorder="1" applyAlignment="1" applyProtection="1">
      <alignment horizontal="left" vertical="top"/>
      <protection locked="0"/>
    </xf>
    <xf numFmtId="0" fontId="168" fillId="43" borderId="0" xfId="8719" applyFont="1" applyFill="1" applyAlignment="1" applyProtection="1">
      <alignment horizontal="left" vertical="top"/>
      <protection locked="0"/>
    </xf>
    <xf numFmtId="0" fontId="168" fillId="43" borderId="41" xfId="8719" applyFont="1" applyFill="1" applyBorder="1" applyAlignment="1" applyProtection="1">
      <alignment horizontal="left" vertical="top"/>
      <protection locked="0"/>
    </xf>
    <xf numFmtId="0" fontId="168" fillId="43" borderId="88" xfId="8719" applyFont="1" applyFill="1" applyBorder="1" applyAlignment="1" applyProtection="1">
      <alignment horizontal="left" vertical="top"/>
      <protection locked="0"/>
    </xf>
    <xf numFmtId="0" fontId="168" fillId="43" borderId="42" xfId="8719" applyFont="1" applyFill="1" applyBorder="1" applyAlignment="1" applyProtection="1">
      <alignment horizontal="left" vertical="top"/>
      <protection locked="0"/>
    </xf>
    <xf numFmtId="0" fontId="168" fillId="43" borderId="44" xfId="8719" applyFont="1" applyFill="1" applyBorder="1" applyAlignment="1" applyProtection="1">
      <alignment horizontal="left" vertical="top"/>
      <protection locked="0"/>
    </xf>
    <xf numFmtId="0" fontId="99" fillId="43" borderId="3" xfId="8719" applyFont="1" applyFill="1" applyBorder="1" applyAlignment="1" applyProtection="1">
      <alignment horizontal="center"/>
      <protection locked="0"/>
    </xf>
    <xf numFmtId="0" fontId="99" fillId="43" borderId="4" xfId="8719" applyFont="1" applyFill="1" applyBorder="1" applyAlignment="1" applyProtection="1">
      <alignment horizontal="center"/>
      <protection locked="0"/>
    </xf>
    <xf numFmtId="0" fontId="99" fillId="43" borderId="5" xfId="8719" applyFont="1" applyFill="1" applyBorder="1" applyAlignment="1" applyProtection="1">
      <alignment horizontal="center"/>
      <protection locked="0"/>
    </xf>
    <xf numFmtId="0" fontId="144" fillId="45" borderId="94" xfId="8719" applyFont="1" applyFill="1" applyBorder="1" applyAlignment="1">
      <alignment horizontal="center"/>
    </xf>
    <xf numFmtId="0" fontId="144" fillId="45" borderId="4" xfId="8719" applyFont="1" applyFill="1" applyBorder="1" applyAlignment="1">
      <alignment horizontal="center"/>
    </xf>
    <xf numFmtId="0" fontId="144" fillId="45" borderId="5" xfId="8719" applyFont="1" applyFill="1" applyBorder="1" applyAlignment="1">
      <alignment horizontal="center"/>
    </xf>
    <xf numFmtId="0" fontId="148" fillId="43" borderId="3" xfId="8719" applyFont="1" applyFill="1" applyBorder="1" applyAlignment="1" applyProtection="1">
      <alignment horizontal="center"/>
      <protection locked="0"/>
    </xf>
    <xf numFmtId="0" fontId="148" fillId="43" borderId="4" xfId="8719" applyFont="1" applyFill="1" applyBorder="1" applyAlignment="1" applyProtection="1">
      <alignment horizontal="center"/>
      <protection locked="0"/>
    </xf>
    <xf numFmtId="0" fontId="148" fillId="43" borderId="5" xfId="8719" applyFont="1" applyFill="1" applyBorder="1" applyAlignment="1" applyProtection="1">
      <alignment horizontal="center"/>
      <protection locked="0"/>
    </xf>
    <xf numFmtId="14" fontId="3" fillId="43" borderId="3" xfId="8719" applyNumberFormat="1" applyFill="1" applyBorder="1" applyAlignment="1" applyProtection="1">
      <alignment horizontal="center"/>
      <protection locked="0"/>
    </xf>
    <xf numFmtId="14" fontId="3" fillId="43" borderId="4" xfId="8719" applyNumberFormat="1" applyFill="1" applyBorder="1" applyAlignment="1" applyProtection="1">
      <alignment horizontal="center"/>
      <protection locked="0"/>
    </xf>
    <xf numFmtId="14" fontId="148" fillId="43" borderId="3" xfId="8719" applyNumberFormat="1" applyFont="1" applyFill="1" applyBorder="1" applyAlignment="1" applyProtection="1">
      <alignment horizontal="center"/>
      <protection locked="0"/>
    </xf>
    <xf numFmtId="14" fontId="148" fillId="43" borderId="4" xfId="8719" applyNumberFormat="1" applyFont="1" applyFill="1" applyBorder="1" applyAlignment="1" applyProtection="1">
      <alignment horizontal="center"/>
      <protection locked="0"/>
    </xf>
    <xf numFmtId="0" fontId="99" fillId="45" borderId="94" xfId="8719" applyFont="1" applyFill="1" applyBorder="1" applyAlignment="1">
      <alignment horizontal="center"/>
    </xf>
    <xf numFmtId="0" fontId="99" fillId="45" borderId="4" xfId="8719" applyFont="1" applyFill="1" applyBorder="1" applyAlignment="1">
      <alignment horizontal="center"/>
    </xf>
    <xf numFmtId="0" fontId="99" fillId="45" borderId="5" xfId="8719" applyFont="1" applyFill="1" applyBorder="1" applyAlignment="1">
      <alignment horizontal="center"/>
    </xf>
    <xf numFmtId="0" fontId="99" fillId="45" borderId="3" xfId="8719" applyFont="1" applyFill="1" applyBorder="1" applyAlignment="1">
      <alignment horizontal="center"/>
    </xf>
    <xf numFmtId="0" fontId="152" fillId="45" borderId="3" xfId="8719" applyFont="1" applyFill="1" applyBorder="1" applyAlignment="1">
      <alignment horizontal="center"/>
    </xf>
    <xf numFmtId="0" fontId="152" fillId="45" borderId="4" xfId="8719" applyFont="1" applyFill="1" applyBorder="1" applyAlignment="1">
      <alignment horizontal="center"/>
    </xf>
    <xf numFmtId="0" fontId="152" fillId="45" borderId="5" xfId="8719" applyFont="1" applyFill="1" applyBorder="1" applyAlignment="1">
      <alignment horizontal="center"/>
    </xf>
    <xf numFmtId="0" fontId="99" fillId="45" borderId="86" xfId="8719" applyFont="1" applyFill="1" applyBorder="1" applyAlignment="1">
      <alignment horizontal="center"/>
    </xf>
    <xf numFmtId="0" fontId="99" fillId="45" borderId="84" xfId="8719" applyFont="1" applyFill="1" applyBorder="1" applyAlignment="1">
      <alignment horizontal="center"/>
    </xf>
    <xf numFmtId="0" fontId="99" fillId="45" borderId="87" xfId="8719" applyFont="1" applyFill="1" applyBorder="1" applyAlignment="1">
      <alignment horizontal="center"/>
    </xf>
    <xf numFmtId="182" fontId="148" fillId="43" borderId="92" xfId="8720" applyNumberFormat="1" applyFont="1" applyFill="1" applyBorder="1" applyAlignment="1" applyProtection="1">
      <alignment horizontal="center"/>
      <protection locked="0"/>
    </xf>
    <xf numFmtId="182" fontId="148" fillId="43" borderId="78" xfId="8720" applyNumberFormat="1" applyFont="1" applyFill="1" applyBorder="1" applyAlignment="1" applyProtection="1">
      <alignment horizontal="center"/>
      <protection locked="0"/>
    </xf>
    <xf numFmtId="182" fontId="148" fillId="43" borderId="79" xfId="8720" applyNumberFormat="1" applyFont="1" applyFill="1" applyBorder="1" applyAlignment="1" applyProtection="1">
      <alignment horizontal="center"/>
      <protection locked="0"/>
    </xf>
    <xf numFmtId="0" fontId="51" fillId="43" borderId="11" xfId="8719" applyFont="1" applyFill="1" applyBorder="1" applyAlignment="1" applyProtection="1">
      <alignment horizontal="center"/>
      <protection locked="0"/>
    </xf>
    <xf numFmtId="0" fontId="148" fillId="43" borderId="11" xfId="8719" applyFont="1" applyFill="1" applyBorder="1" applyAlignment="1" applyProtection="1">
      <alignment horizontal="center"/>
      <protection locked="0"/>
    </xf>
    <xf numFmtId="14" fontId="148" fillId="43" borderId="11" xfId="8719" applyNumberFormat="1" applyFont="1" applyFill="1" applyBorder="1" applyAlignment="1" applyProtection="1">
      <alignment horizontal="center"/>
      <protection locked="0"/>
    </xf>
    <xf numFmtId="182" fontId="148" fillId="43" borderId="3" xfId="8720" applyNumberFormat="1" applyFont="1" applyFill="1" applyBorder="1" applyAlignment="1" applyProtection="1">
      <alignment horizontal="center"/>
      <protection locked="0"/>
    </xf>
    <xf numFmtId="182" fontId="148" fillId="43" borderId="4" xfId="8720" applyNumberFormat="1" applyFont="1" applyFill="1" applyBorder="1" applyAlignment="1" applyProtection="1">
      <alignment horizontal="center"/>
      <protection locked="0"/>
    </xf>
    <xf numFmtId="182" fontId="148" fillId="43" borderId="81" xfId="8720" applyNumberFormat="1" applyFont="1" applyFill="1" applyBorder="1" applyAlignment="1" applyProtection="1">
      <alignment horizontal="center"/>
      <protection locked="0"/>
    </xf>
    <xf numFmtId="14" fontId="3" fillId="43" borderId="5" xfId="8719" applyNumberFormat="1" applyFill="1" applyBorder="1" applyAlignment="1" applyProtection="1">
      <alignment horizontal="center"/>
      <protection locked="0"/>
    </xf>
    <xf numFmtId="0" fontId="51" fillId="43" borderId="75" xfId="8719" applyFont="1" applyFill="1" applyBorder="1" applyAlignment="1" applyProtection="1">
      <alignment horizontal="center"/>
      <protection locked="0"/>
    </xf>
    <xf numFmtId="182" fontId="148" fillId="43" borderId="86" xfId="8720" applyNumberFormat="1" applyFont="1" applyFill="1" applyBorder="1" applyAlignment="1" applyProtection="1">
      <alignment horizontal="center"/>
      <protection locked="0"/>
    </xf>
    <xf numFmtId="182" fontId="148" fillId="43" borderId="84" xfId="8720" applyNumberFormat="1" applyFont="1" applyFill="1" applyBorder="1" applyAlignment="1" applyProtection="1">
      <alignment horizontal="center"/>
      <protection locked="0"/>
    </xf>
    <xf numFmtId="182" fontId="148" fillId="43" borderId="87" xfId="8720" applyNumberFormat="1" applyFont="1" applyFill="1" applyBorder="1" applyAlignment="1" applyProtection="1">
      <alignment horizontal="center"/>
      <protection locked="0"/>
    </xf>
    <xf numFmtId="14" fontId="3" fillId="43" borderId="11" xfId="8719" applyNumberFormat="1" applyFill="1" applyBorder="1" applyAlignment="1" applyProtection="1">
      <alignment horizontal="center"/>
      <protection locked="0"/>
    </xf>
    <xf numFmtId="0" fontId="143" fillId="45" borderId="71" xfId="8719" applyFont="1" applyFill="1" applyBorder="1" applyAlignment="1">
      <alignment horizontal="left"/>
    </xf>
    <xf numFmtId="0" fontId="143" fillId="45" borderId="72" xfId="8719" applyFont="1" applyFill="1" applyBorder="1" applyAlignment="1">
      <alignment horizontal="left"/>
    </xf>
    <xf numFmtId="0" fontId="143" fillId="45" borderId="76" xfId="8719" applyFont="1" applyFill="1" applyBorder="1" applyAlignment="1">
      <alignment horizontal="left"/>
    </xf>
    <xf numFmtId="0" fontId="3" fillId="43" borderId="82" xfId="8719" applyFill="1" applyBorder="1" applyAlignment="1" applyProtection="1">
      <alignment horizontal="left" vertical="top"/>
      <protection locked="0"/>
    </xf>
    <xf numFmtId="0" fontId="3" fillId="43" borderId="11" xfId="8719" applyFill="1" applyBorder="1" applyAlignment="1" applyProtection="1">
      <alignment horizontal="left" vertical="top"/>
      <protection locked="0"/>
    </xf>
    <xf numFmtId="0" fontId="3" fillId="43" borderId="93" xfId="8719" applyFill="1" applyBorder="1" applyAlignment="1" applyProtection="1">
      <alignment horizontal="left" vertical="top"/>
      <protection locked="0"/>
    </xf>
    <xf numFmtId="0" fontId="3" fillId="43" borderId="74" xfId="8719" applyFill="1" applyBorder="1" applyAlignment="1" applyProtection="1">
      <alignment horizontal="left" vertical="top"/>
      <protection locked="0"/>
    </xf>
    <xf numFmtId="0" fontId="3" fillId="43" borderId="75" xfId="8719" applyFill="1" applyBorder="1" applyAlignment="1" applyProtection="1">
      <alignment horizontal="left" vertical="top"/>
      <protection locked="0"/>
    </xf>
    <xf numFmtId="0" fontId="3" fillId="43" borderId="95" xfId="8719" applyFill="1" applyBorder="1" applyAlignment="1" applyProtection="1">
      <alignment horizontal="left" vertical="top"/>
      <protection locked="0"/>
    </xf>
    <xf numFmtId="168" fontId="50" fillId="43" borderId="11" xfId="8720" applyNumberFormat="1" applyFont="1" applyFill="1" applyBorder="1" applyAlignment="1" applyProtection="1">
      <alignment horizontal="center"/>
      <protection locked="0"/>
    </xf>
    <xf numFmtId="0" fontId="99" fillId="45" borderId="81" xfId="8719" applyFont="1" applyFill="1" applyBorder="1" applyAlignment="1">
      <alignment horizontal="center"/>
    </xf>
    <xf numFmtId="182" fontId="50" fillId="44" borderId="4" xfId="700" applyNumberFormat="1" applyFont="1" applyFill="1" applyBorder="1" applyAlignment="1">
      <alignment horizontal="center"/>
    </xf>
    <xf numFmtId="182" fontId="50" fillId="44" borderId="81" xfId="700" applyNumberFormat="1" applyFont="1" applyFill="1" applyBorder="1" applyAlignment="1">
      <alignment horizontal="center"/>
    </xf>
    <xf numFmtId="0" fontId="144" fillId="47" borderId="94" xfId="8719" applyFont="1" applyFill="1" applyBorder="1" applyAlignment="1">
      <alignment horizontal="center"/>
    </xf>
    <xf numFmtId="0" fontId="144" fillId="47" borderId="4" xfId="8719" applyFont="1" applyFill="1" applyBorder="1" applyAlignment="1">
      <alignment horizontal="center"/>
    </xf>
    <xf numFmtId="0" fontId="144" fillId="47" borderId="81" xfId="8719" applyFont="1" applyFill="1" applyBorder="1" applyAlignment="1">
      <alignment horizontal="center"/>
    </xf>
    <xf numFmtId="0" fontId="144" fillId="45" borderId="82" xfId="8719" applyFont="1" applyFill="1" applyBorder="1" applyAlignment="1">
      <alignment horizontal="center"/>
    </xf>
    <xf numFmtId="0" fontId="144" fillId="45" borderId="11" xfId="8719" applyFont="1" applyFill="1" applyBorder="1" applyAlignment="1">
      <alignment horizontal="center"/>
    </xf>
    <xf numFmtId="0" fontId="3" fillId="45" borderId="77" xfId="8719" applyFill="1" applyBorder="1" applyAlignment="1">
      <alignment horizontal="center"/>
    </xf>
    <xf numFmtId="0" fontId="3" fillId="45" borderId="78" xfId="8719" applyFill="1" applyBorder="1" applyAlignment="1">
      <alignment horizontal="center"/>
    </xf>
    <xf numFmtId="0" fontId="3" fillId="45" borderId="79" xfId="8719" applyFill="1" applyBorder="1" applyAlignment="1">
      <alignment horizontal="center"/>
    </xf>
    <xf numFmtId="0" fontId="144" fillId="45" borderId="78" xfId="8719" applyFont="1" applyFill="1" applyBorder="1" applyAlignment="1">
      <alignment horizontal="center"/>
    </xf>
    <xf numFmtId="0" fontId="144" fillId="45" borderId="79" xfId="8719" applyFont="1" applyFill="1" applyBorder="1" applyAlignment="1">
      <alignment horizontal="center"/>
    </xf>
    <xf numFmtId="0" fontId="51" fillId="45" borderId="77" xfId="8719" applyFont="1" applyFill="1" applyBorder="1" applyAlignment="1">
      <alignment horizontal="center"/>
    </xf>
    <xf numFmtId="0" fontId="144" fillId="45" borderId="81" xfId="8719" applyFont="1" applyFill="1" applyBorder="1" applyAlignment="1">
      <alignment horizontal="center"/>
    </xf>
    <xf numFmtId="182" fontId="3" fillId="44" borderId="4" xfId="700" applyNumberFormat="1" applyFont="1" applyFill="1" applyBorder="1" applyAlignment="1">
      <alignment horizontal="center"/>
    </xf>
    <xf numFmtId="182" fontId="3" fillId="44" borderId="81" xfId="700" applyNumberFormat="1" applyFont="1" applyFill="1" applyBorder="1" applyAlignment="1">
      <alignment horizontal="center"/>
    </xf>
    <xf numFmtId="0" fontId="3" fillId="43" borderId="94" xfId="8719" applyFill="1" applyBorder="1" applyAlignment="1" applyProtection="1">
      <alignment horizontal="center"/>
      <protection locked="0"/>
    </xf>
    <xf numFmtId="0" fontId="3" fillId="43" borderId="4" xfId="8719" applyFill="1" applyBorder="1" applyAlignment="1" applyProtection="1">
      <alignment horizontal="center"/>
      <protection locked="0"/>
    </xf>
    <xf numFmtId="0" fontId="3" fillId="43" borderId="81" xfId="8719" applyFill="1" applyBorder="1" applyAlignment="1" applyProtection="1">
      <alignment horizontal="center"/>
      <protection locked="0"/>
    </xf>
    <xf numFmtId="0" fontId="143" fillId="45" borderId="83" xfId="8719" applyFont="1" applyFill="1" applyBorder="1" applyAlignment="1">
      <alignment horizontal="center"/>
    </xf>
    <xf numFmtId="0" fontId="143" fillId="45" borderId="84" xfId="8719" applyFont="1" applyFill="1" applyBorder="1" applyAlignment="1">
      <alignment horizontal="center"/>
    </xf>
    <xf numFmtId="168" fontId="162" fillId="44" borderId="11" xfId="8720" applyNumberFormat="1" applyFont="1" applyFill="1" applyBorder="1" applyAlignment="1">
      <alignment horizontal="center"/>
    </xf>
    <xf numFmtId="0" fontId="143" fillId="45" borderId="94" xfId="8719" applyFont="1" applyFill="1" applyBorder="1" applyAlignment="1">
      <alignment horizontal="center"/>
    </xf>
    <xf numFmtId="182" fontId="50" fillId="43" borderId="4" xfId="700" applyNumberFormat="1" applyFont="1" applyFill="1" applyBorder="1" applyAlignment="1" applyProtection="1">
      <alignment horizontal="center"/>
      <protection locked="0"/>
    </xf>
    <xf numFmtId="182" fontId="50" fillId="43" borderId="81" xfId="700" applyNumberFormat="1" applyFont="1" applyFill="1" applyBorder="1" applyAlignment="1" applyProtection="1">
      <alignment horizontal="center"/>
      <protection locked="0"/>
    </xf>
    <xf numFmtId="0" fontId="144" fillId="43" borderId="94" xfId="8719" applyFont="1" applyFill="1" applyBorder="1" applyAlignment="1" applyProtection="1">
      <alignment horizontal="center"/>
      <protection locked="0"/>
    </xf>
    <xf numFmtId="0" fontId="144" fillId="43" borderId="4" xfId="8719" applyFont="1" applyFill="1" applyBorder="1" applyAlignment="1" applyProtection="1">
      <alignment horizontal="center"/>
      <protection locked="0"/>
    </xf>
    <xf numFmtId="0" fontId="144" fillId="43" borderId="81" xfId="8719" applyFont="1" applyFill="1" applyBorder="1" applyAlignment="1" applyProtection="1">
      <alignment horizontal="center"/>
      <protection locked="0"/>
    </xf>
    <xf numFmtId="0" fontId="144" fillId="47" borderId="5" xfId="8719" applyFont="1" applyFill="1" applyBorder="1" applyAlignment="1">
      <alignment horizontal="center"/>
    </xf>
    <xf numFmtId="168" fontId="148" fillId="47" borderId="3" xfId="8720" applyNumberFormat="1" applyFont="1" applyFill="1" applyBorder="1" applyAlignment="1">
      <alignment horizontal="center"/>
    </xf>
    <xf numFmtId="168" fontId="148" fillId="47" borderId="4" xfId="8720" applyNumberFormat="1" applyFont="1" applyFill="1" applyBorder="1" applyAlignment="1">
      <alignment horizontal="center"/>
    </xf>
    <xf numFmtId="168" fontId="148" fillId="47" borderId="5" xfId="8720" applyNumberFormat="1" applyFont="1" applyFill="1" applyBorder="1" applyAlignment="1">
      <alignment horizontal="center"/>
    </xf>
    <xf numFmtId="182" fontId="3" fillId="43" borderId="4" xfId="700" applyNumberFormat="1" applyFont="1" applyFill="1" applyBorder="1" applyAlignment="1" applyProtection="1">
      <alignment horizontal="center"/>
    </xf>
    <xf numFmtId="182" fontId="3" fillId="43" borderId="81" xfId="700" applyNumberFormat="1" applyFont="1" applyFill="1" applyBorder="1" applyAlignment="1" applyProtection="1">
      <alignment horizontal="center"/>
    </xf>
    <xf numFmtId="0" fontId="144" fillId="43" borderId="82" xfId="8719" applyFont="1" applyFill="1" applyBorder="1" applyAlignment="1">
      <alignment horizontal="left"/>
    </xf>
    <xf numFmtId="0" fontId="144" fillId="43" borderId="11" xfId="8719" applyFont="1" applyFill="1" applyBorder="1" applyAlignment="1">
      <alignment horizontal="left"/>
    </xf>
    <xf numFmtId="182" fontId="50" fillId="43" borderId="11" xfId="700" applyNumberFormat="1" applyFont="1" applyFill="1" applyBorder="1" applyAlignment="1" applyProtection="1">
      <alignment horizontal="center"/>
      <protection locked="0"/>
    </xf>
    <xf numFmtId="182" fontId="50" fillId="43" borderId="93" xfId="700" applyNumberFormat="1" applyFont="1" applyFill="1" applyBorder="1" applyAlignment="1" applyProtection="1">
      <alignment horizontal="center"/>
      <protection locked="0"/>
    </xf>
    <xf numFmtId="164" fontId="50" fillId="45" borderId="72" xfId="8720" applyNumberFormat="1" applyFont="1" applyFill="1" applyBorder="1" applyAlignment="1" applyProtection="1">
      <alignment horizontal="center"/>
      <protection locked="0"/>
    </xf>
    <xf numFmtId="164" fontId="50" fillId="45" borderId="76" xfId="8720" applyNumberFormat="1" applyFont="1" applyFill="1" applyBorder="1" applyAlignment="1" applyProtection="1">
      <alignment horizontal="center"/>
      <protection locked="0"/>
    </xf>
    <xf numFmtId="0" fontId="51" fillId="43" borderId="93" xfId="8719" applyFont="1" applyFill="1" applyBorder="1" applyAlignment="1" applyProtection="1">
      <alignment horizontal="center"/>
      <protection locked="0"/>
    </xf>
    <xf numFmtId="0" fontId="51" fillId="43" borderId="94" xfId="8719" applyFont="1" applyFill="1" applyBorder="1" applyAlignment="1" applyProtection="1">
      <alignment horizontal="center"/>
      <protection locked="0"/>
    </xf>
    <xf numFmtId="0" fontId="51" fillId="43" borderId="4" xfId="8719" applyFont="1" applyFill="1" applyBorder="1" applyAlignment="1" applyProtection="1">
      <alignment horizontal="center"/>
      <protection locked="0"/>
    </xf>
    <xf numFmtId="0" fontId="157" fillId="45" borderId="67" xfId="8719" applyFont="1" applyFill="1" applyBorder="1" applyAlignment="1">
      <alignment horizontal="center"/>
    </xf>
    <xf numFmtId="0" fontId="157" fillId="45" borderId="0" xfId="8719" applyFont="1" applyFill="1" applyAlignment="1">
      <alignment horizontal="center"/>
    </xf>
    <xf numFmtId="0" fontId="157" fillId="45" borderId="12" xfId="8719" applyFont="1" applyFill="1" applyBorder="1" applyAlignment="1">
      <alignment horizontal="center"/>
    </xf>
    <xf numFmtId="182" fontId="148" fillId="44" borderId="105" xfId="700" applyNumberFormat="1" applyFont="1" applyFill="1" applyBorder="1" applyAlignment="1">
      <alignment horizontal="center"/>
    </xf>
    <xf numFmtId="182" fontId="148" fillId="44" borderId="29" xfId="700" applyNumberFormat="1" applyFont="1" applyFill="1" applyBorder="1" applyAlignment="1">
      <alignment horizontal="center"/>
    </xf>
    <xf numFmtId="182" fontId="148" fillId="44" borderId="31" xfId="700" applyNumberFormat="1" applyFont="1" applyFill="1" applyBorder="1" applyAlignment="1">
      <alignment horizontal="center"/>
    </xf>
    <xf numFmtId="0" fontId="144" fillId="43" borderId="83" xfId="8719" applyFont="1" applyFill="1" applyBorder="1" applyAlignment="1" applyProtection="1">
      <alignment horizontal="center"/>
      <protection locked="0"/>
    </xf>
    <xf numFmtId="0" fontId="144" fillId="43" borderId="84" xfId="8719" applyFont="1" applyFill="1" applyBorder="1" applyAlignment="1" applyProtection="1">
      <alignment horizontal="center"/>
      <protection locked="0"/>
    </xf>
    <xf numFmtId="0" fontId="51" fillId="43" borderId="95" xfId="8719" applyFont="1" applyFill="1" applyBorder="1" applyAlignment="1" applyProtection="1">
      <alignment horizontal="center"/>
      <protection locked="0"/>
    </xf>
    <xf numFmtId="182" fontId="3" fillId="43" borderId="84" xfId="700" applyNumberFormat="1" applyFont="1" applyFill="1" applyBorder="1" applyAlignment="1" applyProtection="1">
      <alignment horizontal="center"/>
      <protection locked="0"/>
    </xf>
    <xf numFmtId="182" fontId="3" fillId="43" borderId="87" xfId="700" applyNumberFormat="1" applyFont="1" applyFill="1" applyBorder="1" applyAlignment="1" applyProtection="1">
      <alignment horizontal="center"/>
      <protection locked="0"/>
    </xf>
    <xf numFmtId="0" fontId="3" fillId="43" borderId="83" xfId="8719" applyFill="1" applyBorder="1" applyAlignment="1" applyProtection="1">
      <alignment horizontal="center"/>
      <protection locked="0"/>
    </xf>
    <xf numFmtId="0" fontId="3" fillId="43" borderId="84" xfId="8719" applyFill="1" applyBorder="1" applyAlignment="1" applyProtection="1">
      <alignment horizontal="center"/>
      <protection locked="0"/>
    </xf>
    <xf numFmtId="0" fontId="3" fillId="43" borderId="87" xfId="8719" applyFill="1" applyBorder="1" applyAlignment="1" applyProtection="1">
      <alignment horizontal="center"/>
      <protection locked="0"/>
    </xf>
    <xf numFmtId="0" fontId="61" fillId="48" borderId="66" xfId="8719" applyFont="1" applyFill="1" applyBorder="1" applyAlignment="1">
      <alignment horizontal="center"/>
    </xf>
    <xf numFmtId="0" fontId="61" fillId="48" borderId="29" xfId="8719" applyFont="1" applyFill="1" applyBorder="1" applyAlignment="1">
      <alignment horizontal="center"/>
    </xf>
    <xf numFmtId="0" fontId="61" fillId="48" borderId="31" xfId="8719" applyFont="1" applyFill="1" applyBorder="1" applyAlignment="1">
      <alignment horizontal="center"/>
    </xf>
    <xf numFmtId="0" fontId="3" fillId="48" borderId="67" xfId="8719" applyFill="1" applyBorder="1" applyAlignment="1">
      <alignment horizontal="center"/>
    </xf>
    <xf numFmtId="0" fontId="3" fillId="48" borderId="0" xfId="8719" applyFill="1" applyAlignment="1">
      <alignment horizontal="center"/>
    </xf>
    <xf numFmtId="0" fontId="3" fillId="48" borderId="41" xfId="8719" applyFill="1" applyBorder="1" applyAlignment="1">
      <alignment horizontal="center"/>
    </xf>
    <xf numFmtId="0" fontId="20" fillId="48" borderId="67" xfId="8719" applyFont="1" applyFill="1" applyBorder="1" applyAlignment="1">
      <alignment horizontal="center"/>
    </xf>
    <xf numFmtId="0" fontId="20" fillId="48" borderId="0" xfId="8719" applyFont="1" applyFill="1" applyAlignment="1">
      <alignment horizontal="center"/>
    </xf>
    <xf numFmtId="0" fontId="20" fillId="48" borderId="41" xfId="8719" applyFont="1" applyFill="1" applyBorder="1" applyAlignment="1">
      <alignment horizontal="center"/>
    </xf>
    <xf numFmtId="0" fontId="99" fillId="48" borderId="67" xfId="8719" applyFont="1" applyFill="1" applyBorder="1" applyAlignment="1">
      <alignment horizontal="center"/>
    </xf>
    <xf numFmtId="0" fontId="99" fillId="48" borderId="0" xfId="8719" applyFont="1" applyFill="1" applyAlignment="1">
      <alignment horizontal="center"/>
    </xf>
    <xf numFmtId="0" fontId="99" fillId="48" borderId="41" xfId="8719" applyFont="1" applyFill="1" applyBorder="1" applyAlignment="1">
      <alignment horizontal="center"/>
    </xf>
    <xf numFmtId="0" fontId="99" fillId="48" borderId="0" xfId="8719" applyFont="1" applyFill="1" applyAlignment="1">
      <alignment horizontal="left"/>
    </xf>
    <xf numFmtId="182" fontId="148" fillId="44" borderId="75" xfId="700" applyNumberFormat="1" applyFont="1" applyFill="1" applyBorder="1" applyAlignment="1">
      <alignment horizontal="center"/>
    </xf>
    <xf numFmtId="182" fontId="148" fillId="44" borderId="95" xfId="700" applyNumberFormat="1" applyFont="1" applyFill="1" applyBorder="1" applyAlignment="1">
      <alignment horizontal="center"/>
    </xf>
    <xf numFmtId="182" fontId="51" fillId="44" borderId="75" xfId="700" applyNumberFormat="1" applyFont="1" applyFill="1" applyBorder="1" applyAlignment="1" applyProtection="1">
      <alignment horizontal="center"/>
      <protection locked="0"/>
    </xf>
    <xf numFmtId="182" fontId="51" fillId="44" borderId="95" xfId="700" applyNumberFormat="1" applyFont="1" applyFill="1" applyBorder="1" applyAlignment="1" applyProtection="1">
      <alignment horizontal="center"/>
      <protection locked="0"/>
    </xf>
    <xf numFmtId="0" fontId="99" fillId="44" borderId="0" xfId="8719" applyFont="1" applyFill="1" applyAlignment="1">
      <alignment horizontal="left"/>
    </xf>
    <xf numFmtId="0" fontId="3" fillId="43" borderId="68" xfId="8719" applyFill="1" applyBorder="1" applyAlignment="1" applyProtection="1">
      <alignment horizontal="center"/>
      <protection locked="0"/>
    </xf>
    <xf numFmtId="0" fontId="3" fillId="43" borderId="69" xfId="8719" applyFill="1" applyBorder="1" applyAlignment="1" applyProtection="1">
      <alignment horizontal="center"/>
      <protection locked="0"/>
    </xf>
    <xf numFmtId="0" fontId="3" fillId="43" borderId="70" xfId="8719" applyFill="1" applyBorder="1" applyAlignment="1" applyProtection="1">
      <alignment horizontal="center"/>
      <protection locked="0"/>
    </xf>
    <xf numFmtId="0" fontId="20" fillId="44" borderId="0" xfId="8719" applyFont="1" applyFill="1" applyAlignment="1">
      <alignment horizontal="left" vertical="top"/>
    </xf>
    <xf numFmtId="0" fontId="99" fillId="44" borderId="0" xfId="4503" applyFont="1" applyFill="1" applyBorder="1" applyAlignment="1">
      <alignment horizontal="left" vertical="top"/>
    </xf>
    <xf numFmtId="0" fontId="99" fillId="48" borderId="0" xfId="8719" applyFont="1" applyFill="1" applyAlignment="1">
      <alignment horizontal="left" vertical="top" wrapText="1"/>
    </xf>
    <xf numFmtId="0" fontId="99" fillId="48" borderId="42" xfId="8719" applyFont="1" applyFill="1" applyBorder="1" applyAlignment="1">
      <alignment horizontal="center"/>
    </xf>
    <xf numFmtId="0" fontId="95" fillId="0" borderId="74" xfId="8723" applyFont="1" applyBorder="1" applyAlignment="1">
      <alignment horizontal="right"/>
    </xf>
    <xf numFmtId="0" fontId="95" fillId="0" borderId="75" xfId="8723" applyFont="1" applyBorder="1" applyAlignment="1">
      <alignment horizontal="right"/>
    </xf>
    <xf numFmtId="0" fontId="134" fillId="0" borderId="92" xfId="8723" applyFont="1" applyBorder="1" applyAlignment="1">
      <alignment horizontal="center" vertical="top" wrapText="1"/>
    </xf>
    <xf numFmtId="0" fontId="134" fillId="0" borderId="91" xfId="8723" applyFont="1" applyBorder="1" applyAlignment="1">
      <alignment horizontal="center" vertical="top" wrapText="1"/>
    </xf>
    <xf numFmtId="0" fontId="95" fillId="0" borderId="72" xfId="8723" applyFont="1" applyBorder="1"/>
    <xf numFmtId="0" fontId="95" fillId="0" borderId="76" xfId="8723" applyFont="1" applyBorder="1"/>
    <xf numFmtId="0" fontId="95" fillId="0" borderId="11" xfId="8723" applyFont="1" applyBorder="1"/>
    <xf numFmtId="0" fontId="95" fillId="0" borderId="93" xfId="8723" applyFont="1" applyBorder="1"/>
    <xf numFmtId="0" fontId="95" fillId="0" borderId="75" xfId="8723" applyFont="1" applyBorder="1"/>
    <xf numFmtId="0" fontId="95" fillId="0" borderId="95" xfId="8723" applyFont="1" applyBorder="1"/>
    <xf numFmtId="0" fontId="95" fillId="0" borderId="71" xfId="8723" applyFont="1" applyBorder="1" applyAlignment="1">
      <alignment horizontal="right"/>
    </xf>
    <xf numFmtId="0" fontId="95" fillId="0" borderId="72" xfId="8723" applyFont="1" applyBorder="1" applyAlignment="1">
      <alignment horizontal="right"/>
    </xf>
    <xf numFmtId="0" fontId="95" fillId="0" borderId="82" xfId="8723" applyFont="1" applyBorder="1" applyAlignment="1">
      <alignment horizontal="right"/>
    </xf>
    <xf numFmtId="0" fontId="95" fillId="0" borderId="11" xfId="8723" applyFont="1" applyBorder="1" applyAlignment="1">
      <alignment horizontal="right"/>
    </xf>
    <xf numFmtId="0" fontId="95" fillId="0" borderId="15" xfId="8723" applyFont="1" applyBorder="1" applyAlignment="1">
      <alignment horizontal="left" indent="1"/>
    </xf>
    <xf numFmtId="168" fontId="95" fillId="0" borderId="86" xfId="8725" applyNumberFormat="1" applyFont="1" applyFill="1" applyBorder="1" applyAlignment="1" applyProtection="1">
      <alignment horizontal="left" vertical="center" indent="1"/>
    </xf>
    <xf numFmtId="168" fontId="95" fillId="0" borderId="85" xfId="8725" applyNumberFormat="1" applyFont="1" applyFill="1" applyBorder="1" applyAlignment="1" applyProtection="1">
      <alignment horizontal="left" vertical="center" indent="1"/>
    </xf>
    <xf numFmtId="0" fontId="134" fillId="0" borderId="72" xfId="8723" applyFont="1" applyBorder="1" applyAlignment="1">
      <alignment horizontal="left" indent="1"/>
    </xf>
    <xf numFmtId="49" fontId="95" fillId="45" borderId="15" xfId="8723" applyNumberFormat="1" applyFont="1" applyFill="1" applyBorder="1" applyAlignment="1">
      <alignment horizontal="center" vertical="center" wrapText="1"/>
    </xf>
    <xf numFmtId="49" fontId="95" fillId="45" borderId="13" xfId="8723" applyNumberFormat="1" applyFont="1" applyFill="1" applyBorder="1" applyAlignment="1">
      <alignment horizontal="center" vertical="center" wrapText="1"/>
    </xf>
    <xf numFmtId="0" fontId="95" fillId="0" borderId="11" xfId="8723" applyFont="1" applyBorder="1" applyAlignment="1">
      <alignment horizontal="left" indent="1"/>
    </xf>
    <xf numFmtId="49" fontId="133" fillId="3" borderId="0" xfId="1192" applyNumberFormat="1" applyFont="1" applyFill="1" applyAlignment="1">
      <alignment horizontal="center" vertical="center"/>
    </xf>
    <xf numFmtId="0" fontId="134" fillId="45" borderId="3" xfId="8723" applyFont="1" applyFill="1" applyBorder="1" applyAlignment="1">
      <alignment horizontal="center" vertical="center"/>
    </xf>
    <xf numFmtId="0" fontId="134" fillId="45" borderId="4" xfId="8723" applyFont="1" applyFill="1" applyBorder="1" applyAlignment="1">
      <alignment horizontal="center" vertical="center"/>
    </xf>
    <xf numFmtId="0" fontId="134" fillId="45" borderId="5" xfId="8723" applyFont="1" applyFill="1" applyBorder="1" applyAlignment="1">
      <alignment horizontal="center" vertical="center"/>
    </xf>
    <xf numFmtId="9" fontId="134" fillId="45" borderId="3" xfId="8725" applyFont="1" applyFill="1" applyBorder="1" applyAlignment="1" applyProtection="1">
      <alignment horizontal="center" vertical="center"/>
    </xf>
    <xf numFmtId="9" fontId="134" fillId="45" borderId="4" xfId="8725" applyFont="1" applyFill="1" applyBorder="1" applyAlignment="1" applyProtection="1">
      <alignment horizontal="center" vertical="center"/>
    </xf>
    <xf numFmtId="9" fontId="134" fillId="45" borderId="5" xfId="8725" applyFont="1" applyFill="1" applyBorder="1" applyAlignment="1" applyProtection="1">
      <alignment horizontal="center" vertical="center"/>
    </xf>
    <xf numFmtId="168" fontId="95" fillId="0" borderId="11" xfId="8725" applyNumberFormat="1" applyFont="1" applyFill="1" applyBorder="1" applyAlignment="1" applyProtection="1">
      <alignment horizontal="left" vertical="center" indent="1"/>
    </xf>
    <xf numFmtId="168" fontId="95" fillId="0" borderId="13" xfId="8725" applyNumberFormat="1" applyFont="1" applyFill="1" applyBorder="1" applyAlignment="1" applyProtection="1">
      <alignment horizontal="left" vertical="center" indent="1"/>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ill="1" applyBorder="1" applyAlignment="1">
      <alignment horizontal="center"/>
    </xf>
    <xf numFmtId="168" fontId="13" fillId="0" borderId="11" xfId="569" applyNumberFormat="1" applyFill="1" applyBorder="1" applyAlignment="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79" fontId="20" fillId="0" borderId="0" xfId="569"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69" applyNumberFormat="1" applyFont="1" applyFill="1" applyBorder="1" applyAlignment="1" applyProtection="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50" fillId="0" borderId="0" xfId="569" applyFont="1" applyBorder="1" applyAlignment="1">
      <alignment horizontal="lef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0" fontId="21" fillId="5" borderId="4" xfId="569" applyFont="1" applyFill="1" applyBorder="1" applyAlignment="1" applyProtection="1">
      <alignment horizontal="left"/>
      <protection locked="0"/>
    </xf>
    <xf numFmtId="0" fontId="21" fillId="5" borderId="5" xfId="569" applyFont="1" applyFill="1" applyBorder="1" applyAlignment="1" applyProtection="1">
      <alignment horizontal="left"/>
      <protection locked="0"/>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0" borderId="11" xfId="569" applyNumberFormat="1" applyFill="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Border="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Fill="1" applyBorder="1" applyAlignment="1" applyProtection="1">
      <alignment horizontal="center"/>
      <protection locked="0"/>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0" fontId="104" fillId="0" borderId="0" xfId="0" applyFont="1" applyFill="1" applyBorder="1" applyAlignment="1">
      <alignment horizontal="left" vertical="top"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8" fillId="0" borderId="6" xfId="271" applyFont="1" applyBorder="1" applyAlignment="1" applyProtection="1">
      <alignment horizontal="center"/>
    </xf>
  </cellXfs>
  <cellStyles count="25588">
    <cellStyle name="20% - Accent1" xfId="1" builtinId="30" customBuiltin="1"/>
    <cellStyle name="20% - Accent1 10" xfId="4505" xr:uid="{00000000-0005-0000-0000-000001000000}"/>
    <cellStyle name="20% - Accent1 10 2" xfId="21377" xr:uid="{F3A6B631-9188-44F6-918F-D1031CC6B4DF}"/>
    <cellStyle name="20% - Accent1 10 3" xfId="12943" xr:uid="{6E19BB5F-7A2A-4E86-8E27-CB62110B463A}"/>
    <cellStyle name="20% - Accent1 11" xfId="17160" xr:uid="{BDEB2FD0-5E18-45DF-A9C0-DE711F5608F1}"/>
    <cellStyle name="20% - Accent1 12" xfId="8726" xr:uid="{FF5FE2AB-3976-4DCC-A6AE-D6399D80CF9B}"/>
    <cellStyle name="20% - Accent1 2" xfId="2" xr:uid="{00000000-0005-0000-0000-000002000000}"/>
    <cellStyle name="20% - Accent1 2 10" xfId="17161" xr:uid="{7C005094-0DD3-4BF4-8396-29CAD0B6D7B1}"/>
    <cellStyle name="20% - Accent1 2 11" xfId="8727" xr:uid="{102145FD-D5CC-4107-98A7-5F80A58567F8}"/>
    <cellStyle name="20% - Accent1 2 2" xfId="3" xr:uid="{00000000-0005-0000-0000-000003000000}"/>
    <cellStyle name="20% - Accent1 2 2 10" xfId="8728" xr:uid="{D7525189-B227-4435-B92A-CFDF438B498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23939" xr:uid="{3F0BAAC5-2074-459E-86AE-DB108D5A2D13}"/>
    <cellStyle name="20% - Accent1 2 2 2 2 2 2 3" xfId="15505" xr:uid="{ECED7F93-3250-4BBB-A68D-9AB609EF2428}"/>
    <cellStyle name="20% - Accent1 2 2 2 2 2 3" xfId="19722" xr:uid="{292D85C1-44E3-4B98-9389-88C09F178A6F}"/>
    <cellStyle name="20% - Accent1 2 2 2 2 2 4" xfId="11288" xr:uid="{8806EC2D-3133-476B-AFE9-D5D752DE19CC}"/>
    <cellStyle name="20% - Accent1 2 2 2 2 3" xfId="4922" xr:uid="{00000000-0005-0000-0000-000008000000}"/>
    <cellStyle name="20% - Accent1 2 2 2 2 3 2" xfId="21794" xr:uid="{EDF203A2-AC09-4A25-B60F-520814EB48B9}"/>
    <cellStyle name="20% - Accent1 2 2 2 2 3 3" xfId="13360" xr:uid="{319F87F8-3CF4-4E13-8A97-A6ACD1D357AF}"/>
    <cellStyle name="20% - Accent1 2 2 2 2 4" xfId="17577" xr:uid="{0CCA34A6-C6F0-46EF-9412-E94F5F882CBC}"/>
    <cellStyle name="20% - Accent1 2 2 2 2 5" xfId="9143" xr:uid="{DD431922-115A-4B9E-9AF8-7D8AA742CB81}"/>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24352" xr:uid="{35A3B65A-9363-45E9-9C42-E59683C6F708}"/>
    <cellStyle name="20% - Accent1 2 2 2 3 2 2 3" xfId="15918" xr:uid="{64D6C0D0-F982-4513-A2D5-584E2FE0CA89}"/>
    <cellStyle name="20% - Accent1 2 2 2 3 2 3" xfId="20135" xr:uid="{A0556E21-1534-4BFB-9735-842B6DB01732}"/>
    <cellStyle name="20% - Accent1 2 2 2 3 2 4" xfId="11701" xr:uid="{7E057C6D-F677-4408-9F25-608F30579CDE}"/>
    <cellStyle name="20% - Accent1 2 2 2 3 3" xfId="5335" xr:uid="{00000000-0005-0000-0000-00000C000000}"/>
    <cellStyle name="20% - Accent1 2 2 2 3 3 2" xfId="22207" xr:uid="{24F95E75-5545-441D-A30A-A84215B7071A}"/>
    <cellStyle name="20% - Accent1 2 2 2 3 3 3" xfId="13773" xr:uid="{D09C42D3-69FB-4FE7-8F30-ACD97870E960}"/>
    <cellStyle name="20% - Accent1 2 2 2 3 4" xfId="17990" xr:uid="{A25CE2FF-4D5E-4E6D-A268-2557FB8AF59D}"/>
    <cellStyle name="20% - Accent1 2 2 2 3 5" xfId="9556" xr:uid="{8CB39C93-970F-4206-8F56-0B5C26E62DD4}"/>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24765" xr:uid="{9885F6C6-BE02-4D47-9EAB-50CB33228B2A}"/>
    <cellStyle name="20% - Accent1 2 2 2 4 2 2 3" xfId="16331" xr:uid="{E462508A-DAD1-4092-A7D8-CA4BA344FE61}"/>
    <cellStyle name="20% - Accent1 2 2 2 4 2 3" xfId="20548" xr:uid="{6485A66B-8EBA-4506-ADE6-DD95EDBB2841}"/>
    <cellStyle name="20% - Accent1 2 2 2 4 2 4" xfId="12114" xr:uid="{6276CA99-4334-4A80-BEDD-0E0B24074A73}"/>
    <cellStyle name="20% - Accent1 2 2 2 4 3" xfId="5748" xr:uid="{00000000-0005-0000-0000-000010000000}"/>
    <cellStyle name="20% - Accent1 2 2 2 4 3 2" xfId="22620" xr:uid="{64FD8E44-5AB6-41BD-84FB-E6B9A829949E}"/>
    <cellStyle name="20% - Accent1 2 2 2 4 3 3" xfId="14186" xr:uid="{B3B83111-D345-4131-ADD3-A20D4D001B82}"/>
    <cellStyle name="20% - Accent1 2 2 2 4 4" xfId="18403" xr:uid="{16AE2DA0-370A-4FC9-BB00-27A7775A50BA}"/>
    <cellStyle name="20% - Accent1 2 2 2 4 5" xfId="9969" xr:uid="{0AD2509D-D480-4E16-A483-4A6D05D2FC8A}"/>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25178" xr:uid="{A22A7A7F-79AD-4EE3-9A97-88933D123135}"/>
    <cellStyle name="20% - Accent1 2 2 2 5 2 2 3" xfId="16744" xr:uid="{00A2CC28-1CE8-4168-BC27-4BDA18B182A2}"/>
    <cellStyle name="20% - Accent1 2 2 2 5 2 3" xfId="20961" xr:uid="{241CF514-FD0D-4A49-A050-D872C38DDE4A}"/>
    <cellStyle name="20% - Accent1 2 2 2 5 2 4" xfId="12527" xr:uid="{48F29B5F-5359-4CD0-8E47-E25D40737F08}"/>
    <cellStyle name="20% - Accent1 2 2 2 5 3" xfId="6161" xr:uid="{00000000-0005-0000-0000-000014000000}"/>
    <cellStyle name="20% - Accent1 2 2 2 5 3 2" xfId="23033" xr:uid="{8B3DB9DA-1F13-4BDF-B9BB-62F5E7BC49BE}"/>
    <cellStyle name="20% - Accent1 2 2 2 5 3 3" xfId="14599" xr:uid="{F9CF0949-09B6-4B9E-980D-143390BC3F6D}"/>
    <cellStyle name="20% - Accent1 2 2 2 5 4" xfId="18816" xr:uid="{CD8C1094-2A43-4449-B4AE-7D057443F76D}"/>
    <cellStyle name="20% - Accent1 2 2 2 5 5" xfId="10382" xr:uid="{84602350-6BAE-4C22-8788-28AA9C17A238}"/>
    <cellStyle name="20% - Accent1 2 2 2 6" xfId="2267" xr:uid="{00000000-0005-0000-0000-000015000000}"/>
    <cellStyle name="20% - Accent1 2 2 2 6 2" xfId="6574" xr:uid="{00000000-0005-0000-0000-000016000000}"/>
    <cellStyle name="20% - Accent1 2 2 2 6 2 2" xfId="23446" xr:uid="{EB6239CD-F716-475A-B451-D03FF94FC983}"/>
    <cellStyle name="20% - Accent1 2 2 2 6 2 3" xfId="15012" xr:uid="{D8EFD01A-7201-483F-836F-61E27A4264AF}"/>
    <cellStyle name="20% - Accent1 2 2 2 6 3" xfId="19229" xr:uid="{F58AFB11-F6ED-4DB5-84B0-4958B6FA93A7}"/>
    <cellStyle name="20% - Accent1 2 2 2 6 4" xfId="10795" xr:uid="{92754886-55EE-4624-986F-55DD8F3CA4AE}"/>
    <cellStyle name="20% - Accent1 2 2 2 7" xfId="4508" xr:uid="{00000000-0005-0000-0000-000017000000}"/>
    <cellStyle name="20% - Accent1 2 2 2 7 2" xfId="21380" xr:uid="{AF0CA947-A143-4366-B3B4-6B6FCD5CA290}"/>
    <cellStyle name="20% - Accent1 2 2 2 7 3" xfId="12946" xr:uid="{764B77BD-1209-4CA4-AF3C-7A3063210349}"/>
    <cellStyle name="20% - Accent1 2 2 2 8" xfId="17163" xr:uid="{530C2346-BC7F-4AC6-93B2-D853DACB96CF}"/>
    <cellStyle name="20% - Accent1 2 2 2 9" xfId="8729" xr:uid="{FD527DBD-687B-463E-84B7-8CF4A0326B31}"/>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23938" xr:uid="{1EB0C1A6-354E-4506-B899-1D4EE0BEA206}"/>
    <cellStyle name="20% - Accent1 2 2 3 2 2 3" xfId="15504" xr:uid="{5EE73503-0EC4-479B-8F14-2A834C71F0AA}"/>
    <cellStyle name="20% - Accent1 2 2 3 2 3" xfId="19721" xr:uid="{6696EDAB-AF4E-4FA2-9F81-D32163264A3E}"/>
    <cellStyle name="20% - Accent1 2 2 3 2 4" xfId="11287" xr:uid="{DF2E5538-610E-4094-A88A-655592FAB2FD}"/>
    <cellStyle name="20% - Accent1 2 2 3 3" xfId="4921" xr:uid="{00000000-0005-0000-0000-00001B000000}"/>
    <cellStyle name="20% - Accent1 2 2 3 3 2" xfId="21793" xr:uid="{482EE54B-FE61-4079-B42D-6A84D43F0EC0}"/>
    <cellStyle name="20% - Accent1 2 2 3 3 3" xfId="13359" xr:uid="{0B19B7A6-4E0F-4344-98F1-5F450ECC54C2}"/>
    <cellStyle name="20% - Accent1 2 2 3 4" xfId="17576" xr:uid="{A8E89814-77AD-459B-A053-537EEB85BAE8}"/>
    <cellStyle name="20% - Accent1 2 2 3 5" xfId="9142" xr:uid="{AB123F75-5687-46AD-8F77-F4DAAF5E5659}"/>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24351" xr:uid="{66471483-068C-405C-AEE3-7C96CDAE887A}"/>
    <cellStyle name="20% - Accent1 2 2 4 2 2 3" xfId="15917" xr:uid="{2339E25C-0AE7-49B7-A392-C41D9B201F24}"/>
    <cellStyle name="20% - Accent1 2 2 4 2 3" xfId="20134" xr:uid="{DE842AEA-D57E-4E9D-8F67-6D1EDD45B2CD}"/>
    <cellStyle name="20% - Accent1 2 2 4 2 4" xfId="11700" xr:uid="{D0D5F446-8507-42E4-9F56-C56680A4AD9B}"/>
    <cellStyle name="20% - Accent1 2 2 4 3" xfId="5334" xr:uid="{00000000-0005-0000-0000-00001F000000}"/>
    <cellStyle name="20% - Accent1 2 2 4 3 2" xfId="22206" xr:uid="{4ABFCA3D-C961-4024-B610-93AA045082BB}"/>
    <cellStyle name="20% - Accent1 2 2 4 3 3" xfId="13772" xr:uid="{937A6BD3-50BE-447C-9761-22240C17FA71}"/>
    <cellStyle name="20% - Accent1 2 2 4 4" xfId="17989" xr:uid="{3CE45F8D-49B1-49DB-B87C-1EBB5833B103}"/>
    <cellStyle name="20% - Accent1 2 2 4 5" xfId="9555" xr:uid="{19076C34-3758-4F6D-97DB-E8C4652FA79D}"/>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24764" xr:uid="{AA7F126E-2BF5-4662-9E33-4551B997BA29}"/>
    <cellStyle name="20% - Accent1 2 2 5 2 2 3" xfId="16330" xr:uid="{9475427D-455E-4930-8908-757BBBCD64D3}"/>
    <cellStyle name="20% - Accent1 2 2 5 2 3" xfId="20547" xr:uid="{E1EA7AA1-7D7E-457C-ADE7-2AA1F82AC98E}"/>
    <cellStyle name="20% - Accent1 2 2 5 2 4" xfId="12113" xr:uid="{54DC9430-6554-45AC-919E-26E7110CB6F0}"/>
    <cellStyle name="20% - Accent1 2 2 5 3" xfId="5747" xr:uid="{00000000-0005-0000-0000-000023000000}"/>
    <cellStyle name="20% - Accent1 2 2 5 3 2" xfId="22619" xr:uid="{FB8578B8-ECBA-4ADA-9404-AB6FF72F686B}"/>
    <cellStyle name="20% - Accent1 2 2 5 3 3" xfId="14185" xr:uid="{A76430C8-50A5-4D68-8F8F-D8F82B0BAEC2}"/>
    <cellStyle name="20% - Accent1 2 2 5 4" xfId="18402" xr:uid="{A0923188-945B-4B12-B1E2-BB8662669A44}"/>
    <cellStyle name="20% - Accent1 2 2 5 5" xfId="9968" xr:uid="{8BFB9A30-8FB6-45A3-99C0-0560C4271B23}"/>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25177" xr:uid="{4AD5D396-4430-49AF-96E4-47E196EC5752}"/>
    <cellStyle name="20% - Accent1 2 2 6 2 2 3" xfId="16743" xr:uid="{F1AE5C95-3F5A-439B-A1CB-1942F4842966}"/>
    <cellStyle name="20% - Accent1 2 2 6 2 3" xfId="20960" xr:uid="{109E1C1F-D44C-4BBF-B580-19ACB409920C}"/>
    <cellStyle name="20% - Accent1 2 2 6 2 4" xfId="12526" xr:uid="{91035BCF-2CD0-405F-ADA8-3A574E8DCA21}"/>
    <cellStyle name="20% - Accent1 2 2 6 3" xfId="6160" xr:uid="{00000000-0005-0000-0000-000027000000}"/>
    <cellStyle name="20% - Accent1 2 2 6 3 2" xfId="23032" xr:uid="{ACCF6AA1-ECB2-4CAE-96DF-39D7B6945F70}"/>
    <cellStyle name="20% - Accent1 2 2 6 3 3" xfId="14598" xr:uid="{82889751-BF44-402B-B8D4-BE808760BB25}"/>
    <cellStyle name="20% - Accent1 2 2 6 4" xfId="18815" xr:uid="{550F66B7-D69A-4AA7-8FFA-E181D76F3FDB}"/>
    <cellStyle name="20% - Accent1 2 2 6 5" xfId="10381" xr:uid="{16A1DCE0-645F-4A92-BC15-36E77B0AA96C}"/>
    <cellStyle name="20% - Accent1 2 2 7" xfId="2266" xr:uid="{00000000-0005-0000-0000-000028000000}"/>
    <cellStyle name="20% - Accent1 2 2 7 2" xfId="6573" xr:uid="{00000000-0005-0000-0000-000029000000}"/>
    <cellStyle name="20% - Accent1 2 2 7 2 2" xfId="23445" xr:uid="{007CA484-BD4B-4246-A75A-9F11D9EABCE1}"/>
    <cellStyle name="20% - Accent1 2 2 7 2 3" xfId="15011" xr:uid="{351556E4-2A6C-481F-B90F-A3FEDD4A01E8}"/>
    <cellStyle name="20% - Accent1 2 2 7 3" xfId="19228" xr:uid="{EEEFBB4A-5CB8-4637-9609-6FC8131847D5}"/>
    <cellStyle name="20% - Accent1 2 2 7 4" xfId="10794" xr:uid="{D542F609-1A83-42B1-95AE-59AC37F9B106}"/>
    <cellStyle name="20% - Accent1 2 2 8" xfId="4507" xr:uid="{00000000-0005-0000-0000-00002A000000}"/>
    <cellStyle name="20% - Accent1 2 2 8 2" xfId="21379" xr:uid="{85D51E62-1214-4FBE-9DCE-2FE223FD457B}"/>
    <cellStyle name="20% - Accent1 2 2 8 3" xfId="12945" xr:uid="{C69C85F8-B6DB-4BEC-9112-F460D21B0977}"/>
    <cellStyle name="20% - Accent1 2 2 9" xfId="17162" xr:uid="{A7A9CFCD-7A52-485A-B5FB-962C1FD627A1}"/>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23940" xr:uid="{4DE8D2A2-E103-42F3-9CAC-2468E13706CD}"/>
    <cellStyle name="20% - Accent1 2 3 2 2 2 3" xfId="15506" xr:uid="{A5CAA7DF-7C27-45F0-9EC8-B41F0C5EE87D}"/>
    <cellStyle name="20% - Accent1 2 3 2 2 3" xfId="19723" xr:uid="{B8BFF62C-ED38-4A19-8059-167E02291170}"/>
    <cellStyle name="20% - Accent1 2 3 2 2 4" xfId="11289" xr:uid="{7D32B774-F2B6-4A5B-BC8E-42F39225D81C}"/>
    <cellStyle name="20% - Accent1 2 3 2 3" xfId="4923" xr:uid="{00000000-0005-0000-0000-00002F000000}"/>
    <cellStyle name="20% - Accent1 2 3 2 3 2" xfId="21795" xr:uid="{534AAA2A-226E-4612-A05F-4FAD8F51692F}"/>
    <cellStyle name="20% - Accent1 2 3 2 3 3" xfId="13361" xr:uid="{574E75CD-D40F-4709-81D2-8BF90CD6B7A4}"/>
    <cellStyle name="20% - Accent1 2 3 2 4" xfId="17578" xr:uid="{ED18E669-E0ED-4F6C-A140-32C1F8F06D1E}"/>
    <cellStyle name="20% - Accent1 2 3 2 5" xfId="9144" xr:uid="{B34B10C2-1323-4C60-A4A4-1C25723D0032}"/>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24353" xr:uid="{9C4319E6-457B-4B68-B518-E6AD6676C372}"/>
    <cellStyle name="20% - Accent1 2 3 3 2 2 3" xfId="15919" xr:uid="{9A6C333B-DBDC-40B6-9BF1-F741D21E933E}"/>
    <cellStyle name="20% - Accent1 2 3 3 2 3" xfId="20136" xr:uid="{D0853083-FAAA-451B-888C-C11A355ED574}"/>
    <cellStyle name="20% - Accent1 2 3 3 2 4" xfId="11702" xr:uid="{0B7B9666-0E76-436D-96BD-945986CC39DD}"/>
    <cellStyle name="20% - Accent1 2 3 3 3" xfId="5336" xr:uid="{00000000-0005-0000-0000-000033000000}"/>
    <cellStyle name="20% - Accent1 2 3 3 3 2" xfId="22208" xr:uid="{5731E6E5-DF09-442C-8289-0DC2B862E5F0}"/>
    <cellStyle name="20% - Accent1 2 3 3 3 3" xfId="13774" xr:uid="{728F1959-E501-4DAF-81D1-282D7A6079D0}"/>
    <cellStyle name="20% - Accent1 2 3 3 4" xfId="17991" xr:uid="{BA295591-7344-4C19-A9D3-5C17754FBFFC}"/>
    <cellStyle name="20% - Accent1 2 3 3 5" xfId="9557" xr:uid="{BA2D82DB-AD0A-486D-B195-54391F7D8699}"/>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24766" xr:uid="{96EBB558-631D-4365-884A-2D047B1A4A60}"/>
    <cellStyle name="20% - Accent1 2 3 4 2 2 3" xfId="16332" xr:uid="{E407F249-18A2-49B6-828F-E0D2D7CAD2CF}"/>
    <cellStyle name="20% - Accent1 2 3 4 2 3" xfId="20549" xr:uid="{092DAA3E-F8A0-4BC9-AB8B-E44366D68F4B}"/>
    <cellStyle name="20% - Accent1 2 3 4 2 4" xfId="12115" xr:uid="{22F81062-AFB6-41B0-A565-4A4557E2EC74}"/>
    <cellStyle name="20% - Accent1 2 3 4 3" xfId="5749" xr:uid="{00000000-0005-0000-0000-000037000000}"/>
    <cellStyle name="20% - Accent1 2 3 4 3 2" xfId="22621" xr:uid="{85624617-34A9-4CED-91A7-9C3956FF0F59}"/>
    <cellStyle name="20% - Accent1 2 3 4 3 3" xfId="14187" xr:uid="{E22E674F-F6CF-4232-8172-449E496F06BC}"/>
    <cellStyle name="20% - Accent1 2 3 4 4" xfId="18404" xr:uid="{8729FA92-F153-40C5-9CA7-B8D0EBA7D138}"/>
    <cellStyle name="20% - Accent1 2 3 4 5" xfId="9970" xr:uid="{2289A294-6449-4A6B-8387-FE448F75E327}"/>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25179" xr:uid="{84E9EC3A-9CE8-4015-8FF1-8B444CF562B0}"/>
    <cellStyle name="20% - Accent1 2 3 5 2 2 3" xfId="16745" xr:uid="{70B90D01-FFCA-4002-8412-116FBCF40368}"/>
    <cellStyle name="20% - Accent1 2 3 5 2 3" xfId="20962" xr:uid="{8B4BF283-0620-4C25-A7F9-A2EA53F4C803}"/>
    <cellStyle name="20% - Accent1 2 3 5 2 4" xfId="12528" xr:uid="{7B21D0C9-5B37-4B42-806C-1830C4A24F1F}"/>
    <cellStyle name="20% - Accent1 2 3 5 3" xfId="6162" xr:uid="{00000000-0005-0000-0000-00003B000000}"/>
    <cellStyle name="20% - Accent1 2 3 5 3 2" xfId="23034" xr:uid="{E4FF84A8-FF73-4ED4-9262-DF65A1D71F81}"/>
    <cellStyle name="20% - Accent1 2 3 5 3 3" xfId="14600" xr:uid="{7FDABD4E-394B-4DC3-8AF2-09AF227FF53D}"/>
    <cellStyle name="20% - Accent1 2 3 5 4" xfId="18817" xr:uid="{EC579F63-E71C-4823-874B-EF071B524B5E}"/>
    <cellStyle name="20% - Accent1 2 3 5 5" xfId="10383" xr:uid="{090A45AF-0399-4915-8B50-CF9D9FF17CF0}"/>
    <cellStyle name="20% - Accent1 2 3 6" xfId="2268" xr:uid="{00000000-0005-0000-0000-00003C000000}"/>
    <cellStyle name="20% - Accent1 2 3 6 2" xfId="6575" xr:uid="{00000000-0005-0000-0000-00003D000000}"/>
    <cellStyle name="20% - Accent1 2 3 6 2 2" xfId="23447" xr:uid="{22028AAD-B795-401A-B821-AFBC707ACC68}"/>
    <cellStyle name="20% - Accent1 2 3 6 2 3" xfId="15013" xr:uid="{E89ADB92-2B5C-44A6-A3A7-A6DD90DE71D0}"/>
    <cellStyle name="20% - Accent1 2 3 6 3" xfId="19230" xr:uid="{34258364-0EFC-4AE7-8692-276118B500EA}"/>
    <cellStyle name="20% - Accent1 2 3 6 4" xfId="10796" xr:uid="{425081E1-C000-4CC0-855C-E6A1206F42BB}"/>
    <cellStyle name="20% - Accent1 2 3 7" xfId="4509" xr:uid="{00000000-0005-0000-0000-00003E000000}"/>
    <cellStyle name="20% - Accent1 2 3 7 2" xfId="21381" xr:uid="{6923E8F2-6CAA-461F-BD1C-1E19A3758BB6}"/>
    <cellStyle name="20% - Accent1 2 3 7 3" xfId="12947" xr:uid="{11FBE448-7434-4E8C-83BC-930E3915E52A}"/>
    <cellStyle name="20% - Accent1 2 3 8" xfId="17164" xr:uid="{72E465B7-617D-4A4F-AEC2-CE594A7EE3B3}"/>
    <cellStyle name="20% - Accent1 2 3 9" xfId="8730" xr:uid="{3F7BCCD9-B061-497D-B04B-E4D642DC5E98}"/>
    <cellStyle name="20% - Accent1 2 4" xfId="571" xr:uid="{00000000-0005-0000-0000-00003F000000}"/>
    <cellStyle name="20% - Accent1 2 4 2" xfId="2842" xr:uid="{00000000-0005-0000-0000-000040000000}"/>
    <cellStyle name="20% - Accent1 2 4 2 2" xfId="7065" xr:uid="{00000000-0005-0000-0000-000041000000}"/>
    <cellStyle name="20% - Accent1 2 4 2 2 2" xfId="23937" xr:uid="{326247EF-B314-4DDE-9046-41731742C706}"/>
    <cellStyle name="20% - Accent1 2 4 2 2 3" xfId="15503" xr:uid="{6EF220FF-24BB-4BE9-892D-022C3AFB8B62}"/>
    <cellStyle name="20% - Accent1 2 4 2 3" xfId="19720" xr:uid="{1B995113-A0E9-4C85-8687-2B3B63224BD2}"/>
    <cellStyle name="20% - Accent1 2 4 2 4" xfId="11286" xr:uid="{89D33382-1976-4617-8C57-D8B73480F79A}"/>
    <cellStyle name="20% - Accent1 2 4 3" xfId="4920" xr:uid="{00000000-0005-0000-0000-000042000000}"/>
    <cellStyle name="20% - Accent1 2 4 3 2" xfId="21792" xr:uid="{49E2742E-4D9A-4A8C-BD90-2D6123CEF2B5}"/>
    <cellStyle name="20% - Accent1 2 4 3 3" xfId="13358" xr:uid="{45594D3C-B0BE-4872-A647-70C0A078BF87}"/>
    <cellStyle name="20% - Accent1 2 4 4" xfId="17575" xr:uid="{DA0AF7E2-B256-45B6-B9C9-760B334B1C6B}"/>
    <cellStyle name="20% - Accent1 2 4 5" xfId="9141" xr:uid="{1ACF3D51-0068-4FCD-8E4E-0FA78D2C3EA0}"/>
    <cellStyle name="20% - Accent1 2 5" xfId="1024" xr:uid="{00000000-0005-0000-0000-000043000000}"/>
    <cellStyle name="20% - Accent1 2 5 2" xfId="3255" xr:uid="{00000000-0005-0000-0000-000044000000}"/>
    <cellStyle name="20% - Accent1 2 5 2 2" xfId="7478" xr:uid="{00000000-0005-0000-0000-000045000000}"/>
    <cellStyle name="20% - Accent1 2 5 2 2 2" xfId="24350" xr:uid="{56D56511-4C98-499E-BDD7-E65EEB03CD23}"/>
    <cellStyle name="20% - Accent1 2 5 2 2 3" xfId="15916" xr:uid="{9804501C-BCFF-4AB4-8312-60849A5B841F}"/>
    <cellStyle name="20% - Accent1 2 5 2 3" xfId="20133" xr:uid="{F0B873FA-805C-4C36-BD2C-A061B46ACD4D}"/>
    <cellStyle name="20% - Accent1 2 5 2 4" xfId="11699" xr:uid="{2493955B-BF0F-4457-A559-E948385D5651}"/>
    <cellStyle name="20% - Accent1 2 5 3" xfId="5333" xr:uid="{00000000-0005-0000-0000-000046000000}"/>
    <cellStyle name="20% - Accent1 2 5 3 2" xfId="22205" xr:uid="{CBF0FCC6-FD59-4043-A03F-1FAEE5C160BD}"/>
    <cellStyle name="20% - Accent1 2 5 3 3" xfId="13771" xr:uid="{1C92C3C5-98E6-4049-901D-D9804B7E2A1D}"/>
    <cellStyle name="20% - Accent1 2 5 4" xfId="17988" xr:uid="{A902A3F7-2A51-4E4F-91C5-33031B182800}"/>
    <cellStyle name="20% - Accent1 2 5 5" xfId="9554" xr:uid="{B3DD73DA-7673-4DE5-9612-153B352EF919}"/>
    <cellStyle name="20% - Accent1 2 6" xfId="1438" xr:uid="{00000000-0005-0000-0000-000047000000}"/>
    <cellStyle name="20% - Accent1 2 6 2" xfId="3668" xr:uid="{00000000-0005-0000-0000-000048000000}"/>
    <cellStyle name="20% - Accent1 2 6 2 2" xfId="7891" xr:uid="{00000000-0005-0000-0000-000049000000}"/>
    <cellStyle name="20% - Accent1 2 6 2 2 2" xfId="24763" xr:uid="{C86511D8-A315-48C9-9C50-AEF835EF9A88}"/>
    <cellStyle name="20% - Accent1 2 6 2 2 3" xfId="16329" xr:uid="{791AA537-C67C-4566-A5BB-07448B34F003}"/>
    <cellStyle name="20% - Accent1 2 6 2 3" xfId="20546" xr:uid="{42F2FFDA-698A-452F-A046-86DEA18A828E}"/>
    <cellStyle name="20% - Accent1 2 6 2 4" xfId="12112" xr:uid="{C9E86A0C-B4FC-4A12-A8CB-12F4E4415D44}"/>
    <cellStyle name="20% - Accent1 2 6 3" xfId="5746" xr:uid="{00000000-0005-0000-0000-00004A000000}"/>
    <cellStyle name="20% - Accent1 2 6 3 2" xfId="22618" xr:uid="{C59D6C04-F112-4B2B-9274-5CC93A8F22A5}"/>
    <cellStyle name="20% - Accent1 2 6 3 3" xfId="14184" xr:uid="{53D8A196-CBE2-4646-962C-DEAF8DEA9595}"/>
    <cellStyle name="20% - Accent1 2 6 4" xfId="18401" xr:uid="{6E53B18F-CF96-416D-8AE1-45021CD3C73F}"/>
    <cellStyle name="20% - Accent1 2 6 5" xfId="9967" xr:uid="{5D2346BC-59DC-46F6-AC82-B5D64519803F}"/>
    <cellStyle name="20% - Accent1 2 7" xfId="1852" xr:uid="{00000000-0005-0000-0000-00004B000000}"/>
    <cellStyle name="20% - Accent1 2 7 2" xfId="4081" xr:uid="{00000000-0005-0000-0000-00004C000000}"/>
    <cellStyle name="20% - Accent1 2 7 2 2" xfId="8304" xr:uid="{00000000-0005-0000-0000-00004D000000}"/>
    <cellStyle name="20% - Accent1 2 7 2 2 2" xfId="25176" xr:uid="{E34E6BF3-2148-4D1C-9967-DDF5FEBFDF2B}"/>
    <cellStyle name="20% - Accent1 2 7 2 2 3" xfId="16742" xr:uid="{3C5DE2C9-8C60-470A-AA56-D3AEDE90B5A4}"/>
    <cellStyle name="20% - Accent1 2 7 2 3" xfId="20959" xr:uid="{98EE8938-925D-4A6D-9122-8228D4B20C48}"/>
    <cellStyle name="20% - Accent1 2 7 2 4" xfId="12525" xr:uid="{6825C957-7674-4760-B4B9-38A2E819C6F7}"/>
    <cellStyle name="20% - Accent1 2 7 3" xfId="6159" xr:uid="{00000000-0005-0000-0000-00004E000000}"/>
    <cellStyle name="20% - Accent1 2 7 3 2" xfId="23031" xr:uid="{202CA9D8-C1E2-4082-B004-D379A3ABA01D}"/>
    <cellStyle name="20% - Accent1 2 7 3 3" xfId="14597" xr:uid="{60608829-882F-4E99-9102-EA3D82843426}"/>
    <cellStyle name="20% - Accent1 2 7 4" xfId="18814" xr:uid="{FEF1222E-84E6-4514-A856-06E04D1C4A3C}"/>
    <cellStyle name="20% - Accent1 2 7 5" xfId="10380" xr:uid="{42FB42B5-6BE9-4689-AD05-F3A80CD93020}"/>
    <cellStyle name="20% - Accent1 2 8" xfId="2265" xr:uid="{00000000-0005-0000-0000-00004F000000}"/>
    <cellStyle name="20% - Accent1 2 8 2" xfId="6572" xr:uid="{00000000-0005-0000-0000-000050000000}"/>
    <cellStyle name="20% - Accent1 2 8 2 2" xfId="23444" xr:uid="{847BD2B4-FFF9-4924-9471-95D0C6152AA3}"/>
    <cellStyle name="20% - Accent1 2 8 2 3" xfId="15010" xr:uid="{720309ED-0621-44FC-A371-4DE6EE7946AF}"/>
    <cellStyle name="20% - Accent1 2 8 3" xfId="19227" xr:uid="{C8BBEAF8-0365-4C84-91F9-664D2228F097}"/>
    <cellStyle name="20% - Accent1 2 8 4" xfId="10793" xr:uid="{0D4D507D-7D52-4EAC-B481-A0A1FD1CFB8E}"/>
    <cellStyle name="20% - Accent1 2 9" xfId="4506" xr:uid="{00000000-0005-0000-0000-000051000000}"/>
    <cellStyle name="20% - Accent1 2 9 2" xfId="21378" xr:uid="{B42F563C-E122-4669-BDB4-BAF8947FC379}"/>
    <cellStyle name="20% - Accent1 2 9 3" xfId="12944" xr:uid="{178B0596-7154-44D6-A07C-2D88B56E9E81}"/>
    <cellStyle name="20% - Accent1 3" xfId="6" xr:uid="{00000000-0005-0000-0000-000052000000}"/>
    <cellStyle name="20% - Accent1 3 10" xfId="8731" xr:uid="{DB63DF0A-2C1B-4469-8F97-4C39E0000768}"/>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23942" xr:uid="{D0143883-28B1-4A5F-84EC-1359EB07FB95}"/>
    <cellStyle name="20% - Accent1 3 2 2 2 2 3" xfId="15508" xr:uid="{039FF30A-14B2-4002-838E-BC72DF666123}"/>
    <cellStyle name="20% - Accent1 3 2 2 2 3" xfId="19725" xr:uid="{3D3ABA6B-584D-490A-9AE1-937EF2CAE4AC}"/>
    <cellStyle name="20% - Accent1 3 2 2 2 4" xfId="11291" xr:uid="{E6F5F28D-CCBA-4B25-8369-E8776A252790}"/>
    <cellStyle name="20% - Accent1 3 2 2 3" xfId="4925" xr:uid="{00000000-0005-0000-0000-000057000000}"/>
    <cellStyle name="20% - Accent1 3 2 2 3 2" xfId="21797" xr:uid="{71FCE031-C985-40AB-A688-DDBF91F90CFD}"/>
    <cellStyle name="20% - Accent1 3 2 2 3 3" xfId="13363" xr:uid="{E7D72D9A-14D1-4FF2-A8AC-254E3AA31509}"/>
    <cellStyle name="20% - Accent1 3 2 2 4" xfId="17580" xr:uid="{AC2393D0-5F5D-47FD-8B10-CBCAFDF2D9CD}"/>
    <cellStyle name="20% - Accent1 3 2 2 5" xfId="9146" xr:uid="{22B0B23C-EAED-47EC-BAEE-F323ECF06EC8}"/>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24355" xr:uid="{30E5466E-8750-49D7-83E8-A508B03679B4}"/>
    <cellStyle name="20% - Accent1 3 2 3 2 2 3" xfId="15921" xr:uid="{15CFC05B-8B6B-44C1-B49C-47073DFAFEF9}"/>
    <cellStyle name="20% - Accent1 3 2 3 2 3" xfId="20138" xr:uid="{A3734543-7247-4258-8521-B16CE412EA67}"/>
    <cellStyle name="20% - Accent1 3 2 3 2 4" xfId="11704" xr:uid="{31789201-0B4C-4A5E-A0FD-06168CE84184}"/>
    <cellStyle name="20% - Accent1 3 2 3 3" xfId="5338" xr:uid="{00000000-0005-0000-0000-00005B000000}"/>
    <cellStyle name="20% - Accent1 3 2 3 3 2" xfId="22210" xr:uid="{F14EEE17-762F-4073-8CAE-EB92FB8FE855}"/>
    <cellStyle name="20% - Accent1 3 2 3 3 3" xfId="13776" xr:uid="{C4D6E6F1-BB52-48DD-91F3-0B12F751C942}"/>
    <cellStyle name="20% - Accent1 3 2 3 4" xfId="17993" xr:uid="{BB3004CA-1FB2-402A-8E4B-E35D2FF08E55}"/>
    <cellStyle name="20% - Accent1 3 2 3 5" xfId="9559" xr:uid="{962B2D8F-D42B-420C-A393-45A14415939B}"/>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24768" xr:uid="{4EF6C169-281F-4F32-9FEE-37CF6101D830}"/>
    <cellStyle name="20% - Accent1 3 2 4 2 2 3" xfId="16334" xr:uid="{A170900B-33F3-4AD5-BEA7-9EE16E8EFC7A}"/>
    <cellStyle name="20% - Accent1 3 2 4 2 3" xfId="20551" xr:uid="{06A51DF7-CC6C-42F2-9274-77FC994AC5EA}"/>
    <cellStyle name="20% - Accent1 3 2 4 2 4" xfId="12117" xr:uid="{D3BE6A34-29D7-4431-912B-5532EB05EA2A}"/>
    <cellStyle name="20% - Accent1 3 2 4 3" xfId="5751" xr:uid="{00000000-0005-0000-0000-00005F000000}"/>
    <cellStyle name="20% - Accent1 3 2 4 3 2" xfId="22623" xr:uid="{EA09FAE1-9F54-4857-A356-9D7FA0A5505D}"/>
    <cellStyle name="20% - Accent1 3 2 4 3 3" xfId="14189" xr:uid="{2D069363-F091-4248-A8D8-B2A7A69D6EC0}"/>
    <cellStyle name="20% - Accent1 3 2 4 4" xfId="18406" xr:uid="{6647814E-1D84-43CF-BB0F-37371495E40D}"/>
    <cellStyle name="20% - Accent1 3 2 4 5" xfId="9972" xr:uid="{B41463DB-DF7D-4F41-A8B5-F3D47A4A40F2}"/>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25181" xr:uid="{7519C43A-7266-4B4C-997A-8BE8A272B364}"/>
    <cellStyle name="20% - Accent1 3 2 5 2 2 3" xfId="16747" xr:uid="{8C1A8F3F-A001-4210-9C11-DD14F29C679D}"/>
    <cellStyle name="20% - Accent1 3 2 5 2 3" xfId="20964" xr:uid="{F0B2F9C5-DAB4-46D3-B6F9-0B5C7C2FF760}"/>
    <cellStyle name="20% - Accent1 3 2 5 2 4" xfId="12530" xr:uid="{1F60489F-CF6B-4B3D-8515-B6CF93E0F38F}"/>
    <cellStyle name="20% - Accent1 3 2 5 3" xfId="6164" xr:uid="{00000000-0005-0000-0000-000063000000}"/>
    <cellStyle name="20% - Accent1 3 2 5 3 2" xfId="23036" xr:uid="{2A991B9B-4561-431B-99D7-3DE3C49CDD8E}"/>
    <cellStyle name="20% - Accent1 3 2 5 3 3" xfId="14602" xr:uid="{20CC3BA2-70F1-4B74-A09C-D0CF15EB937A}"/>
    <cellStyle name="20% - Accent1 3 2 5 4" xfId="18819" xr:uid="{8B28771E-4434-4E20-8DA5-058D0BA44216}"/>
    <cellStyle name="20% - Accent1 3 2 5 5" xfId="10385" xr:uid="{F9BB2304-ECAA-4DA0-8551-3639ACA8017F}"/>
    <cellStyle name="20% - Accent1 3 2 6" xfId="2270" xr:uid="{00000000-0005-0000-0000-000064000000}"/>
    <cellStyle name="20% - Accent1 3 2 6 2" xfId="6577" xr:uid="{00000000-0005-0000-0000-000065000000}"/>
    <cellStyle name="20% - Accent1 3 2 6 2 2" xfId="23449" xr:uid="{524EA98D-922F-4095-BDD5-B0BBD4A37141}"/>
    <cellStyle name="20% - Accent1 3 2 6 2 3" xfId="15015" xr:uid="{A12A6F79-B174-407A-973B-13A78BE6ECD8}"/>
    <cellStyle name="20% - Accent1 3 2 6 3" xfId="19232" xr:uid="{2A54D70F-36B1-44D0-B303-338D1F1D51DD}"/>
    <cellStyle name="20% - Accent1 3 2 6 4" xfId="10798" xr:uid="{1CA32D83-0EA7-4E47-9A3E-C8813F8B6052}"/>
    <cellStyle name="20% - Accent1 3 2 7" xfId="4511" xr:uid="{00000000-0005-0000-0000-000066000000}"/>
    <cellStyle name="20% - Accent1 3 2 7 2" xfId="21383" xr:uid="{D7C8DDBE-F7CC-4068-A092-5553605DC254}"/>
    <cellStyle name="20% - Accent1 3 2 7 3" xfId="12949" xr:uid="{BB0ADB51-64D9-4623-8E04-F103CB89C034}"/>
    <cellStyle name="20% - Accent1 3 2 8" xfId="17166" xr:uid="{3F6D51CD-702A-4356-9356-DFEB68296560}"/>
    <cellStyle name="20% - Accent1 3 2 9" xfId="8732" xr:uid="{C0BD8D6B-D5EA-4759-9676-2A0FF21B0F5B}"/>
    <cellStyle name="20% - Accent1 3 3" xfId="575" xr:uid="{00000000-0005-0000-0000-000067000000}"/>
    <cellStyle name="20% - Accent1 3 3 2" xfId="2846" xr:uid="{00000000-0005-0000-0000-000068000000}"/>
    <cellStyle name="20% - Accent1 3 3 2 2" xfId="7069" xr:uid="{00000000-0005-0000-0000-000069000000}"/>
    <cellStyle name="20% - Accent1 3 3 2 2 2" xfId="23941" xr:uid="{7253AFA0-4D21-4B80-9E96-31CDC07C655D}"/>
    <cellStyle name="20% - Accent1 3 3 2 2 3" xfId="15507" xr:uid="{11036E55-7568-439F-9393-6138321A8DAD}"/>
    <cellStyle name="20% - Accent1 3 3 2 3" xfId="19724" xr:uid="{611E64C1-7F01-437E-9BFA-6496AC2833D5}"/>
    <cellStyle name="20% - Accent1 3 3 2 4" xfId="11290" xr:uid="{A94F1CC4-D95D-4142-83C0-19B7BC0EAF5F}"/>
    <cellStyle name="20% - Accent1 3 3 3" xfId="4924" xr:uid="{00000000-0005-0000-0000-00006A000000}"/>
    <cellStyle name="20% - Accent1 3 3 3 2" xfId="21796" xr:uid="{6BBBFEB6-9E98-45DA-A631-A7D5E1A48E0E}"/>
    <cellStyle name="20% - Accent1 3 3 3 3" xfId="13362" xr:uid="{8FB8BDE9-D055-4A32-AA69-7B9C3C3C3787}"/>
    <cellStyle name="20% - Accent1 3 3 4" xfId="17579" xr:uid="{FE269B98-E940-4FA1-858A-03B8F79726B1}"/>
    <cellStyle name="20% - Accent1 3 3 5" xfId="9145" xr:uid="{12001223-F073-4378-9DE2-7DFB0BBE2547}"/>
    <cellStyle name="20% - Accent1 3 4" xfId="1028" xr:uid="{00000000-0005-0000-0000-00006B000000}"/>
    <cellStyle name="20% - Accent1 3 4 2" xfId="3259" xr:uid="{00000000-0005-0000-0000-00006C000000}"/>
    <cellStyle name="20% - Accent1 3 4 2 2" xfId="7482" xr:uid="{00000000-0005-0000-0000-00006D000000}"/>
    <cellStyle name="20% - Accent1 3 4 2 2 2" xfId="24354" xr:uid="{3E6B65A0-7515-49CF-AB09-13ABE98C2698}"/>
    <cellStyle name="20% - Accent1 3 4 2 2 3" xfId="15920" xr:uid="{BB3756FF-22CD-4CA1-AC9D-81C5CD20679A}"/>
    <cellStyle name="20% - Accent1 3 4 2 3" xfId="20137" xr:uid="{2547B2DA-92AD-4097-BEF1-7D0212D532DE}"/>
    <cellStyle name="20% - Accent1 3 4 2 4" xfId="11703" xr:uid="{D3AC7BA0-AD40-4C89-BE4D-779BEBB1BEB2}"/>
    <cellStyle name="20% - Accent1 3 4 3" xfId="5337" xr:uid="{00000000-0005-0000-0000-00006E000000}"/>
    <cellStyle name="20% - Accent1 3 4 3 2" xfId="22209" xr:uid="{F2BEFEC5-997B-44B1-8AD0-77925140F5F1}"/>
    <cellStyle name="20% - Accent1 3 4 3 3" xfId="13775" xr:uid="{F87E32F0-3A12-46CA-8A01-13F09CCDA63F}"/>
    <cellStyle name="20% - Accent1 3 4 4" xfId="17992" xr:uid="{76CB68D6-CB9C-4D6B-8E1D-8A0AE02236CC}"/>
    <cellStyle name="20% - Accent1 3 4 5" xfId="9558" xr:uid="{0AF3396F-7280-433A-ADC9-5D56B12ED83A}"/>
    <cellStyle name="20% - Accent1 3 5" xfId="1442" xr:uid="{00000000-0005-0000-0000-00006F000000}"/>
    <cellStyle name="20% - Accent1 3 5 2" xfId="3672" xr:uid="{00000000-0005-0000-0000-000070000000}"/>
    <cellStyle name="20% - Accent1 3 5 2 2" xfId="7895" xr:uid="{00000000-0005-0000-0000-000071000000}"/>
    <cellStyle name="20% - Accent1 3 5 2 2 2" xfId="24767" xr:uid="{5EC24EB5-903D-460E-9D61-3883FAFC4B11}"/>
    <cellStyle name="20% - Accent1 3 5 2 2 3" xfId="16333" xr:uid="{61CDE123-3E29-4822-BE37-7A78A229DF3B}"/>
    <cellStyle name="20% - Accent1 3 5 2 3" xfId="20550" xr:uid="{CDE9ADB6-F510-4AB9-9669-A39D0209999C}"/>
    <cellStyle name="20% - Accent1 3 5 2 4" xfId="12116" xr:uid="{BD971B18-A93F-4BDA-ABDA-C44D5C3FEA7A}"/>
    <cellStyle name="20% - Accent1 3 5 3" xfId="5750" xr:uid="{00000000-0005-0000-0000-000072000000}"/>
    <cellStyle name="20% - Accent1 3 5 3 2" xfId="22622" xr:uid="{C1D59E48-535D-4B42-BBF7-89D8DF00A543}"/>
    <cellStyle name="20% - Accent1 3 5 3 3" xfId="14188" xr:uid="{6859E60E-761C-47B8-B28B-C42A89A762A3}"/>
    <cellStyle name="20% - Accent1 3 5 4" xfId="18405" xr:uid="{844EF33D-A78F-4D65-9039-DA2901284C85}"/>
    <cellStyle name="20% - Accent1 3 5 5" xfId="9971" xr:uid="{63477572-20D1-464D-A353-FFD2ECFB6BB5}"/>
    <cellStyle name="20% - Accent1 3 6" xfId="1856" xr:uid="{00000000-0005-0000-0000-000073000000}"/>
    <cellStyle name="20% - Accent1 3 6 2" xfId="4085" xr:uid="{00000000-0005-0000-0000-000074000000}"/>
    <cellStyle name="20% - Accent1 3 6 2 2" xfId="8308" xr:uid="{00000000-0005-0000-0000-000075000000}"/>
    <cellStyle name="20% - Accent1 3 6 2 2 2" xfId="25180" xr:uid="{CAC429F1-6522-449C-9675-A330A41889C7}"/>
    <cellStyle name="20% - Accent1 3 6 2 2 3" xfId="16746" xr:uid="{34CABD41-122D-4AB3-8CEB-9BD439426E9E}"/>
    <cellStyle name="20% - Accent1 3 6 2 3" xfId="20963" xr:uid="{A8195780-9639-4E3E-A306-2322B1C00A3E}"/>
    <cellStyle name="20% - Accent1 3 6 2 4" xfId="12529" xr:uid="{9819B488-C949-408D-B62E-8655668213B9}"/>
    <cellStyle name="20% - Accent1 3 6 3" xfId="6163" xr:uid="{00000000-0005-0000-0000-000076000000}"/>
    <cellStyle name="20% - Accent1 3 6 3 2" xfId="23035" xr:uid="{5233E9CB-852C-482E-9832-B6C06574927B}"/>
    <cellStyle name="20% - Accent1 3 6 3 3" xfId="14601" xr:uid="{A5EFABC2-726C-4855-A2BC-9F749006A8C3}"/>
    <cellStyle name="20% - Accent1 3 6 4" xfId="18818" xr:uid="{DD18678F-1A21-4455-89F5-198316A98577}"/>
    <cellStyle name="20% - Accent1 3 6 5" xfId="10384" xr:uid="{5FB3C177-0872-41D2-95E5-1AE87506C971}"/>
    <cellStyle name="20% - Accent1 3 7" xfId="2269" xr:uid="{00000000-0005-0000-0000-000077000000}"/>
    <cellStyle name="20% - Accent1 3 7 2" xfId="6576" xr:uid="{00000000-0005-0000-0000-000078000000}"/>
    <cellStyle name="20% - Accent1 3 7 2 2" xfId="23448" xr:uid="{64804CEB-D61B-4DD1-BDA5-1C947B068A19}"/>
    <cellStyle name="20% - Accent1 3 7 2 3" xfId="15014" xr:uid="{378DAB48-C846-4F30-9797-F52360794FA2}"/>
    <cellStyle name="20% - Accent1 3 7 3" xfId="19231" xr:uid="{64976D8D-3872-4AA7-B625-8C07D08ECB17}"/>
    <cellStyle name="20% - Accent1 3 7 4" xfId="10797" xr:uid="{583BABE8-5554-437D-A952-7A4B18B92B2C}"/>
    <cellStyle name="20% - Accent1 3 8" xfId="4510" xr:uid="{00000000-0005-0000-0000-000079000000}"/>
    <cellStyle name="20% - Accent1 3 8 2" xfId="21382" xr:uid="{C6A3FE54-3104-44E7-AE07-D6525ADEAE58}"/>
    <cellStyle name="20% - Accent1 3 8 3" xfId="12948" xr:uid="{5918AFD1-1697-4154-A9B8-827707B970A9}"/>
    <cellStyle name="20% - Accent1 3 9" xfId="17165" xr:uid="{F01118E9-8C1F-45FA-A94D-14FB381C6C71}"/>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23943" xr:uid="{FB4CB6BB-B7EA-46E4-9033-8EA3495D353C}"/>
    <cellStyle name="20% - Accent1 4 2 2 2 3" xfId="15509" xr:uid="{069BB228-E461-4CB8-BB90-E185AB4AFC22}"/>
    <cellStyle name="20% - Accent1 4 2 2 3" xfId="19726" xr:uid="{A1B3A8D7-C983-47C0-ACAA-CDB9C3E20FBA}"/>
    <cellStyle name="20% - Accent1 4 2 2 4" xfId="11292" xr:uid="{00199010-17CC-400E-91AD-5192F899DDB0}"/>
    <cellStyle name="20% - Accent1 4 2 3" xfId="4926" xr:uid="{00000000-0005-0000-0000-00007E000000}"/>
    <cellStyle name="20% - Accent1 4 2 3 2" xfId="21798" xr:uid="{70473B27-1AA8-4667-82CE-11997EC74505}"/>
    <cellStyle name="20% - Accent1 4 2 3 3" xfId="13364" xr:uid="{C4BDDB77-69E4-4382-92A1-3ABF7C78F188}"/>
    <cellStyle name="20% - Accent1 4 2 4" xfId="17581" xr:uid="{9E4172DB-24B5-4FFA-8E8A-449D0601171E}"/>
    <cellStyle name="20% - Accent1 4 2 5" xfId="9147" xr:uid="{611A93EB-F258-4E15-A51D-78F34DE35DE2}"/>
    <cellStyle name="20% - Accent1 4 3" xfId="1030" xr:uid="{00000000-0005-0000-0000-00007F000000}"/>
    <cellStyle name="20% - Accent1 4 3 2" xfId="3261" xr:uid="{00000000-0005-0000-0000-000080000000}"/>
    <cellStyle name="20% - Accent1 4 3 2 2" xfId="7484" xr:uid="{00000000-0005-0000-0000-000081000000}"/>
    <cellStyle name="20% - Accent1 4 3 2 2 2" xfId="24356" xr:uid="{ED480320-269D-492B-B8F0-534E35E0065C}"/>
    <cellStyle name="20% - Accent1 4 3 2 2 3" xfId="15922" xr:uid="{EDFBB086-DBAB-43A5-BABF-927817BC3EB6}"/>
    <cellStyle name="20% - Accent1 4 3 2 3" xfId="20139" xr:uid="{6C3C71FB-8A4B-4E26-AFCC-66617674861A}"/>
    <cellStyle name="20% - Accent1 4 3 2 4" xfId="11705" xr:uid="{8C840CD7-0080-4074-B486-73317882B8A9}"/>
    <cellStyle name="20% - Accent1 4 3 3" xfId="5339" xr:uid="{00000000-0005-0000-0000-000082000000}"/>
    <cellStyle name="20% - Accent1 4 3 3 2" xfId="22211" xr:uid="{1E12BC74-CF38-4686-869F-D95B0337F737}"/>
    <cellStyle name="20% - Accent1 4 3 3 3" xfId="13777" xr:uid="{20D0044B-DDED-4F08-9A09-4ABA11F1B175}"/>
    <cellStyle name="20% - Accent1 4 3 4" xfId="17994" xr:uid="{4F7F156B-D401-4CB7-A95D-B45063D74A31}"/>
    <cellStyle name="20% - Accent1 4 3 5" xfId="9560" xr:uid="{F48510FB-9437-4201-9A02-C9E99EEA1996}"/>
    <cellStyle name="20% - Accent1 4 4" xfId="1444" xr:uid="{00000000-0005-0000-0000-000083000000}"/>
    <cellStyle name="20% - Accent1 4 4 2" xfId="3674" xr:uid="{00000000-0005-0000-0000-000084000000}"/>
    <cellStyle name="20% - Accent1 4 4 2 2" xfId="7897" xr:uid="{00000000-0005-0000-0000-000085000000}"/>
    <cellStyle name="20% - Accent1 4 4 2 2 2" xfId="24769" xr:uid="{BD81AD1F-74D9-4E93-8B5C-F2F6E1E3A426}"/>
    <cellStyle name="20% - Accent1 4 4 2 2 3" xfId="16335" xr:uid="{7075B331-BB8A-48CA-AB96-81A678BADD58}"/>
    <cellStyle name="20% - Accent1 4 4 2 3" xfId="20552" xr:uid="{DD9F1C91-34C8-4D5F-BC8B-D50179E2047C}"/>
    <cellStyle name="20% - Accent1 4 4 2 4" xfId="12118" xr:uid="{54B79A68-B9EA-4482-9967-3A66BBD7B9F3}"/>
    <cellStyle name="20% - Accent1 4 4 3" xfId="5752" xr:uid="{00000000-0005-0000-0000-000086000000}"/>
    <cellStyle name="20% - Accent1 4 4 3 2" xfId="22624" xr:uid="{A46458BA-9DC9-49E7-841D-7632B9177FEC}"/>
    <cellStyle name="20% - Accent1 4 4 3 3" xfId="14190" xr:uid="{6665058E-6F12-434B-A39F-6862252B4844}"/>
    <cellStyle name="20% - Accent1 4 4 4" xfId="18407" xr:uid="{E68340A1-AA0F-46F1-92F0-E1991FF05AB5}"/>
    <cellStyle name="20% - Accent1 4 4 5" xfId="9973" xr:uid="{C86F7BFB-5AFB-456A-9EBA-EAB6EF3EE46C}"/>
    <cellStyle name="20% - Accent1 4 5" xfId="1858" xr:uid="{00000000-0005-0000-0000-000087000000}"/>
    <cellStyle name="20% - Accent1 4 5 2" xfId="4087" xr:uid="{00000000-0005-0000-0000-000088000000}"/>
    <cellStyle name="20% - Accent1 4 5 2 2" xfId="8310" xr:uid="{00000000-0005-0000-0000-000089000000}"/>
    <cellStyle name="20% - Accent1 4 5 2 2 2" xfId="25182" xr:uid="{621468A8-4036-4E52-B0CA-1ED47A68CDF0}"/>
    <cellStyle name="20% - Accent1 4 5 2 2 3" xfId="16748" xr:uid="{ED822ADB-156D-4743-A518-559F45CB8B1E}"/>
    <cellStyle name="20% - Accent1 4 5 2 3" xfId="20965" xr:uid="{4A2C2C8B-8852-47F3-90F9-C1FD9C811486}"/>
    <cellStyle name="20% - Accent1 4 5 2 4" xfId="12531" xr:uid="{DA9E72E0-25CE-40B3-AFDB-46094100C483}"/>
    <cellStyle name="20% - Accent1 4 5 3" xfId="6165" xr:uid="{00000000-0005-0000-0000-00008A000000}"/>
    <cellStyle name="20% - Accent1 4 5 3 2" xfId="23037" xr:uid="{4201D739-AB2F-49AB-96F6-7861C78ABD30}"/>
    <cellStyle name="20% - Accent1 4 5 3 3" xfId="14603" xr:uid="{FAB679E4-C337-4F53-B43D-D1B40D35E0BA}"/>
    <cellStyle name="20% - Accent1 4 5 4" xfId="18820" xr:uid="{55C47316-3362-43BC-9AD1-5742C4D5FC98}"/>
    <cellStyle name="20% - Accent1 4 5 5" xfId="10386" xr:uid="{0FBE5B0D-F417-4570-9B47-AC6E189E3898}"/>
    <cellStyle name="20% - Accent1 4 6" xfId="2271" xr:uid="{00000000-0005-0000-0000-00008B000000}"/>
    <cellStyle name="20% - Accent1 4 6 2" xfId="6578" xr:uid="{00000000-0005-0000-0000-00008C000000}"/>
    <cellStyle name="20% - Accent1 4 6 2 2" xfId="23450" xr:uid="{DC2D5FFF-41BF-4F52-B820-ECFC07D09A17}"/>
    <cellStyle name="20% - Accent1 4 6 2 3" xfId="15016" xr:uid="{23DCEEAD-6CFA-4FB1-91E3-C75BAA9D050E}"/>
    <cellStyle name="20% - Accent1 4 6 3" xfId="19233" xr:uid="{BFEFA18E-B1F5-473B-8819-06C989283A33}"/>
    <cellStyle name="20% - Accent1 4 6 4" xfId="10799" xr:uid="{A66E23E8-761E-4243-8618-DFD7F5D180CA}"/>
    <cellStyle name="20% - Accent1 4 7" xfId="4512" xr:uid="{00000000-0005-0000-0000-00008D000000}"/>
    <cellStyle name="20% - Accent1 4 7 2" xfId="21384" xr:uid="{4501D448-2D18-49ED-B08A-479FFB58C5C5}"/>
    <cellStyle name="20% - Accent1 4 7 3" xfId="12950" xr:uid="{4864D8C4-B57B-4ACA-B5E4-139A4C04DAE1}"/>
    <cellStyle name="20% - Accent1 4 8" xfId="17167" xr:uid="{EF7A0406-CBB2-46F1-A6EA-69B2B36CA1D4}"/>
    <cellStyle name="20% - Accent1 4 9" xfId="8733" xr:uid="{29465267-B464-4238-B978-9D1F16DF00CC}"/>
    <cellStyle name="20% - Accent1 5" xfId="570" xr:uid="{00000000-0005-0000-0000-00008E000000}"/>
    <cellStyle name="20% - Accent1 5 2" xfId="2841" xr:uid="{00000000-0005-0000-0000-00008F000000}"/>
    <cellStyle name="20% - Accent1 5 2 2" xfId="7064" xr:uid="{00000000-0005-0000-0000-000090000000}"/>
    <cellStyle name="20% - Accent1 5 2 2 2" xfId="23936" xr:uid="{76B2903F-9C1B-4FC1-8688-B65C27D775FD}"/>
    <cellStyle name="20% - Accent1 5 2 2 3" xfId="15502" xr:uid="{7CFDD638-F9E0-417F-9EBB-F41C637D6402}"/>
    <cellStyle name="20% - Accent1 5 2 3" xfId="19719" xr:uid="{3BBDB4A5-4270-4A47-870F-1C73CD07267C}"/>
    <cellStyle name="20% - Accent1 5 2 4" xfId="11285" xr:uid="{8719B627-063F-4FD1-A1C3-128418A82FD3}"/>
    <cellStyle name="20% - Accent1 5 3" xfId="4919" xr:uid="{00000000-0005-0000-0000-000091000000}"/>
    <cellStyle name="20% - Accent1 5 3 2" xfId="21791" xr:uid="{A637CB67-98CA-4ED3-A25D-0C6F46F3FD9E}"/>
    <cellStyle name="20% - Accent1 5 3 3" xfId="13357" xr:uid="{F5BC8EBB-9EEE-4B0F-8C48-0790DFE3A813}"/>
    <cellStyle name="20% - Accent1 5 4" xfId="17574" xr:uid="{6010854C-F3EB-442E-BCE6-D31116888D69}"/>
    <cellStyle name="20% - Accent1 5 5" xfId="9140" xr:uid="{103012B1-3937-414C-B588-591EEC7F4696}"/>
    <cellStyle name="20% - Accent1 6" xfId="1023" xr:uid="{00000000-0005-0000-0000-000092000000}"/>
    <cellStyle name="20% - Accent1 6 2" xfId="3254" xr:uid="{00000000-0005-0000-0000-000093000000}"/>
    <cellStyle name="20% - Accent1 6 2 2" xfId="7477" xr:uid="{00000000-0005-0000-0000-000094000000}"/>
    <cellStyle name="20% - Accent1 6 2 2 2" xfId="24349" xr:uid="{499819EC-7E92-40C4-ABDF-0919AE0F8E72}"/>
    <cellStyle name="20% - Accent1 6 2 2 3" xfId="15915" xr:uid="{67E91261-6DDB-4FD7-B9BD-F30C483AFF8A}"/>
    <cellStyle name="20% - Accent1 6 2 3" xfId="20132" xr:uid="{44F544D8-B96A-429F-B9CE-96D6E11F0258}"/>
    <cellStyle name="20% - Accent1 6 2 4" xfId="11698" xr:uid="{185EBAEF-0474-4D2B-97B4-649FE942AF3A}"/>
    <cellStyle name="20% - Accent1 6 3" xfId="5332" xr:uid="{00000000-0005-0000-0000-000095000000}"/>
    <cellStyle name="20% - Accent1 6 3 2" xfId="22204" xr:uid="{27316A94-2A97-407A-AAEC-10F7E737C70A}"/>
    <cellStyle name="20% - Accent1 6 3 3" xfId="13770" xr:uid="{3ED699E8-8B49-45FD-AF9D-CD5A0FD1DFD0}"/>
    <cellStyle name="20% - Accent1 6 4" xfId="17987" xr:uid="{B4D0BF1B-F675-4378-8C35-A15A3C7E345A}"/>
    <cellStyle name="20% - Accent1 6 5" xfId="9553" xr:uid="{64BF8843-C46D-4D90-960C-7FAA04B181FA}"/>
    <cellStyle name="20% - Accent1 7" xfId="1437" xr:uid="{00000000-0005-0000-0000-000096000000}"/>
    <cellStyle name="20% - Accent1 7 2" xfId="3667" xr:uid="{00000000-0005-0000-0000-000097000000}"/>
    <cellStyle name="20% - Accent1 7 2 2" xfId="7890" xr:uid="{00000000-0005-0000-0000-000098000000}"/>
    <cellStyle name="20% - Accent1 7 2 2 2" xfId="24762" xr:uid="{574F3628-BEAC-4D0B-B812-E9AD47A74A52}"/>
    <cellStyle name="20% - Accent1 7 2 2 3" xfId="16328" xr:uid="{79746B68-04EE-4637-BF0D-917B8EFFB820}"/>
    <cellStyle name="20% - Accent1 7 2 3" xfId="20545" xr:uid="{C921C8A3-8AD2-42F9-AB92-7D75DED11625}"/>
    <cellStyle name="20% - Accent1 7 2 4" xfId="12111" xr:uid="{5F94D02E-304D-4E0B-B777-E999DF4D1650}"/>
    <cellStyle name="20% - Accent1 7 3" xfId="5745" xr:uid="{00000000-0005-0000-0000-000099000000}"/>
    <cellStyle name="20% - Accent1 7 3 2" xfId="22617" xr:uid="{1512072D-2D17-41C6-AB9A-2864A1589339}"/>
    <cellStyle name="20% - Accent1 7 3 3" xfId="14183" xr:uid="{18DB9492-AB14-4218-B602-2B6EA521A5BE}"/>
    <cellStyle name="20% - Accent1 7 4" xfId="18400" xr:uid="{88011571-0A95-4F12-910F-281431FFBDD5}"/>
    <cellStyle name="20% - Accent1 7 5" xfId="9966" xr:uid="{2447C1AF-B71F-4DDB-8B3C-7A420E4F2BC5}"/>
    <cellStyle name="20% - Accent1 8" xfId="1851" xr:uid="{00000000-0005-0000-0000-00009A000000}"/>
    <cellStyle name="20% - Accent1 8 2" xfId="4080" xr:uid="{00000000-0005-0000-0000-00009B000000}"/>
    <cellStyle name="20% - Accent1 8 2 2" xfId="8303" xr:uid="{00000000-0005-0000-0000-00009C000000}"/>
    <cellStyle name="20% - Accent1 8 2 2 2" xfId="25175" xr:uid="{13950E45-E2EF-4E49-9D5D-F4370BED9586}"/>
    <cellStyle name="20% - Accent1 8 2 2 3" xfId="16741" xr:uid="{EA5079B6-DFCE-4EC7-BC08-0B9F1BA585E2}"/>
    <cellStyle name="20% - Accent1 8 2 3" xfId="20958" xr:uid="{FC65DE20-F542-45B2-84EE-7EFD9038A182}"/>
    <cellStyle name="20% - Accent1 8 2 4" xfId="12524" xr:uid="{B7E76257-B761-46DF-9210-3D7923830DAE}"/>
    <cellStyle name="20% - Accent1 8 3" xfId="6158" xr:uid="{00000000-0005-0000-0000-00009D000000}"/>
    <cellStyle name="20% - Accent1 8 3 2" xfId="23030" xr:uid="{3106D2C7-8A8F-4BB3-BEB9-B3726304231B}"/>
    <cellStyle name="20% - Accent1 8 3 3" xfId="14596" xr:uid="{3197BAF2-9364-44F5-B432-BC17A283B1B4}"/>
    <cellStyle name="20% - Accent1 8 4" xfId="18813" xr:uid="{C9CE25F1-E8D2-4A7B-BCC2-9E65106E39AC}"/>
    <cellStyle name="20% - Accent1 8 5" xfId="10379" xr:uid="{62725423-B087-44AF-B112-9F963E19FF40}"/>
    <cellStyle name="20% - Accent1 9" xfId="2264" xr:uid="{00000000-0005-0000-0000-00009E000000}"/>
    <cellStyle name="20% - Accent1 9 2" xfId="6571" xr:uid="{00000000-0005-0000-0000-00009F000000}"/>
    <cellStyle name="20% - Accent1 9 2 2" xfId="23443" xr:uid="{CE99BB9B-3772-48AA-84D3-D4E35CB8FEEA}"/>
    <cellStyle name="20% - Accent1 9 2 3" xfId="15009" xr:uid="{93DCA774-8DB1-4207-8674-33D51A3564EC}"/>
    <cellStyle name="20% - Accent1 9 3" xfId="19226" xr:uid="{D07897AF-5388-4DBC-BF40-D67891513D1C}"/>
    <cellStyle name="20% - Accent1 9 4" xfId="10792" xr:uid="{9244F09E-A51E-4010-A1CC-82049DF95F5F}"/>
    <cellStyle name="20% - Accent2" xfId="9" builtinId="34" customBuiltin="1"/>
    <cellStyle name="20% - Accent2 10" xfId="4513" xr:uid="{00000000-0005-0000-0000-0000A1000000}"/>
    <cellStyle name="20% - Accent2 10 2" xfId="21385" xr:uid="{9B53BAB0-717F-47D6-8A64-15D2A5D1787A}"/>
    <cellStyle name="20% - Accent2 10 3" xfId="12951" xr:uid="{C11CDB32-AA20-4CDE-80CE-EA66AA0263D7}"/>
    <cellStyle name="20% - Accent2 11" xfId="17168" xr:uid="{BBF1556D-9285-4EFB-BB49-C636BFF515BE}"/>
    <cellStyle name="20% - Accent2 12" xfId="8734" xr:uid="{78036449-3DAD-42BA-A881-D205DEE4A9AB}"/>
    <cellStyle name="20% - Accent2 2" xfId="10" xr:uid="{00000000-0005-0000-0000-0000A2000000}"/>
    <cellStyle name="20% - Accent2 2 10" xfId="17169" xr:uid="{27DA6805-13A9-4343-9AB4-F42E2F229CA5}"/>
    <cellStyle name="20% - Accent2 2 11" xfId="8735" xr:uid="{C72C0AAC-97B7-489E-8DBF-0C5EA1D6D9A2}"/>
    <cellStyle name="20% - Accent2 2 2" xfId="11" xr:uid="{00000000-0005-0000-0000-0000A3000000}"/>
    <cellStyle name="20% - Accent2 2 2 10" xfId="8736" xr:uid="{DA371EC7-FAFC-4059-845E-5FF6121A85F6}"/>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23947" xr:uid="{0738638B-0913-4B89-BACC-ED0176846095}"/>
    <cellStyle name="20% - Accent2 2 2 2 2 2 2 3" xfId="15513" xr:uid="{261CAA7E-6471-4FF2-ADEE-0E186B3D0B76}"/>
    <cellStyle name="20% - Accent2 2 2 2 2 2 3" xfId="19730" xr:uid="{959D29FB-D2C1-47DC-8865-227F1222B975}"/>
    <cellStyle name="20% - Accent2 2 2 2 2 2 4" xfId="11296" xr:uid="{5CCC3CE6-5EB2-4C4C-B941-0F7DEE1D3D81}"/>
    <cellStyle name="20% - Accent2 2 2 2 2 3" xfId="4930" xr:uid="{00000000-0005-0000-0000-0000A8000000}"/>
    <cellStyle name="20% - Accent2 2 2 2 2 3 2" xfId="21802" xr:uid="{5E662719-CE26-43D9-8AC8-185D65B3548F}"/>
    <cellStyle name="20% - Accent2 2 2 2 2 3 3" xfId="13368" xr:uid="{1A933B28-01CC-4BC9-8D46-14FA2ECB65CF}"/>
    <cellStyle name="20% - Accent2 2 2 2 2 4" xfId="17585" xr:uid="{734B407F-3E79-4D20-9E66-E09990E36197}"/>
    <cellStyle name="20% - Accent2 2 2 2 2 5" xfId="9151" xr:uid="{83AD18AF-5892-4F8F-AEA7-255DA1DE5E3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24360" xr:uid="{9A4872CC-D214-499C-8B65-A85ECEFDB24C}"/>
    <cellStyle name="20% - Accent2 2 2 2 3 2 2 3" xfId="15926" xr:uid="{35A18B09-0E14-4DCA-B57D-1BF369EA968D}"/>
    <cellStyle name="20% - Accent2 2 2 2 3 2 3" xfId="20143" xr:uid="{C0ECBED2-5992-46E6-9B8E-51E98803A2FE}"/>
    <cellStyle name="20% - Accent2 2 2 2 3 2 4" xfId="11709" xr:uid="{24DF42CF-6686-457B-A421-68EF6BD0762E}"/>
    <cellStyle name="20% - Accent2 2 2 2 3 3" xfId="5343" xr:uid="{00000000-0005-0000-0000-0000AC000000}"/>
    <cellStyle name="20% - Accent2 2 2 2 3 3 2" xfId="22215" xr:uid="{FA0344B7-FE1E-4075-9BCB-340692CCC8D4}"/>
    <cellStyle name="20% - Accent2 2 2 2 3 3 3" xfId="13781" xr:uid="{DA4A99D9-20AD-44C8-9E2E-917F78084A38}"/>
    <cellStyle name="20% - Accent2 2 2 2 3 4" xfId="17998" xr:uid="{57BB3235-0C79-4B9E-B355-4C49FE61C500}"/>
    <cellStyle name="20% - Accent2 2 2 2 3 5" xfId="9564" xr:uid="{D00CA57A-233E-4937-B52C-37A29F3E88E1}"/>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24773" xr:uid="{1B7182FC-FEEF-42B3-A9D3-5FB4D48D55D8}"/>
    <cellStyle name="20% - Accent2 2 2 2 4 2 2 3" xfId="16339" xr:uid="{F6C0A1B5-F139-462D-B38E-00C66C0579F8}"/>
    <cellStyle name="20% - Accent2 2 2 2 4 2 3" xfId="20556" xr:uid="{71B4E49E-3974-41D1-A632-3217EF2CE69F}"/>
    <cellStyle name="20% - Accent2 2 2 2 4 2 4" xfId="12122" xr:uid="{4D8D591C-55AC-4E14-9D8A-DA8E863AD31A}"/>
    <cellStyle name="20% - Accent2 2 2 2 4 3" xfId="5756" xr:uid="{00000000-0005-0000-0000-0000B0000000}"/>
    <cellStyle name="20% - Accent2 2 2 2 4 3 2" xfId="22628" xr:uid="{8D2AB08E-EF3D-4E7C-B45F-81EB9D69C6F7}"/>
    <cellStyle name="20% - Accent2 2 2 2 4 3 3" xfId="14194" xr:uid="{0D303D39-CF08-4511-9301-78684CEC3F52}"/>
    <cellStyle name="20% - Accent2 2 2 2 4 4" xfId="18411" xr:uid="{DF656C09-2A48-4C4E-9824-D4712E64DFFF}"/>
    <cellStyle name="20% - Accent2 2 2 2 4 5" xfId="9977" xr:uid="{9D83DD78-B27F-4AAE-9269-69B3E050C6CD}"/>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25186" xr:uid="{A38AA130-ACA1-4516-8119-74DE331A1916}"/>
    <cellStyle name="20% - Accent2 2 2 2 5 2 2 3" xfId="16752" xr:uid="{B7085651-7207-428C-B10C-06F70C6D138A}"/>
    <cellStyle name="20% - Accent2 2 2 2 5 2 3" xfId="20969" xr:uid="{04ABF90B-AF5D-47EE-AC1C-7905D928FE1A}"/>
    <cellStyle name="20% - Accent2 2 2 2 5 2 4" xfId="12535" xr:uid="{A962008F-3076-48BD-AA96-FDA678FA5601}"/>
    <cellStyle name="20% - Accent2 2 2 2 5 3" xfId="6169" xr:uid="{00000000-0005-0000-0000-0000B4000000}"/>
    <cellStyle name="20% - Accent2 2 2 2 5 3 2" xfId="23041" xr:uid="{DB7B5EE1-9D01-4497-9992-BA7CECA04FB9}"/>
    <cellStyle name="20% - Accent2 2 2 2 5 3 3" xfId="14607" xr:uid="{C8EB0A6B-E75E-4852-A7DA-1ED17A5092E9}"/>
    <cellStyle name="20% - Accent2 2 2 2 5 4" xfId="18824" xr:uid="{D388637F-ACC7-459E-B7C3-A6CF319A7D2F}"/>
    <cellStyle name="20% - Accent2 2 2 2 5 5" xfId="10390" xr:uid="{B3E9233D-C2A7-49F8-8316-904120D8A412}"/>
    <cellStyle name="20% - Accent2 2 2 2 6" xfId="2275" xr:uid="{00000000-0005-0000-0000-0000B5000000}"/>
    <cellStyle name="20% - Accent2 2 2 2 6 2" xfId="6582" xr:uid="{00000000-0005-0000-0000-0000B6000000}"/>
    <cellStyle name="20% - Accent2 2 2 2 6 2 2" xfId="23454" xr:uid="{0CB76BC2-B3B1-47A6-B7D6-0DDC7DD6174F}"/>
    <cellStyle name="20% - Accent2 2 2 2 6 2 3" xfId="15020" xr:uid="{3E2819A4-F750-4B59-97AF-B3E6FAB73D2D}"/>
    <cellStyle name="20% - Accent2 2 2 2 6 3" xfId="19237" xr:uid="{C06648D2-23C1-4491-867E-F5EA894F723C}"/>
    <cellStyle name="20% - Accent2 2 2 2 6 4" xfId="10803" xr:uid="{627A6839-DEFD-4AA5-84CE-7AF3DDF57B8C}"/>
    <cellStyle name="20% - Accent2 2 2 2 7" xfId="4516" xr:uid="{00000000-0005-0000-0000-0000B7000000}"/>
    <cellStyle name="20% - Accent2 2 2 2 7 2" xfId="21388" xr:uid="{48AD596C-2617-44B1-B6D3-62081C4636F6}"/>
    <cellStyle name="20% - Accent2 2 2 2 7 3" xfId="12954" xr:uid="{7FA02F7E-7348-47C4-BF39-9D661C54B620}"/>
    <cellStyle name="20% - Accent2 2 2 2 8" xfId="17171" xr:uid="{E66EE281-43C7-4080-8C7A-0A34E319466C}"/>
    <cellStyle name="20% - Accent2 2 2 2 9" xfId="8737" xr:uid="{A66C5155-5EE1-49BB-A56C-6F5E37651B69}"/>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23946" xr:uid="{3B172728-6C9B-4E01-A80D-3F1D9D9CF77D}"/>
    <cellStyle name="20% - Accent2 2 2 3 2 2 3" xfId="15512" xr:uid="{F6F134A9-5E79-426C-847B-8B6C6750329B}"/>
    <cellStyle name="20% - Accent2 2 2 3 2 3" xfId="19729" xr:uid="{E84B872F-1C48-42C3-9121-D1C803BD2953}"/>
    <cellStyle name="20% - Accent2 2 2 3 2 4" xfId="11295" xr:uid="{77B03A81-0E52-4C15-B86C-1AD6C5654CFE}"/>
    <cellStyle name="20% - Accent2 2 2 3 3" xfId="4929" xr:uid="{00000000-0005-0000-0000-0000BB000000}"/>
    <cellStyle name="20% - Accent2 2 2 3 3 2" xfId="21801" xr:uid="{D14C18D3-2655-41EC-8574-5B6A7D529A93}"/>
    <cellStyle name="20% - Accent2 2 2 3 3 3" xfId="13367" xr:uid="{6DC834A3-AAB6-4EF0-9B77-FB4CF585606D}"/>
    <cellStyle name="20% - Accent2 2 2 3 4" xfId="17584" xr:uid="{61E2C613-E90A-428F-815A-EDF579163115}"/>
    <cellStyle name="20% - Accent2 2 2 3 5" xfId="9150" xr:uid="{D678F717-70B1-4FF0-A28C-932AC43BDAA1}"/>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24359" xr:uid="{1BF8E702-3BF9-45CB-8B5E-8CDA08DB7B44}"/>
    <cellStyle name="20% - Accent2 2 2 4 2 2 3" xfId="15925" xr:uid="{D4115822-12FB-4815-B022-9E803D2F3EFF}"/>
    <cellStyle name="20% - Accent2 2 2 4 2 3" xfId="20142" xr:uid="{3A661B52-B873-4E4D-9386-8075F649F939}"/>
    <cellStyle name="20% - Accent2 2 2 4 2 4" xfId="11708" xr:uid="{68807AAF-7874-4727-A286-56544691C9A2}"/>
    <cellStyle name="20% - Accent2 2 2 4 3" xfId="5342" xr:uid="{00000000-0005-0000-0000-0000BF000000}"/>
    <cellStyle name="20% - Accent2 2 2 4 3 2" xfId="22214" xr:uid="{BD51E118-50B9-4DF3-99FB-89B8BCE7F46C}"/>
    <cellStyle name="20% - Accent2 2 2 4 3 3" xfId="13780" xr:uid="{67E6AB9D-6703-4EB1-B1C9-7B1A7784D7F3}"/>
    <cellStyle name="20% - Accent2 2 2 4 4" xfId="17997" xr:uid="{7AD1A991-8CEB-402D-9224-625457FF5061}"/>
    <cellStyle name="20% - Accent2 2 2 4 5" xfId="9563" xr:uid="{E8992F92-BC64-4B21-9667-5A1034A6CF7D}"/>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24772" xr:uid="{2FF4B072-9E71-48D7-8F06-452EA2734865}"/>
    <cellStyle name="20% - Accent2 2 2 5 2 2 3" xfId="16338" xr:uid="{5BD296E9-32A3-4AB9-95D3-75A35359599F}"/>
    <cellStyle name="20% - Accent2 2 2 5 2 3" xfId="20555" xr:uid="{9C768D5E-1F7F-4161-A615-AB30841D1E3D}"/>
    <cellStyle name="20% - Accent2 2 2 5 2 4" xfId="12121" xr:uid="{8C7F90E1-801A-4249-8E5C-6A296CCDE300}"/>
    <cellStyle name="20% - Accent2 2 2 5 3" xfId="5755" xr:uid="{00000000-0005-0000-0000-0000C3000000}"/>
    <cellStyle name="20% - Accent2 2 2 5 3 2" xfId="22627" xr:uid="{5A895A13-A50A-4924-B04C-7775A31D86D1}"/>
    <cellStyle name="20% - Accent2 2 2 5 3 3" xfId="14193" xr:uid="{94898CA2-AB4F-4225-A572-045BAA0FE555}"/>
    <cellStyle name="20% - Accent2 2 2 5 4" xfId="18410" xr:uid="{BDA8603E-A824-4856-8444-5CF678487220}"/>
    <cellStyle name="20% - Accent2 2 2 5 5" xfId="9976" xr:uid="{BAF499BD-CD35-4FF7-9B52-4748E6439EB9}"/>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25185" xr:uid="{1DDD5277-B226-4CC3-822A-6665F2C17755}"/>
    <cellStyle name="20% - Accent2 2 2 6 2 2 3" xfId="16751" xr:uid="{B781CF64-CD39-4D31-93FB-228826C12B62}"/>
    <cellStyle name="20% - Accent2 2 2 6 2 3" xfId="20968" xr:uid="{EC7A8E53-4659-43F7-89C2-64565D08639D}"/>
    <cellStyle name="20% - Accent2 2 2 6 2 4" xfId="12534" xr:uid="{228F421E-D275-4F11-934B-DCD91AC8FC19}"/>
    <cellStyle name="20% - Accent2 2 2 6 3" xfId="6168" xr:uid="{00000000-0005-0000-0000-0000C7000000}"/>
    <cellStyle name="20% - Accent2 2 2 6 3 2" xfId="23040" xr:uid="{75C80BDA-B034-4DC3-AA21-73557B4DF584}"/>
    <cellStyle name="20% - Accent2 2 2 6 3 3" xfId="14606" xr:uid="{A8DE1A57-99D7-4EB3-9C4F-3598A81C91BE}"/>
    <cellStyle name="20% - Accent2 2 2 6 4" xfId="18823" xr:uid="{112DBD11-82A5-4C64-A04B-A5F0952A9D0D}"/>
    <cellStyle name="20% - Accent2 2 2 6 5" xfId="10389" xr:uid="{9BD757D8-CF03-4D5E-8092-4A02CD74EE1A}"/>
    <cellStyle name="20% - Accent2 2 2 7" xfId="2274" xr:uid="{00000000-0005-0000-0000-0000C8000000}"/>
    <cellStyle name="20% - Accent2 2 2 7 2" xfId="6581" xr:uid="{00000000-0005-0000-0000-0000C9000000}"/>
    <cellStyle name="20% - Accent2 2 2 7 2 2" xfId="23453" xr:uid="{D63065C0-A9BC-4D97-9990-1BB5A9C3FFEB}"/>
    <cellStyle name="20% - Accent2 2 2 7 2 3" xfId="15019" xr:uid="{EB6EA6B6-69B1-45AF-9A43-248204B677DA}"/>
    <cellStyle name="20% - Accent2 2 2 7 3" xfId="19236" xr:uid="{ACEDABCD-3311-4A18-9058-B402ED11ECBD}"/>
    <cellStyle name="20% - Accent2 2 2 7 4" xfId="10802" xr:uid="{373B6AD9-D1C2-4EA4-9BD4-CC7DB9E2C71F}"/>
    <cellStyle name="20% - Accent2 2 2 8" xfId="4515" xr:uid="{00000000-0005-0000-0000-0000CA000000}"/>
    <cellStyle name="20% - Accent2 2 2 8 2" xfId="21387" xr:uid="{DCFA6317-E4A7-4EC3-971F-5CE6F3F7F37A}"/>
    <cellStyle name="20% - Accent2 2 2 8 3" xfId="12953" xr:uid="{372D018C-2347-471E-9ADF-0C1AB6BE7021}"/>
    <cellStyle name="20% - Accent2 2 2 9" xfId="17170" xr:uid="{A2A811A3-B0D5-418C-8CC2-22FACF61164D}"/>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23948" xr:uid="{48B5C504-6D91-472C-8ECA-550FE1B74717}"/>
    <cellStyle name="20% - Accent2 2 3 2 2 2 3" xfId="15514" xr:uid="{E46BBB64-BB50-44A9-90E4-48B1FD20CD61}"/>
    <cellStyle name="20% - Accent2 2 3 2 2 3" xfId="19731" xr:uid="{0A195552-F469-4AC0-AD91-CA76D6633060}"/>
    <cellStyle name="20% - Accent2 2 3 2 2 4" xfId="11297" xr:uid="{655FEDF6-4561-4542-A765-1E55CB246B58}"/>
    <cellStyle name="20% - Accent2 2 3 2 3" xfId="4931" xr:uid="{00000000-0005-0000-0000-0000CF000000}"/>
    <cellStyle name="20% - Accent2 2 3 2 3 2" xfId="21803" xr:uid="{87AB9609-4C81-4FFD-8149-810E56DB2E57}"/>
    <cellStyle name="20% - Accent2 2 3 2 3 3" xfId="13369" xr:uid="{75385701-702C-493D-B7F9-A8F1EC064741}"/>
    <cellStyle name="20% - Accent2 2 3 2 4" xfId="17586" xr:uid="{00D57603-C6D8-4C64-8AC7-CDE2DBBD2518}"/>
    <cellStyle name="20% - Accent2 2 3 2 5" xfId="9152" xr:uid="{4C8C9F73-FF9F-4BE0-9AAC-5B52D70D2F6E}"/>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24361" xr:uid="{9D831D1D-AE67-49F2-9A8A-147636D6A236}"/>
    <cellStyle name="20% - Accent2 2 3 3 2 2 3" xfId="15927" xr:uid="{DDD04807-7433-4839-9830-407A4D1921DA}"/>
    <cellStyle name="20% - Accent2 2 3 3 2 3" xfId="20144" xr:uid="{6FE5F79E-1DAA-48C3-9BAF-A11BA393B412}"/>
    <cellStyle name="20% - Accent2 2 3 3 2 4" xfId="11710" xr:uid="{216D8A9F-395B-4B31-8EB9-7B8937C7B4B4}"/>
    <cellStyle name="20% - Accent2 2 3 3 3" xfId="5344" xr:uid="{00000000-0005-0000-0000-0000D3000000}"/>
    <cellStyle name="20% - Accent2 2 3 3 3 2" xfId="22216" xr:uid="{F4CF67BA-7B06-4DE7-89E0-2C0415B74A0A}"/>
    <cellStyle name="20% - Accent2 2 3 3 3 3" xfId="13782" xr:uid="{13D43108-FAF9-415B-BABC-EDDC39881EB6}"/>
    <cellStyle name="20% - Accent2 2 3 3 4" xfId="17999" xr:uid="{9BB816E1-78F3-43D8-B6B3-0D04B7127A5A}"/>
    <cellStyle name="20% - Accent2 2 3 3 5" xfId="9565" xr:uid="{E63B9080-2C77-4B18-84D7-A1437C804A1F}"/>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24774" xr:uid="{A46EDE39-0ED7-4D63-B1A4-0DA15ABCFFA6}"/>
    <cellStyle name="20% - Accent2 2 3 4 2 2 3" xfId="16340" xr:uid="{EEF45CD2-BC01-43D7-A551-4196D8B3B300}"/>
    <cellStyle name="20% - Accent2 2 3 4 2 3" xfId="20557" xr:uid="{07E03960-C723-41AE-B213-64E6B3385D59}"/>
    <cellStyle name="20% - Accent2 2 3 4 2 4" xfId="12123" xr:uid="{EB958FFA-1FCA-4302-8574-1BDFE565C751}"/>
    <cellStyle name="20% - Accent2 2 3 4 3" xfId="5757" xr:uid="{00000000-0005-0000-0000-0000D7000000}"/>
    <cellStyle name="20% - Accent2 2 3 4 3 2" xfId="22629" xr:uid="{8E54C7DC-29C9-4193-B5D2-CA91DAE2737E}"/>
    <cellStyle name="20% - Accent2 2 3 4 3 3" xfId="14195" xr:uid="{B8150DAC-1F3F-440C-9B2C-892AC2D5D297}"/>
    <cellStyle name="20% - Accent2 2 3 4 4" xfId="18412" xr:uid="{473E1A72-FB0C-4465-A608-F1BEB9F6B3E3}"/>
    <cellStyle name="20% - Accent2 2 3 4 5" xfId="9978" xr:uid="{7A4614AB-6524-49F6-9DDE-0899B2810A03}"/>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25187" xr:uid="{BA3E9B87-7FED-47CA-9C80-76FB770C4DCA}"/>
    <cellStyle name="20% - Accent2 2 3 5 2 2 3" xfId="16753" xr:uid="{92C4A1FD-EDD3-40C4-A6E7-364875F7496A}"/>
    <cellStyle name="20% - Accent2 2 3 5 2 3" xfId="20970" xr:uid="{8473E7A0-585F-4052-92A0-F0F41DB68C26}"/>
    <cellStyle name="20% - Accent2 2 3 5 2 4" xfId="12536" xr:uid="{8B0BA0D1-AB65-444B-BEBF-DF97A6ED419E}"/>
    <cellStyle name="20% - Accent2 2 3 5 3" xfId="6170" xr:uid="{00000000-0005-0000-0000-0000DB000000}"/>
    <cellStyle name="20% - Accent2 2 3 5 3 2" xfId="23042" xr:uid="{B93C95F5-EC10-4AD9-9FC6-B046DDF1ADAB}"/>
    <cellStyle name="20% - Accent2 2 3 5 3 3" xfId="14608" xr:uid="{A2B07FCE-8A0E-4E8B-9DAD-FD9785936FA3}"/>
    <cellStyle name="20% - Accent2 2 3 5 4" xfId="18825" xr:uid="{E1A2F4DA-DF07-4C9A-B929-B7EF2AD63D56}"/>
    <cellStyle name="20% - Accent2 2 3 5 5" xfId="10391" xr:uid="{87549141-29C0-4359-86A7-2344517CED74}"/>
    <cellStyle name="20% - Accent2 2 3 6" xfId="2276" xr:uid="{00000000-0005-0000-0000-0000DC000000}"/>
    <cellStyle name="20% - Accent2 2 3 6 2" xfId="6583" xr:uid="{00000000-0005-0000-0000-0000DD000000}"/>
    <cellStyle name="20% - Accent2 2 3 6 2 2" xfId="23455" xr:uid="{A225AAE4-1228-4348-AD1C-E6734713CB1E}"/>
    <cellStyle name="20% - Accent2 2 3 6 2 3" xfId="15021" xr:uid="{3BB2F482-064C-45CD-8EEE-06B1F45A398E}"/>
    <cellStyle name="20% - Accent2 2 3 6 3" xfId="19238" xr:uid="{381A7BEE-BB17-44C0-BF4A-4EDEE2F89D6D}"/>
    <cellStyle name="20% - Accent2 2 3 6 4" xfId="10804" xr:uid="{EA720828-8F57-435C-B515-918147134E1A}"/>
    <cellStyle name="20% - Accent2 2 3 7" xfId="4517" xr:uid="{00000000-0005-0000-0000-0000DE000000}"/>
    <cellStyle name="20% - Accent2 2 3 7 2" xfId="21389" xr:uid="{F68EB60D-6301-4EDD-8EC1-F77929DFF139}"/>
    <cellStyle name="20% - Accent2 2 3 7 3" xfId="12955" xr:uid="{311A61B9-D15A-477E-8C2D-4BAD48E88AB7}"/>
    <cellStyle name="20% - Accent2 2 3 8" xfId="17172" xr:uid="{39C24AC7-6D02-4A51-A5A3-073FF87C016B}"/>
    <cellStyle name="20% - Accent2 2 3 9" xfId="8738" xr:uid="{C052227E-C18D-438C-9DD8-1D270DD36BCD}"/>
    <cellStyle name="20% - Accent2 2 4" xfId="579" xr:uid="{00000000-0005-0000-0000-0000DF000000}"/>
    <cellStyle name="20% - Accent2 2 4 2" xfId="2850" xr:uid="{00000000-0005-0000-0000-0000E0000000}"/>
    <cellStyle name="20% - Accent2 2 4 2 2" xfId="7073" xr:uid="{00000000-0005-0000-0000-0000E1000000}"/>
    <cellStyle name="20% - Accent2 2 4 2 2 2" xfId="23945" xr:uid="{7EAD9728-D5C5-4F87-B082-CABA59E74703}"/>
    <cellStyle name="20% - Accent2 2 4 2 2 3" xfId="15511" xr:uid="{BB209FD5-17F1-4788-8BAF-9614747316D1}"/>
    <cellStyle name="20% - Accent2 2 4 2 3" xfId="19728" xr:uid="{210B2DA3-4198-4143-AFEE-74819AFB6189}"/>
    <cellStyle name="20% - Accent2 2 4 2 4" xfId="11294" xr:uid="{0B762BCF-1AC4-435D-BAA9-BAB2AA400633}"/>
    <cellStyle name="20% - Accent2 2 4 3" xfId="4928" xr:uid="{00000000-0005-0000-0000-0000E2000000}"/>
    <cellStyle name="20% - Accent2 2 4 3 2" xfId="21800" xr:uid="{047644F4-1D4A-442D-A464-FD8E0AB9D1AD}"/>
    <cellStyle name="20% - Accent2 2 4 3 3" xfId="13366" xr:uid="{3B723DC9-C987-431B-B606-51BA46F1A0F3}"/>
    <cellStyle name="20% - Accent2 2 4 4" xfId="17583" xr:uid="{09FCC05D-F6BE-4F69-BD81-D59336C8682C}"/>
    <cellStyle name="20% - Accent2 2 4 5" xfId="9149" xr:uid="{B72DC3AB-F8CE-4FE0-A30E-A3DC14613ED7}"/>
    <cellStyle name="20% - Accent2 2 5" xfId="1032" xr:uid="{00000000-0005-0000-0000-0000E3000000}"/>
    <cellStyle name="20% - Accent2 2 5 2" xfId="3263" xr:uid="{00000000-0005-0000-0000-0000E4000000}"/>
    <cellStyle name="20% - Accent2 2 5 2 2" xfId="7486" xr:uid="{00000000-0005-0000-0000-0000E5000000}"/>
    <cellStyle name="20% - Accent2 2 5 2 2 2" xfId="24358" xr:uid="{5B92E413-C524-4894-9BCA-5EA9DBB0F6DD}"/>
    <cellStyle name="20% - Accent2 2 5 2 2 3" xfId="15924" xr:uid="{8DE2FE99-2D70-4B1A-B55A-44B8E96B5027}"/>
    <cellStyle name="20% - Accent2 2 5 2 3" xfId="20141" xr:uid="{61757B39-AD33-4B1A-8C93-35874F67DCF1}"/>
    <cellStyle name="20% - Accent2 2 5 2 4" xfId="11707" xr:uid="{17D14CE7-55CA-40EA-94BC-A1C8AB0B1536}"/>
    <cellStyle name="20% - Accent2 2 5 3" xfId="5341" xr:uid="{00000000-0005-0000-0000-0000E6000000}"/>
    <cellStyle name="20% - Accent2 2 5 3 2" xfId="22213" xr:uid="{AD223BAE-75A2-4258-BEC9-3A24B599873E}"/>
    <cellStyle name="20% - Accent2 2 5 3 3" xfId="13779" xr:uid="{5F79E64F-0EC6-41BF-B8D0-6541E39DB48E}"/>
    <cellStyle name="20% - Accent2 2 5 4" xfId="17996" xr:uid="{F59B41D9-FA22-42C5-B445-E8FC38C59FDA}"/>
    <cellStyle name="20% - Accent2 2 5 5" xfId="9562" xr:uid="{1B32D3D9-DC42-4E8E-B54D-C03282727DD7}"/>
    <cellStyle name="20% - Accent2 2 6" xfId="1446" xr:uid="{00000000-0005-0000-0000-0000E7000000}"/>
    <cellStyle name="20% - Accent2 2 6 2" xfId="3676" xr:uid="{00000000-0005-0000-0000-0000E8000000}"/>
    <cellStyle name="20% - Accent2 2 6 2 2" xfId="7899" xr:uid="{00000000-0005-0000-0000-0000E9000000}"/>
    <cellStyle name="20% - Accent2 2 6 2 2 2" xfId="24771" xr:uid="{DADB1F75-C0C8-406B-A4BA-DE1E2D86FFD7}"/>
    <cellStyle name="20% - Accent2 2 6 2 2 3" xfId="16337" xr:uid="{F6939837-8AE1-4EE7-9E5B-5910540344C1}"/>
    <cellStyle name="20% - Accent2 2 6 2 3" xfId="20554" xr:uid="{C29A3565-1EA5-4B04-B200-0B0DAE4F5F9F}"/>
    <cellStyle name="20% - Accent2 2 6 2 4" xfId="12120" xr:uid="{A1A155C9-F849-454F-8059-4CE8443ED91D}"/>
    <cellStyle name="20% - Accent2 2 6 3" xfId="5754" xr:uid="{00000000-0005-0000-0000-0000EA000000}"/>
    <cellStyle name="20% - Accent2 2 6 3 2" xfId="22626" xr:uid="{92B8FAD7-F2F6-4138-AAC0-E8636951A3A2}"/>
    <cellStyle name="20% - Accent2 2 6 3 3" xfId="14192" xr:uid="{4C0CC050-BA45-467A-A641-6BDEEF0293F0}"/>
    <cellStyle name="20% - Accent2 2 6 4" xfId="18409" xr:uid="{D73F8EDC-BEEE-4DB5-9942-5A6DECEF125F}"/>
    <cellStyle name="20% - Accent2 2 6 5" xfId="9975" xr:uid="{447F83DC-87AC-4E28-9F25-7278E8754EE5}"/>
    <cellStyle name="20% - Accent2 2 7" xfId="1860" xr:uid="{00000000-0005-0000-0000-0000EB000000}"/>
    <cellStyle name="20% - Accent2 2 7 2" xfId="4089" xr:uid="{00000000-0005-0000-0000-0000EC000000}"/>
    <cellStyle name="20% - Accent2 2 7 2 2" xfId="8312" xr:uid="{00000000-0005-0000-0000-0000ED000000}"/>
    <cellStyle name="20% - Accent2 2 7 2 2 2" xfId="25184" xr:uid="{18B6867F-23A6-432D-AEA6-1D65A289D03F}"/>
    <cellStyle name="20% - Accent2 2 7 2 2 3" xfId="16750" xr:uid="{DFBC7253-6E43-483B-8CD4-CA88CE06AED3}"/>
    <cellStyle name="20% - Accent2 2 7 2 3" xfId="20967" xr:uid="{5FCC5609-5610-49CA-B3B4-12A01EC72679}"/>
    <cellStyle name="20% - Accent2 2 7 2 4" xfId="12533" xr:uid="{50BAD7B5-FB02-4A7F-AE56-82CD1F1CB741}"/>
    <cellStyle name="20% - Accent2 2 7 3" xfId="6167" xr:uid="{00000000-0005-0000-0000-0000EE000000}"/>
    <cellStyle name="20% - Accent2 2 7 3 2" xfId="23039" xr:uid="{316F4D57-7136-432E-B50A-B982B9CD2328}"/>
    <cellStyle name="20% - Accent2 2 7 3 3" xfId="14605" xr:uid="{AA2241C1-9563-4EFE-AB85-277BE0538272}"/>
    <cellStyle name="20% - Accent2 2 7 4" xfId="18822" xr:uid="{577CB5BC-8588-4629-BEA6-4D52ACD7B956}"/>
    <cellStyle name="20% - Accent2 2 7 5" xfId="10388" xr:uid="{C14AE50C-255A-40C1-987D-7D64D5756058}"/>
    <cellStyle name="20% - Accent2 2 8" xfId="2273" xr:uid="{00000000-0005-0000-0000-0000EF000000}"/>
    <cellStyle name="20% - Accent2 2 8 2" xfId="6580" xr:uid="{00000000-0005-0000-0000-0000F0000000}"/>
    <cellStyle name="20% - Accent2 2 8 2 2" xfId="23452" xr:uid="{1B5E5610-D867-4A6A-AF0A-982021DF7CCA}"/>
    <cellStyle name="20% - Accent2 2 8 2 3" xfId="15018" xr:uid="{6DB902B8-1680-48BF-847F-DDDA47CF6099}"/>
    <cellStyle name="20% - Accent2 2 8 3" xfId="19235" xr:uid="{8250BA69-8D8D-4562-B742-66E7A713F4B1}"/>
    <cellStyle name="20% - Accent2 2 8 4" xfId="10801" xr:uid="{1533DFFA-8B7B-4A9C-9D96-9A29C0E4345D}"/>
    <cellStyle name="20% - Accent2 2 9" xfId="4514" xr:uid="{00000000-0005-0000-0000-0000F1000000}"/>
    <cellStyle name="20% - Accent2 2 9 2" xfId="21386" xr:uid="{9A021951-1E45-4156-846B-6D772C38FF1F}"/>
    <cellStyle name="20% - Accent2 2 9 3" xfId="12952" xr:uid="{17F57781-4FE8-4480-8591-CE1EA8CC68B6}"/>
    <cellStyle name="20% - Accent2 3" xfId="14" xr:uid="{00000000-0005-0000-0000-0000F2000000}"/>
    <cellStyle name="20% - Accent2 3 10" xfId="8739" xr:uid="{48D91173-9812-4401-98DC-00CC29764E84}"/>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23950" xr:uid="{177DB687-AA7D-449A-84A4-E521EB77F077}"/>
    <cellStyle name="20% - Accent2 3 2 2 2 2 3" xfId="15516" xr:uid="{D017A6B4-7084-42C9-8299-85E01DB3FCFD}"/>
    <cellStyle name="20% - Accent2 3 2 2 2 3" xfId="19733" xr:uid="{7D61D757-7B3E-41B3-BBA5-E8169BD69FBD}"/>
    <cellStyle name="20% - Accent2 3 2 2 2 4" xfId="11299" xr:uid="{AD44CEAB-83E4-4419-8EA2-D6DA93D2DDC4}"/>
    <cellStyle name="20% - Accent2 3 2 2 3" xfId="4933" xr:uid="{00000000-0005-0000-0000-0000F7000000}"/>
    <cellStyle name="20% - Accent2 3 2 2 3 2" xfId="21805" xr:uid="{449ECDEB-28BC-4CF5-9AA1-38BA98387BA1}"/>
    <cellStyle name="20% - Accent2 3 2 2 3 3" xfId="13371" xr:uid="{A95385DC-236D-4109-9481-F5E18491BE37}"/>
    <cellStyle name="20% - Accent2 3 2 2 4" xfId="17588" xr:uid="{BF6A64AB-0DD4-4046-B638-B2C708EC8846}"/>
    <cellStyle name="20% - Accent2 3 2 2 5" xfId="9154" xr:uid="{AD7B91E5-9663-4D68-89C0-36122C19DFAA}"/>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24363" xr:uid="{B5DDBC9C-29A7-446B-9627-F2ECA28D75A0}"/>
    <cellStyle name="20% - Accent2 3 2 3 2 2 3" xfId="15929" xr:uid="{8A745D36-9706-49D0-85F7-465A75C52836}"/>
    <cellStyle name="20% - Accent2 3 2 3 2 3" xfId="20146" xr:uid="{6C16B583-2268-4911-A2FC-B1FE118F8C43}"/>
    <cellStyle name="20% - Accent2 3 2 3 2 4" xfId="11712" xr:uid="{2AA389E5-11F7-4409-8A8D-E2D80B459147}"/>
    <cellStyle name="20% - Accent2 3 2 3 3" xfId="5346" xr:uid="{00000000-0005-0000-0000-0000FB000000}"/>
    <cellStyle name="20% - Accent2 3 2 3 3 2" xfId="22218" xr:uid="{16C006EA-4EB6-464F-BB1F-0737B42EA95A}"/>
    <cellStyle name="20% - Accent2 3 2 3 3 3" xfId="13784" xr:uid="{A4497E95-CE37-409D-8328-254430B7D3F3}"/>
    <cellStyle name="20% - Accent2 3 2 3 4" xfId="18001" xr:uid="{039DAD73-F727-414E-A089-E6C6D5070A6D}"/>
    <cellStyle name="20% - Accent2 3 2 3 5" xfId="9567" xr:uid="{97B42B41-1E9E-4AF2-AAFE-0064AA58F38B}"/>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24776" xr:uid="{1CE4A74A-988C-4922-9B9E-0687C520C58D}"/>
    <cellStyle name="20% - Accent2 3 2 4 2 2 3" xfId="16342" xr:uid="{BD24F15D-6960-4220-B1CF-065F42B001EE}"/>
    <cellStyle name="20% - Accent2 3 2 4 2 3" xfId="20559" xr:uid="{BA9A00BF-A1AD-41FA-BA54-FD47AAF0609B}"/>
    <cellStyle name="20% - Accent2 3 2 4 2 4" xfId="12125" xr:uid="{D724F8DD-E3BF-4C8A-99C9-91A914CD68DB}"/>
    <cellStyle name="20% - Accent2 3 2 4 3" xfId="5759" xr:uid="{00000000-0005-0000-0000-0000FF000000}"/>
    <cellStyle name="20% - Accent2 3 2 4 3 2" xfId="22631" xr:uid="{B289F630-C9ED-4269-9D59-A44BFD333296}"/>
    <cellStyle name="20% - Accent2 3 2 4 3 3" xfId="14197" xr:uid="{1DA04279-5173-47A0-8FED-826F001659E6}"/>
    <cellStyle name="20% - Accent2 3 2 4 4" xfId="18414" xr:uid="{2B1C8135-7DB7-42F2-B1B7-D8CDB9F19D3E}"/>
    <cellStyle name="20% - Accent2 3 2 4 5" xfId="9980" xr:uid="{928E5721-D86C-4083-9A54-D922C104140E}"/>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25189" xr:uid="{CE6B09B2-C4A3-4BD5-ADF3-7C2970729681}"/>
    <cellStyle name="20% - Accent2 3 2 5 2 2 3" xfId="16755" xr:uid="{1A3E0D7C-54E5-4D90-BBBB-51610AAB18E3}"/>
    <cellStyle name="20% - Accent2 3 2 5 2 3" xfId="20972" xr:uid="{C32687ED-DFF0-4764-AF7F-4F3A4AE43B22}"/>
    <cellStyle name="20% - Accent2 3 2 5 2 4" xfId="12538" xr:uid="{CB237316-6E3E-4632-90A5-060408A588BB}"/>
    <cellStyle name="20% - Accent2 3 2 5 3" xfId="6172" xr:uid="{00000000-0005-0000-0000-000003010000}"/>
    <cellStyle name="20% - Accent2 3 2 5 3 2" xfId="23044" xr:uid="{CB15E216-B679-4635-85FD-7E5A959A1C14}"/>
    <cellStyle name="20% - Accent2 3 2 5 3 3" xfId="14610" xr:uid="{1E0310AA-F51B-4983-871F-03C079C422AC}"/>
    <cellStyle name="20% - Accent2 3 2 5 4" xfId="18827" xr:uid="{5CB8D003-0F03-4B7B-8650-67165EFA976A}"/>
    <cellStyle name="20% - Accent2 3 2 5 5" xfId="10393" xr:uid="{9558062E-4646-47B3-A71F-48C3F2EA2E55}"/>
    <cellStyle name="20% - Accent2 3 2 6" xfId="2278" xr:uid="{00000000-0005-0000-0000-000004010000}"/>
    <cellStyle name="20% - Accent2 3 2 6 2" xfId="6585" xr:uid="{00000000-0005-0000-0000-000005010000}"/>
    <cellStyle name="20% - Accent2 3 2 6 2 2" xfId="23457" xr:uid="{0B74A0CB-B063-460E-A4B6-5AC31732E661}"/>
    <cellStyle name="20% - Accent2 3 2 6 2 3" xfId="15023" xr:uid="{7FCD084E-7326-4014-BBE6-FC1F17B7721B}"/>
    <cellStyle name="20% - Accent2 3 2 6 3" xfId="19240" xr:uid="{1EFF9B0F-6084-403A-8A34-327BA6E5BAD6}"/>
    <cellStyle name="20% - Accent2 3 2 6 4" xfId="10806" xr:uid="{FA6DD282-AFE9-4667-B1D3-06D9CB61B041}"/>
    <cellStyle name="20% - Accent2 3 2 7" xfId="4519" xr:uid="{00000000-0005-0000-0000-000006010000}"/>
    <cellStyle name="20% - Accent2 3 2 7 2" xfId="21391" xr:uid="{AEECEDD7-3F0C-4351-AC1B-B3CF29A5B32A}"/>
    <cellStyle name="20% - Accent2 3 2 7 3" xfId="12957" xr:uid="{62403908-0060-442A-BCCF-BCBFE7490739}"/>
    <cellStyle name="20% - Accent2 3 2 8" xfId="17174" xr:uid="{84585B8D-5CA5-4969-9005-8EBAEF9C7B4A}"/>
    <cellStyle name="20% - Accent2 3 2 9" xfId="8740" xr:uid="{24BBFE51-CA8E-4633-A63D-2DF984CEE0D3}"/>
    <cellStyle name="20% - Accent2 3 3" xfId="583" xr:uid="{00000000-0005-0000-0000-000007010000}"/>
    <cellStyle name="20% - Accent2 3 3 2" xfId="2854" xr:uid="{00000000-0005-0000-0000-000008010000}"/>
    <cellStyle name="20% - Accent2 3 3 2 2" xfId="7077" xr:uid="{00000000-0005-0000-0000-000009010000}"/>
    <cellStyle name="20% - Accent2 3 3 2 2 2" xfId="23949" xr:uid="{E0D5E0D0-4F0F-4534-9BEB-83403A60CF37}"/>
    <cellStyle name="20% - Accent2 3 3 2 2 3" xfId="15515" xr:uid="{9866E3C1-710E-40D5-851B-6F0C2D319934}"/>
    <cellStyle name="20% - Accent2 3 3 2 3" xfId="19732" xr:uid="{7D8909C4-07EF-4976-B630-F654D6737B2A}"/>
    <cellStyle name="20% - Accent2 3 3 2 4" xfId="11298" xr:uid="{1BCBAA33-E9CD-45AA-850D-AA8FE4DD01F0}"/>
    <cellStyle name="20% - Accent2 3 3 3" xfId="4932" xr:uid="{00000000-0005-0000-0000-00000A010000}"/>
    <cellStyle name="20% - Accent2 3 3 3 2" xfId="21804" xr:uid="{FD39100F-5BCA-4928-9DD7-E839182A429C}"/>
    <cellStyle name="20% - Accent2 3 3 3 3" xfId="13370" xr:uid="{981EF385-A835-4694-B419-4397258D54E8}"/>
    <cellStyle name="20% - Accent2 3 3 4" xfId="17587" xr:uid="{BDB17053-6B91-4EFC-8B62-169549E6C914}"/>
    <cellStyle name="20% - Accent2 3 3 5" xfId="9153" xr:uid="{EB042070-8A9A-4F3F-94D2-4DC9B315EDE7}"/>
    <cellStyle name="20% - Accent2 3 4" xfId="1036" xr:uid="{00000000-0005-0000-0000-00000B010000}"/>
    <cellStyle name="20% - Accent2 3 4 2" xfId="3267" xr:uid="{00000000-0005-0000-0000-00000C010000}"/>
    <cellStyle name="20% - Accent2 3 4 2 2" xfId="7490" xr:uid="{00000000-0005-0000-0000-00000D010000}"/>
    <cellStyle name="20% - Accent2 3 4 2 2 2" xfId="24362" xr:uid="{98D5AEA7-AC75-44AD-8C13-9742571AF120}"/>
    <cellStyle name="20% - Accent2 3 4 2 2 3" xfId="15928" xr:uid="{7636B8F1-75F9-4141-A73F-73FBA1BFA842}"/>
    <cellStyle name="20% - Accent2 3 4 2 3" xfId="20145" xr:uid="{BCD13728-6604-41E9-AD14-4435B3243CB4}"/>
    <cellStyle name="20% - Accent2 3 4 2 4" xfId="11711" xr:uid="{F5D73D0D-5096-425E-8274-2AC089269374}"/>
    <cellStyle name="20% - Accent2 3 4 3" xfId="5345" xr:uid="{00000000-0005-0000-0000-00000E010000}"/>
    <cellStyle name="20% - Accent2 3 4 3 2" xfId="22217" xr:uid="{129FE71A-2C6C-4DC6-93CB-5B9994F47CA7}"/>
    <cellStyle name="20% - Accent2 3 4 3 3" xfId="13783" xr:uid="{F7F20BA0-8289-4906-9120-E37C77F99F44}"/>
    <cellStyle name="20% - Accent2 3 4 4" xfId="18000" xr:uid="{538D1205-A571-41E3-BBED-8F02A59D9420}"/>
    <cellStyle name="20% - Accent2 3 4 5" xfId="9566" xr:uid="{BBB8F63E-B32D-4D50-8220-FBE87CBB51C2}"/>
    <cellStyle name="20% - Accent2 3 5" xfId="1450" xr:uid="{00000000-0005-0000-0000-00000F010000}"/>
    <cellStyle name="20% - Accent2 3 5 2" xfId="3680" xr:uid="{00000000-0005-0000-0000-000010010000}"/>
    <cellStyle name="20% - Accent2 3 5 2 2" xfId="7903" xr:uid="{00000000-0005-0000-0000-000011010000}"/>
    <cellStyle name="20% - Accent2 3 5 2 2 2" xfId="24775" xr:uid="{DCCBE71D-400B-4B00-8DAD-F130C3B4A35F}"/>
    <cellStyle name="20% - Accent2 3 5 2 2 3" xfId="16341" xr:uid="{ABBAB049-7911-4C32-AEAB-EF284EB2FD11}"/>
    <cellStyle name="20% - Accent2 3 5 2 3" xfId="20558" xr:uid="{B1D03F43-2863-4A8C-A20A-28FE2691CAAF}"/>
    <cellStyle name="20% - Accent2 3 5 2 4" xfId="12124" xr:uid="{045734CE-6290-4AA4-9A1E-6F83A973C3AF}"/>
    <cellStyle name="20% - Accent2 3 5 3" xfId="5758" xr:uid="{00000000-0005-0000-0000-000012010000}"/>
    <cellStyle name="20% - Accent2 3 5 3 2" xfId="22630" xr:uid="{51006CDC-02ED-48BF-B817-C362C9B05DD5}"/>
    <cellStyle name="20% - Accent2 3 5 3 3" xfId="14196" xr:uid="{06A34EAF-92E3-4C89-8B9B-54E505FA1858}"/>
    <cellStyle name="20% - Accent2 3 5 4" xfId="18413" xr:uid="{9734E39E-6E24-4E5E-AFDB-9D545ADBA395}"/>
    <cellStyle name="20% - Accent2 3 5 5" xfId="9979" xr:uid="{F36F9387-01E8-4F41-AEEC-410C53740DF6}"/>
    <cellStyle name="20% - Accent2 3 6" xfId="1864" xr:uid="{00000000-0005-0000-0000-000013010000}"/>
    <cellStyle name="20% - Accent2 3 6 2" xfId="4093" xr:uid="{00000000-0005-0000-0000-000014010000}"/>
    <cellStyle name="20% - Accent2 3 6 2 2" xfId="8316" xr:uid="{00000000-0005-0000-0000-000015010000}"/>
    <cellStyle name="20% - Accent2 3 6 2 2 2" xfId="25188" xr:uid="{45B757F1-CE57-44AD-8630-53FA0FD5B163}"/>
    <cellStyle name="20% - Accent2 3 6 2 2 3" xfId="16754" xr:uid="{44E8672F-74FD-46E3-9252-78227506B7AB}"/>
    <cellStyle name="20% - Accent2 3 6 2 3" xfId="20971" xr:uid="{BE701D80-E7C0-45BA-9BCF-76C35721E26C}"/>
    <cellStyle name="20% - Accent2 3 6 2 4" xfId="12537" xr:uid="{ED25B4C2-6153-4AA5-87C4-0004A7602DEC}"/>
    <cellStyle name="20% - Accent2 3 6 3" xfId="6171" xr:uid="{00000000-0005-0000-0000-000016010000}"/>
    <cellStyle name="20% - Accent2 3 6 3 2" xfId="23043" xr:uid="{160A9DF8-7EC3-4488-AACF-5D1EFEB32AB3}"/>
    <cellStyle name="20% - Accent2 3 6 3 3" xfId="14609" xr:uid="{88CE2FB6-463D-47E1-8898-DD9CED6506F0}"/>
    <cellStyle name="20% - Accent2 3 6 4" xfId="18826" xr:uid="{6B4323D9-890D-4520-8999-3526370C644C}"/>
    <cellStyle name="20% - Accent2 3 6 5" xfId="10392" xr:uid="{2460FE47-B9A0-44F9-ABA5-6318A58196D7}"/>
    <cellStyle name="20% - Accent2 3 7" xfId="2277" xr:uid="{00000000-0005-0000-0000-000017010000}"/>
    <cellStyle name="20% - Accent2 3 7 2" xfId="6584" xr:uid="{00000000-0005-0000-0000-000018010000}"/>
    <cellStyle name="20% - Accent2 3 7 2 2" xfId="23456" xr:uid="{B312F3A4-0AE3-47FA-8348-20FF4EC393E7}"/>
    <cellStyle name="20% - Accent2 3 7 2 3" xfId="15022" xr:uid="{E0587D65-EFFE-42B8-BE60-7E608FD33C0F}"/>
    <cellStyle name="20% - Accent2 3 7 3" xfId="19239" xr:uid="{253647EC-7884-4A91-9232-DFC0BDE71BEE}"/>
    <cellStyle name="20% - Accent2 3 7 4" xfId="10805" xr:uid="{E154962B-2141-4ED3-8C42-150FF1A2F9AF}"/>
    <cellStyle name="20% - Accent2 3 8" xfId="4518" xr:uid="{00000000-0005-0000-0000-000019010000}"/>
    <cellStyle name="20% - Accent2 3 8 2" xfId="21390" xr:uid="{F4DFD7B4-AB9C-41D9-B2B4-2EFE2BA6311C}"/>
    <cellStyle name="20% - Accent2 3 8 3" xfId="12956" xr:uid="{83862D52-64A0-4026-8CCF-AE7B129D4F45}"/>
    <cellStyle name="20% - Accent2 3 9" xfId="17173" xr:uid="{895EB378-6483-46E2-8BF6-6D58F0AA573C}"/>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23951" xr:uid="{A0A707F7-F9B2-4DD2-89F6-70C3FA43EAAD}"/>
    <cellStyle name="20% - Accent2 4 2 2 2 3" xfId="15517" xr:uid="{299965F9-5331-4A0B-8806-BD086F7A5361}"/>
    <cellStyle name="20% - Accent2 4 2 2 3" xfId="19734" xr:uid="{EEE9F100-3849-4B84-9767-42DD2CA11B44}"/>
    <cellStyle name="20% - Accent2 4 2 2 4" xfId="11300" xr:uid="{756F8518-1865-4820-B88E-8F17D8CCCE25}"/>
    <cellStyle name="20% - Accent2 4 2 3" xfId="4934" xr:uid="{00000000-0005-0000-0000-00001E010000}"/>
    <cellStyle name="20% - Accent2 4 2 3 2" xfId="21806" xr:uid="{58EF7EA2-7001-441B-B011-29FEE081471D}"/>
    <cellStyle name="20% - Accent2 4 2 3 3" xfId="13372" xr:uid="{CC33D803-A190-49D2-8161-AC030BA66318}"/>
    <cellStyle name="20% - Accent2 4 2 4" xfId="17589" xr:uid="{E16EE22E-C8C3-470D-8125-31A3730AE98F}"/>
    <cellStyle name="20% - Accent2 4 2 5" xfId="9155" xr:uid="{EE8F1F37-CA97-4927-A46C-CF9FCEEC2910}"/>
    <cellStyle name="20% - Accent2 4 3" xfId="1038" xr:uid="{00000000-0005-0000-0000-00001F010000}"/>
    <cellStyle name="20% - Accent2 4 3 2" xfId="3269" xr:uid="{00000000-0005-0000-0000-000020010000}"/>
    <cellStyle name="20% - Accent2 4 3 2 2" xfId="7492" xr:uid="{00000000-0005-0000-0000-000021010000}"/>
    <cellStyle name="20% - Accent2 4 3 2 2 2" xfId="24364" xr:uid="{D1485D4D-AE0F-4663-9905-6B80846C8B17}"/>
    <cellStyle name="20% - Accent2 4 3 2 2 3" xfId="15930" xr:uid="{52F067C3-6840-4968-8A48-72A8FC38163D}"/>
    <cellStyle name="20% - Accent2 4 3 2 3" xfId="20147" xr:uid="{A2E15156-806E-4484-904D-B8E80256CE5A}"/>
    <cellStyle name="20% - Accent2 4 3 2 4" xfId="11713" xr:uid="{3C559E4F-5879-48B7-96DA-C3963DE1D44E}"/>
    <cellStyle name="20% - Accent2 4 3 3" xfId="5347" xr:uid="{00000000-0005-0000-0000-000022010000}"/>
    <cellStyle name="20% - Accent2 4 3 3 2" xfId="22219" xr:uid="{2881439D-4012-49E2-BB7E-80B1CF91F0B3}"/>
    <cellStyle name="20% - Accent2 4 3 3 3" xfId="13785" xr:uid="{2198A852-47AA-4895-8F64-731B479EE264}"/>
    <cellStyle name="20% - Accent2 4 3 4" xfId="18002" xr:uid="{FBC936DA-B28D-44FF-AFFE-9C29528DB604}"/>
    <cellStyle name="20% - Accent2 4 3 5" xfId="9568" xr:uid="{DEBD3F2F-E571-420C-A7DB-2CB32C0CF1C7}"/>
    <cellStyle name="20% - Accent2 4 4" xfId="1452" xr:uid="{00000000-0005-0000-0000-000023010000}"/>
    <cellStyle name="20% - Accent2 4 4 2" xfId="3682" xr:uid="{00000000-0005-0000-0000-000024010000}"/>
    <cellStyle name="20% - Accent2 4 4 2 2" xfId="7905" xr:uid="{00000000-0005-0000-0000-000025010000}"/>
    <cellStyle name="20% - Accent2 4 4 2 2 2" xfId="24777" xr:uid="{A4A3D7F8-89DF-4521-BEA8-7FC8B8239359}"/>
    <cellStyle name="20% - Accent2 4 4 2 2 3" xfId="16343" xr:uid="{557A0DD7-EADE-457E-A467-9C93660737BF}"/>
    <cellStyle name="20% - Accent2 4 4 2 3" xfId="20560" xr:uid="{43B88E67-C054-459A-BC49-4DCD5A5907C1}"/>
    <cellStyle name="20% - Accent2 4 4 2 4" xfId="12126" xr:uid="{F9FF8161-EA0C-43D0-8170-49512F78F388}"/>
    <cellStyle name="20% - Accent2 4 4 3" xfId="5760" xr:uid="{00000000-0005-0000-0000-000026010000}"/>
    <cellStyle name="20% - Accent2 4 4 3 2" xfId="22632" xr:uid="{3C94B5ED-3210-4CC0-885A-B2938198F215}"/>
    <cellStyle name="20% - Accent2 4 4 3 3" xfId="14198" xr:uid="{1B33D782-ECE3-42AB-B771-14F77D5796A1}"/>
    <cellStyle name="20% - Accent2 4 4 4" xfId="18415" xr:uid="{D474519A-D9DF-499B-8079-8638F600C484}"/>
    <cellStyle name="20% - Accent2 4 4 5" xfId="9981" xr:uid="{E07E616C-E5B4-45FE-B450-F4A9B32B6E20}"/>
    <cellStyle name="20% - Accent2 4 5" xfId="1866" xr:uid="{00000000-0005-0000-0000-000027010000}"/>
    <cellStyle name="20% - Accent2 4 5 2" xfId="4095" xr:uid="{00000000-0005-0000-0000-000028010000}"/>
    <cellStyle name="20% - Accent2 4 5 2 2" xfId="8318" xr:uid="{00000000-0005-0000-0000-000029010000}"/>
    <cellStyle name="20% - Accent2 4 5 2 2 2" xfId="25190" xr:uid="{88835982-D98F-4286-BDDC-8DF59BDEDBA7}"/>
    <cellStyle name="20% - Accent2 4 5 2 2 3" xfId="16756" xr:uid="{BBEEA6A4-F2C7-49C3-B7F3-4935A89F52CE}"/>
    <cellStyle name="20% - Accent2 4 5 2 3" xfId="20973" xr:uid="{76B441C4-8831-4F1E-B949-16DA0E719A0B}"/>
    <cellStyle name="20% - Accent2 4 5 2 4" xfId="12539" xr:uid="{E3A15374-C8D4-4D9B-81EC-BF64FDF152DB}"/>
    <cellStyle name="20% - Accent2 4 5 3" xfId="6173" xr:uid="{00000000-0005-0000-0000-00002A010000}"/>
    <cellStyle name="20% - Accent2 4 5 3 2" xfId="23045" xr:uid="{94EF4920-604A-4B83-9670-FDE4685AADD1}"/>
    <cellStyle name="20% - Accent2 4 5 3 3" xfId="14611" xr:uid="{ACFC9DD1-164D-4E8B-9347-BBF9C10356EB}"/>
    <cellStyle name="20% - Accent2 4 5 4" xfId="18828" xr:uid="{B9A2AD67-132C-4B6A-BDE2-6CBD361D63AF}"/>
    <cellStyle name="20% - Accent2 4 5 5" xfId="10394" xr:uid="{BE90502B-C06C-4194-9357-133307DFC738}"/>
    <cellStyle name="20% - Accent2 4 6" xfId="2279" xr:uid="{00000000-0005-0000-0000-00002B010000}"/>
    <cellStyle name="20% - Accent2 4 6 2" xfId="6586" xr:uid="{00000000-0005-0000-0000-00002C010000}"/>
    <cellStyle name="20% - Accent2 4 6 2 2" xfId="23458" xr:uid="{A0F0E4D2-DC2F-426C-95F1-F78943F5CD0F}"/>
    <cellStyle name="20% - Accent2 4 6 2 3" xfId="15024" xr:uid="{6DFDDF6F-8BBF-452D-984B-A562E07FC379}"/>
    <cellStyle name="20% - Accent2 4 6 3" xfId="19241" xr:uid="{944E02A5-C451-4D2A-B4D2-C2EEBF154D4B}"/>
    <cellStyle name="20% - Accent2 4 6 4" xfId="10807" xr:uid="{FB6DEEAB-5A3A-4221-85BC-858DF58B3166}"/>
    <cellStyle name="20% - Accent2 4 7" xfId="4520" xr:uid="{00000000-0005-0000-0000-00002D010000}"/>
    <cellStyle name="20% - Accent2 4 7 2" xfId="21392" xr:uid="{F77BABEA-3D34-40B3-8A79-741052A6164A}"/>
    <cellStyle name="20% - Accent2 4 7 3" xfId="12958" xr:uid="{BA6AC9BA-28E8-456F-939F-1BECECC4CFE0}"/>
    <cellStyle name="20% - Accent2 4 8" xfId="17175" xr:uid="{E141BCCC-9CF0-4CE3-BA64-AFF5AF8B0665}"/>
    <cellStyle name="20% - Accent2 4 9" xfId="8741" xr:uid="{AEB0D73D-E7D0-4918-BDF4-B8952FC36DC6}"/>
    <cellStyle name="20% - Accent2 5" xfId="578" xr:uid="{00000000-0005-0000-0000-00002E010000}"/>
    <cellStyle name="20% - Accent2 5 2" xfId="2849" xr:uid="{00000000-0005-0000-0000-00002F010000}"/>
    <cellStyle name="20% - Accent2 5 2 2" xfId="7072" xr:uid="{00000000-0005-0000-0000-000030010000}"/>
    <cellStyle name="20% - Accent2 5 2 2 2" xfId="23944" xr:uid="{DB73A184-BED9-4C93-A180-34AEB61BEF56}"/>
    <cellStyle name="20% - Accent2 5 2 2 3" xfId="15510" xr:uid="{DA1F551B-2C27-4209-93E9-87DD80EC7448}"/>
    <cellStyle name="20% - Accent2 5 2 3" xfId="19727" xr:uid="{0E635059-C9D5-4E29-A9C4-BD88203FA698}"/>
    <cellStyle name="20% - Accent2 5 2 4" xfId="11293" xr:uid="{96DD2CEA-3C6D-401A-82F5-AE21CE21AF96}"/>
    <cellStyle name="20% - Accent2 5 3" xfId="4927" xr:uid="{00000000-0005-0000-0000-000031010000}"/>
    <cellStyle name="20% - Accent2 5 3 2" xfId="21799" xr:uid="{D445F60A-D611-4FB8-B8DD-32B20F063E22}"/>
    <cellStyle name="20% - Accent2 5 3 3" xfId="13365" xr:uid="{A98220A4-6CFA-4C11-AE47-3F189126F5FE}"/>
    <cellStyle name="20% - Accent2 5 4" xfId="17582" xr:uid="{76D88DA4-0B74-440D-A8B2-25EA9E59C5AC}"/>
    <cellStyle name="20% - Accent2 5 5" xfId="9148" xr:uid="{37FEE352-9CB2-4952-BFA3-F9FA0EE13B14}"/>
    <cellStyle name="20% - Accent2 6" xfId="1031" xr:uid="{00000000-0005-0000-0000-000032010000}"/>
    <cellStyle name="20% - Accent2 6 2" xfId="3262" xr:uid="{00000000-0005-0000-0000-000033010000}"/>
    <cellStyle name="20% - Accent2 6 2 2" xfId="7485" xr:uid="{00000000-0005-0000-0000-000034010000}"/>
    <cellStyle name="20% - Accent2 6 2 2 2" xfId="24357" xr:uid="{F653D5F3-A3F9-423A-8573-7D92174EB032}"/>
    <cellStyle name="20% - Accent2 6 2 2 3" xfId="15923" xr:uid="{FC55F695-CBF7-49F2-A0DB-53C62C2BDCA6}"/>
    <cellStyle name="20% - Accent2 6 2 3" xfId="20140" xr:uid="{73B4F5F7-6F87-4D7E-9E7A-A8157B9A5DA0}"/>
    <cellStyle name="20% - Accent2 6 2 4" xfId="11706" xr:uid="{1EB3E4C2-EEC1-4243-9418-0A96DE6CCAB8}"/>
    <cellStyle name="20% - Accent2 6 3" xfId="5340" xr:uid="{00000000-0005-0000-0000-000035010000}"/>
    <cellStyle name="20% - Accent2 6 3 2" xfId="22212" xr:uid="{3ADFAACC-79D6-41E9-9424-CB9AFCA885F0}"/>
    <cellStyle name="20% - Accent2 6 3 3" xfId="13778" xr:uid="{FBF8B324-C21F-4D74-B658-807AA3C5157B}"/>
    <cellStyle name="20% - Accent2 6 4" xfId="17995" xr:uid="{15FC99CC-F97E-49A1-A897-8399FDC12962}"/>
    <cellStyle name="20% - Accent2 6 5" xfId="9561" xr:uid="{92B8E8E5-B0A6-4BC6-B510-7F081917172D}"/>
    <cellStyle name="20% - Accent2 7" xfId="1445" xr:uid="{00000000-0005-0000-0000-000036010000}"/>
    <cellStyle name="20% - Accent2 7 2" xfId="3675" xr:uid="{00000000-0005-0000-0000-000037010000}"/>
    <cellStyle name="20% - Accent2 7 2 2" xfId="7898" xr:uid="{00000000-0005-0000-0000-000038010000}"/>
    <cellStyle name="20% - Accent2 7 2 2 2" xfId="24770" xr:uid="{98DE5D00-44C7-4DC4-ADB7-4EFF05AA00D4}"/>
    <cellStyle name="20% - Accent2 7 2 2 3" xfId="16336" xr:uid="{81C05505-02C3-46CD-AFEF-BD56AD9281E4}"/>
    <cellStyle name="20% - Accent2 7 2 3" xfId="20553" xr:uid="{15ABEBF7-B34B-44B5-B0E3-8E141BE55396}"/>
    <cellStyle name="20% - Accent2 7 2 4" xfId="12119" xr:uid="{CA5E1765-0680-4584-933E-FC47AFECA11C}"/>
    <cellStyle name="20% - Accent2 7 3" xfId="5753" xr:uid="{00000000-0005-0000-0000-000039010000}"/>
    <cellStyle name="20% - Accent2 7 3 2" xfId="22625" xr:uid="{7F483B34-05FD-410B-A26D-3BB5CE890A0B}"/>
    <cellStyle name="20% - Accent2 7 3 3" xfId="14191" xr:uid="{D7520179-8BC5-4757-9165-3FE899ACF9A0}"/>
    <cellStyle name="20% - Accent2 7 4" xfId="18408" xr:uid="{A1551270-B71C-40CE-8D8F-FD8D04F51C6A}"/>
    <cellStyle name="20% - Accent2 7 5" xfId="9974" xr:uid="{827AE26A-6658-4D0F-83BB-6650F1097D31}"/>
    <cellStyle name="20% - Accent2 8" xfId="1859" xr:uid="{00000000-0005-0000-0000-00003A010000}"/>
    <cellStyle name="20% - Accent2 8 2" xfId="4088" xr:uid="{00000000-0005-0000-0000-00003B010000}"/>
    <cellStyle name="20% - Accent2 8 2 2" xfId="8311" xr:uid="{00000000-0005-0000-0000-00003C010000}"/>
    <cellStyle name="20% - Accent2 8 2 2 2" xfId="25183" xr:uid="{BCC4E150-F6A0-49E6-956C-D9074C132CC5}"/>
    <cellStyle name="20% - Accent2 8 2 2 3" xfId="16749" xr:uid="{BBB37DC7-B27A-4244-91C6-F14229F3D3C0}"/>
    <cellStyle name="20% - Accent2 8 2 3" xfId="20966" xr:uid="{A0F33CBC-50B6-4762-B86E-BEC32C53D3C8}"/>
    <cellStyle name="20% - Accent2 8 2 4" xfId="12532" xr:uid="{1C6EFCA5-1FBD-4C92-AAEB-2896FDA39306}"/>
    <cellStyle name="20% - Accent2 8 3" xfId="6166" xr:uid="{00000000-0005-0000-0000-00003D010000}"/>
    <cellStyle name="20% - Accent2 8 3 2" xfId="23038" xr:uid="{C8024BA6-C7F5-453C-9BC2-BFF0E1C535EF}"/>
    <cellStyle name="20% - Accent2 8 3 3" xfId="14604" xr:uid="{49EEC881-6554-4AE0-B989-47F52E1D618B}"/>
    <cellStyle name="20% - Accent2 8 4" xfId="18821" xr:uid="{C6C494AE-D542-41EA-87E9-CB04566553A1}"/>
    <cellStyle name="20% - Accent2 8 5" xfId="10387" xr:uid="{992E6F1B-8CAB-4307-82E7-057091291062}"/>
    <cellStyle name="20% - Accent2 9" xfId="2272" xr:uid="{00000000-0005-0000-0000-00003E010000}"/>
    <cellStyle name="20% - Accent2 9 2" xfId="6579" xr:uid="{00000000-0005-0000-0000-00003F010000}"/>
    <cellStyle name="20% - Accent2 9 2 2" xfId="23451" xr:uid="{F31C8AA4-7A0D-414B-AD24-C47621718FA5}"/>
    <cellStyle name="20% - Accent2 9 2 3" xfId="15017" xr:uid="{69573488-4FD4-4060-B49A-63E68B3FE513}"/>
    <cellStyle name="20% - Accent2 9 3" xfId="19234" xr:uid="{04478E17-CA36-4580-9365-9CAA19A9C5C5}"/>
    <cellStyle name="20% - Accent2 9 4" xfId="10800" xr:uid="{B7FA19A0-4175-446A-872F-E9A6F7C2048B}"/>
    <cellStyle name="20% - Accent3" xfId="17" builtinId="38" customBuiltin="1"/>
    <cellStyle name="20% - Accent3 10" xfId="4521" xr:uid="{00000000-0005-0000-0000-000041010000}"/>
    <cellStyle name="20% - Accent3 10 2" xfId="21393" xr:uid="{7BD3E6B2-B9C6-4811-AABE-B1EDCB2A12AE}"/>
    <cellStyle name="20% - Accent3 10 3" xfId="12959" xr:uid="{3DAA3848-1F6A-445E-B841-BF6EFD28D9FA}"/>
    <cellStyle name="20% - Accent3 11" xfId="17176" xr:uid="{ED2C3984-E0F4-4B4B-852E-A85FEB6085A5}"/>
    <cellStyle name="20% - Accent3 12" xfId="8742" xr:uid="{D138362B-A48E-4166-B712-2A7F302E25AD}"/>
    <cellStyle name="20% - Accent3 2" xfId="18" xr:uid="{00000000-0005-0000-0000-000042010000}"/>
    <cellStyle name="20% - Accent3 2 10" xfId="17177" xr:uid="{9A8B13AE-475A-4DA9-80C8-0C8CFEA00EF3}"/>
    <cellStyle name="20% - Accent3 2 11" xfId="8743" xr:uid="{24519773-CB27-45E5-A86C-305E2CEE7F69}"/>
    <cellStyle name="20% - Accent3 2 2" xfId="19" xr:uid="{00000000-0005-0000-0000-000043010000}"/>
    <cellStyle name="20% - Accent3 2 2 10" xfId="8744" xr:uid="{07BB25FC-2244-4C04-9A8D-1AEF0DC6693B}"/>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23955" xr:uid="{6485EF70-F3FF-40FB-BD2E-2D8A8D5CA23F}"/>
    <cellStyle name="20% - Accent3 2 2 2 2 2 2 3" xfId="15521" xr:uid="{D5ED18E7-288D-4C9D-AAAD-331801F53359}"/>
    <cellStyle name="20% - Accent3 2 2 2 2 2 3" xfId="19738" xr:uid="{F0D541E4-C133-4B00-8BDF-85BA287741D0}"/>
    <cellStyle name="20% - Accent3 2 2 2 2 2 4" xfId="11304" xr:uid="{E84B106D-766A-45FB-9B34-6BE408FAB3BE}"/>
    <cellStyle name="20% - Accent3 2 2 2 2 3" xfId="4938" xr:uid="{00000000-0005-0000-0000-000048010000}"/>
    <cellStyle name="20% - Accent3 2 2 2 2 3 2" xfId="21810" xr:uid="{54C7D683-EA4B-4282-A1FF-7FC7C7E930A7}"/>
    <cellStyle name="20% - Accent3 2 2 2 2 3 3" xfId="13376" xr:uid="{B12A9E13-C5F6-432B-9D97-DC6BB07AC50B}"/>
    <cellStyle name="20% - Accent3 2 2 2 2 4" xfId="17593" xr:uid="{E0952F2C-1237-436F-90F9-3F999B632E92}"/>
    <cellStyle name="20% - Accent3 2 2 2 2 5" xfId="9159" xr:uid="{4A78A096-00BE-4D81-BC57-710BC799B5F9}"/>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24368" xr:uid="{55319E6F-F352-4D64-8535-15DE0B21A37A}"/>
    <cellStyle name="20% - Accent3 2 2 2 3 2 2 3" xfId="15934" xr:uid="{28E6E362-5F7B-468E-813E-0E84F6E0C2EC}"/>
    <cellStyle name="20% - Accent3 2 2 2 3 2 3" xfId="20151" xr:uid="{C6C7DDB4-D21A-4791-883F-0E72F75CEACB}"/>
    <cellStyle name="20% - Accent3 2 2 2 3 2 4" xfId="11717" xr:uid="{BD256CA4-8488-43F6-AD36-6733DE6BDFB4}"/>
    <cellStyle name="20% - Accent3 2 2 2 3 3" xfId="5351" xr:uid="{00000000-0005-0000-0000-00004C010000}"/>
    <cellStyle name="20% - Accent3 2 2 2 3 3 2" xfId="22223" xr:uid="{17B227D2-ED15-401E-A0DB-44C60A6B6BDF}"/>
    <cellStyle name="20% - Accent3 2 2 2 3 3 3" xfId="13789" xr:uid="{64C52DF4-9946-41DE-A195-C9DFEF34F9A8}"/>
    <cellStyle name="20% - Accent3 2 2 2 3 4" xfId="18006" xr:uid="{48D45B06-BE07-44FA-AB47-42730417F653}"/>
    <cellStyle name="20% - Accent3 2 2 2 3 5" xfId="9572" xr:uid="{D9EDC62F-58FE-4430-84FF-637327B5C7C2}"/>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24781" xr:uid="{324D48C7-243C-46ED-A0CD-E83A18B58BBB}"/>
    <cellStyle name="20% - Accent3 2 2 2 4 2 2 3" xfId="16347" xr:uid="{DFD2C1AB-1322-4102-A4EA-65D4405BF65C}"/>
    <cellStyle name="20% - Accent3 2 2 2 4 2 3" xfId="20564" xr:uid="{063A4780-28BB-436A-9853-58D9C5C9C5E3}"/>
    <cellStyle name="20% - Accent3 2 2 2 4 2 4" xfId="12130" xr:uid="{4B54B599-5B94-42FA-BA2E-569D35236A47}"/>
    <cellStyle name="20% - Accent3 2 2 2 4 3" xfId="5764" xr:uid="{00000000-0005-0000-0000-000050010000}"/>
    <cellStyle name="20% - Accent3 2 2 2 4 3 2" xfId="22636" xr:uid="{7EA72EF8-A80F-4B13-BBBB-DFCB4B3326BE}"/>
    <cellStyle name="20% - Accent3 2 2 2 4 3 3" xfId="14202" xr:uid="{5FABC654-D206-466C-A2AB-664D2D2C83F1}"/>
    <cellStyle name="20% - Accent3 2 2 2 4 4" xfId="18419" xr:uid="{5330957B-9C0E-48ED-B35F-953C56561972}"/>
    <cellStyle name="20% - Accent3 2 2 2 4 5" xfId="9985" xr:uid="{AE1E2229-B1F5-4DB4-BB53-895811D32985}"/>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25194" xr:uid="{9FB7F538-2430-4F59-91F6-A9457AEAB911}"/>
    <cellStyle name="20% - Accent3 2 2 2 5 2 2 3" xfId="16760" xr:uid="{9F9F541E-72F8-46BA-B389-C676F8215D3F}"/>
    <cellStyle name="20% - Accent3 2 2 2 5 2 3" xfId="20977" xr:uid="{FF8E23EA-42F3-48FB-962B-3AFDB3AFAF0C}"/>
    <cellStyle name="20% - Accent3 2 2 2 5 2 4" xfId="12543" xr:uid="{1CC86785-D8DD-4298-A71E-83A354F087E9}"/>
    <cellStyle name="20% - Accent3 2 2 2 5 3" xfId="6177" xr:uid="{00000000-0005-0000-0000-000054010000}"/>
    <cellStyle name="20% - Accent3 2 2 2 5 3 2" xfId="23049" xr:uid="{B77E033B-67A9-485D-8997-D680ADE4D642}"/>
    <cellStyle name="20% - Accent3 2 2 2 5 3 3" xfId="14615" xr:uid="{DC3D9F67-A971-4CF6-9C9D-573C89659D58}"/>
    <cellStyle name="20% - Accent3 2 2 2 5 4" xfId="18832" xr:uid="{8C2071F4-A12B-4A18-9DA9-695F84686D68}"/>
    <cellStyle name="20% - Accent3 2 2 2 5 5" xfId="10398" xr:uid="{5A400B5A-F8B2-4261-B265-72AFE7881068}"/>
    <cellStyle name="20% - Accent3 2 2 2 6" xfId="2283" xr:uid="{00000000-0005-0000-0000-000055010000}"/>
    <cellStyle name="20% - Accent3 2 2 2 6 2" xfId="6590" xr:uid="{00000000-0005-0000-0000-000056010000}"/>
    <cellStyle name="20% - Accent3 2 2 2 6 2 2" xfId="23462" xr:uid="{7146DB04-4314-4399-B947-6FC06A51B1B1}"/>
    <cellStyle name="20% - Accent3 2 2 2 6 2 3" xfId="15028" xr:uid="{C4AC2524-EAB7-453F-86E6-637D3F4DD6DE}"/>
    <cellStyle name="20% - Accent3 2 2 2 6 3" xfId="19245" xr:uid="{1D80E97D-5628-42F4-B4EC-70E79AF07776}"/>
    <cellStyle name="20% - Accent3 2 2 2 6 4" xfId="10811" xr:uid="{5A9A11BF-6C18-46E3-8CE7-BF2DA16DA16B}"/>
    <cellStyle name="20% - Accent3 2 2 2 7" xfId="4524" xr:uid="{00000000-0005-0000-0000-000057010000}"/>
    <cellStyle name="20% - Accent3 2 2 2 7 2" xfId="21396" xr:uid="{AB481018-58B1-469D-9BCA-78AAB7424E24}"/>
    <cellStyle name="20% - Accent3 2 2 2 7 3" xfId="12962" xr:uid="{7D80F49A-A526-4757-85D7-E243B4EBCA99}"/>
    <cellStyle name="20% - Accent3 2 2 2 8" xfId="17179" xr:uid="{1EC2DF40-4850-44FA-BE42-F8FDF3D410A6}"/>
    <cellStyle name="20% - Accent3 2 2 2 9" xfId="8745" xr:uid="{6D0BD87A-8BBF-411E-BBE7-11B423D46418}"/>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23954" xr:uid="{02B78DFA-FA54-48F5-907E-29C573ECE740}"/>
    <cellStyle name="20% - Accent3 2 2 3 2 2 3" xfId="15520" xr:uid="{7ACA9A20-5D6E-429E-970B-569BE3EB4FE1}"/>
    <cellStyle name="20% - Accent3 2 2 3 2 3" xfId="19737" xr:uid="{47E2A998-B1B1-46E0-BA2A-3A7B694D1D45}"/>
    <cellStyle name="20% - Accent3 2 2 3 2 4" xfId="11303" xr:uid="{C1246522-4692-4242-814A-1C2C836B664E}"/>
    <cellStyle name="20% - Accent3 2 2 3 3" xfId="4937" xr:uid="{00000000-0005-0000-0000-00005B010000}"/>
    <cellStyle name="20% - Accent3 2 2 3 3 2" xfId="21809" xr:uid="{3E71F7CD-4177-469A-AD5A-FF446324EC24}"/>
    <cellStyle name="20% - Accent3 2 2 3 3 3" xfId="13375" xr:uid="{C081F900-5548-4EF5-99FB-14D246C8803D}"/>
    <cellStyle name="20% - Accent3 2 2 3 4" xfId="17592" xr:uid="{CF8A8F71-C405-4AA1-8083-90EAE5D65331}"/>
    <cellStyle name="20% - Accent3 2 2 3 5" xfId="9158" xr:uid="{5480744F-F4CC-4B81-B47A-D74F26559C40}"/>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24367" xr:uid="{90ABBD61-C9BC-4146-B3A6-1C7360DA0959}"/>
    <cellStyle name="20% - Accent3 2 2 4 2 2 3" xfId="15933" xr:uid="{2A0D3962-034F-404F-8E0C-BF8A7510FD8F}"/>
    <cellStyle name="20% - Accent3 2 2 4 2 3" xfId="20150" xr:uid="{EBEDA568-C60F-49A8-B828-8612C214C247}"/>
    <cellStyle name="20% - Accent3 2 2 4 2 4" xfId="11716" xr:uid="{35CC55EB-8CD6-4686-86A5-4F0402EB43FD}"/>
    <cellStyle name="20% - Accent3 2 2 4 3" xfId="5350" xr:uid="{00000000-0005-0000-0000-00005F010000}"/>
    <cellStyle name="20% - Accent3 2 2 4 3 2" xfId="22222" xr:uid="{FECA506A-E234-4659-9E34-8EFFF7C2546D}"/>
    <cellStyle name="20% - Accent3 2 2 4 3 3" xfId="13788" xr:uid="{F68C1CED-94EF-4CF8-A6E6-73A82529CF76}"/>
    <cellStyle name="20% - Accent3 2 2 4 4" xfId="18005" xr:uid="{0E8061C5-D1AB-4F39-B859-E615F65CB8A0}"/>
    <cellStyle name="20% - Accent3 2 2 4 5" xfId="9571" xr:uid="{730C15BD-29C8-4DC4-8B39-249FE684F11C}"/>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24780" xr:uid="{E4B5DF06-3554-4AE3-809C-1BAF3699CF2B}"/>
    <cellStyle name="20% - Accent3 2 2 5 2 2 3" xfId="16346" xr:uid="{9C22AB27-67BB-450D-A926-FAD24D4CB41D}"/>
    <cellStyle name="20% - Accent3 2 2 5 2 3" xfId="20563" xr:uid="{47B59DFB-6E9C-4886-8AE9-FC63088444FE}"/>
    <cellStyle name="20% - Accent3 2 2 5 2 4" xfId="12129" xr:uid="{82A05443-F297-4A21-9A19-D51A636C5B9F}"/>
    <cellStyle name="20% - Accent3 2 2 5 3" xfId="5763" xr:uid="{00000000-0005-0000-0000-000063010000}"/>
    <cellStyle name="20% - Accent3 2 2 5 3 2" xfId="22635" xr:uid="{D980DA36-8EF4-4C9A-AE05-B4CB9044A7A2}"/>
    <cellStyle name="20% - Accent3 2 2 5 3 3" xfId="14201" xr:uid="{45B71185-DCD3-4B72-BCCD-CE48013DB08B}"/>
    <cellStyle name="20% - Accent3 2 2 5 4" xfId="18418" xr:uid="{9FC8E771-6CF8-4649-8301-6CD063480F01}"/>
    <cellStyle name="20% - Accent3 2 2 5 5" xfId="9984" xr:uid="{77D0A52F-6E6C-4594-9E9E-135ECD1DFF91}"/>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25193" xr:uid="{52213767-E0B6-41E9-B9FD-B8417E5AB360}"/>
    <cellStyle name="20% - Accent3 2 2 6 2 2 3" xfId="16759" xr:uid="{49F1D1A2-5423-4C72-B1CC-FD273849294B}"/>
    <cellStyle name="20% - Accent3 2 2 6 2 3" xfId="20976" xr:uid="{7FBECE1B-3D46-4E00-8D68-78AE4F01A2DB}"/>
    <cellStyle name="20% - Accent3 2 2 6 2 4" xfId="12542" xr:uid="{883D3A17-CFFC-460B-8312-D66C4BF2402B}"/>
    <cellStyle name="20% - Accent3 2 2 6 3" xfId="6176" xr:uid="{00000000-0005-0000-0000-000067010000}"/>
    <cellStyle name="20% - Accent3 2 2 6 3 2" xfId="23048" xr:uid="{575FAC66-C19F-40A5-BBF9-8326CC5ABA23}"/>
    <cellStyle name="20% - Accent3 2 2 6 3 3" xfId="14614" xr:uid="{D3D7EB70-4DDD-4EE0-A989-07D473F58644}"/>
    <cellStyle name="20% - Accent3 2 2 6 4" xfId="18831" xr:uid="{96025B58-CB43-4F2A-9E56-756D2EF259CD}"/>
    <cellStyle name="20% - Accent3 2 2 6 5" xfId="10397" xr:uid="{528A4D8E-5C04-4D65-8E23-7E54436CE49F}"/>
    <cellStyle name="20% - Accent3 2 2 7" xfId="2282" xr:uid="{00000000-0005-0000-0000-000068010000}"/>
    <cellStyle name="20% - Accent3 2 2 7 2" xfId="6589" xr:uid="{00000000-0005-0000-0000-000069010000}"/>
    <cellStyle name="20% - Accent3 2 2 7 2 2" xfId="23461" xr:uid="{5F1628B7-9B81-4BD9-92B6-D0CB234B5AE6}"/>
    <cellStyle name="20% - Accent3 2 2 7 2 3" xfId="15027" xr:uid="{D61D504A-D2E2-4C05-93F3-279C06A93AA8}"/>
    <cellStyle name="20% - Accent3 2 2 7 3" xfId="19244" xr:uid="{30816ECB-8FD7-47E1-B181-C230E748EE8A}"/>
    <cellStyle name="20% - Accent3 2 2 7 4" xfId="10810" xr:uid="{20731612-C2CC-4021-A8B6-3D41021122D6}"/>
    <cellStyle name="20% - Accent3 2 2 8" xfId="4523" xr:uid="{00000000-0005-0000-0000-00006A010000}"/>
    <cellStyle name="20% - Accent3 2 2 8 2" xfId="21395" xr:uid="{33E127F5-D587-4CF2-8156-0F55749BA046}"/>
    <cellStyle name="20% - Accent3 2 2 8 3" xfId="12961" xr:uid="{C8B67F4D-8CE0-474B-A917-5407E4076EDB}"/>
    <cellStyle name="20% - Accent3 2 2 9" xfId="17178" xr:uid="{75A0B3F2-CA1C-4ADC-B2A2-AC515160921D}"/>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23956" xr:uid="{CFE99D5E-5C69-4DA4-9944-31AAC953EAFA}"/>
    <cellStyle name="20% - Accent3 2 3 2 2 2 3" xfId="15522" xr:uid="{F713ABB7-3C18-43EC-8ADB-81E08886CFF0}"/>
    <cellStyle name="20% - Accent3 2 3 2 2 3" xfId="19739" xr:uid="{FA89B57B-52A5-4950-BD61-5DA136848453}"/>
    <cellStyle name="20% - Accent3 2 3 2 2 4" xfId="11305" xr:uid="{8F50F617-016F-46B4-BAC2-86786738AF34}"/>
    <cellStyle name="20% - Accent3 2 3 2 3" xfId="4939" xr:uid="{00000000-0005-0000-0000-00006F010000}"/>
    <cellStyle name="20% - Accent3 2 3 2 3 2" xfId="21811" xr:uid="{B3C8EF44-51D8-4263-BD04-1F306860058D}"/>
    <cellStyle name="20% - Accent3 2 3 2 3 3" xfId="13377" xr:uid="{96DB5CF4-6532-430A-BA03-1CC270A25E99}"/>
    <cellStyle name="20% - Accent3 2 3 2 4" xfId="17594" xr:uid="{6F14692A-05E3-42B0-9DA9-9278E9A7428B}"/>
    <cellStyle name="20% - Accent3 2 3 2 5" xfId="9160" xr:uid="{7B355D30-6838-4B18-91A6-3FB73CA1E616}"/>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24369" xr:uid="{72C1204D-23C1-4518-AC95-7B42A15D8771}"/>
    <cellStyle name="20% - Accent3 2 3 3 2 2 3" xfId="15935" xr:uid="{F7943426-A988-43AE-8B26-23F557E1B229}"/>
    <cellStyle name="20% - Accent3 2 3 3 2 3" xfId="20152" xr:uid="{27520488-1D8E-402D-8EDD-1198A9761E82}"/>
    <cellStyle name="20% - Accent3 2 3 3 2 4" xfId="11718" xr:uid="{F085DDB0-50FA-4F99-9A19-2665DA0F83A7}"/>
    <cellStyle name="20% - Accent3 2 3 3 3" xfId="5352" xr:uid="{00000000-0005-0000-0000-000073010000}"/>
    <cellStyle name="20% - Accent3 2 3 3 3 2" xfId="22224" xr:uid="{91C16A03-99B8-4BB9-95E4-D78DD16ADD54}"/>
    <cellStyle name="20% - Accent3 2 3 3 3 3" xfId="13790" xr:uid="{ADBC0762-DD23-4782-9127-FE395DE161B0}"/>
    <cellStyle name="20% - Accent3 2 3 3 4" xfId="18007" xr:uid="{CD65447A-3250-4E36-A5DE-2311B461C43C}"/>
    <cellStyle name="20% - Accent3 2 3 3 5" xfId="9573" xr:uid="{A89EF8F4-5911-43C7-B6B7-D94FBD0C403A}"/>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24782" xr:uid="{11BA8DFB-0D50-40D9-BEAE-2E98D8475F32}"/>
    <cellStyle name="20% - Accent3 2 3 4 2 2 3" xfId="16348" xr:uid="{6FF5DB57-7480-4880-8A36-E89A6A2B685E}"/>
    <cellStyle name="20% - Accent3 2 3 4 2 3" xfId="20565" xr:uid="{BAB8E329-84BF-4743-8EA0-5AE19C623DD5}"/>
    <cellStyle name="20% - Accent3 2 3 4 2 4" xfId="12131" xr:uid="{8952C338-A793-448E-A87B-6E90D4AF4B54}"/>
    <cellStyle name="20% - Accent3 2 3 4 3" xfId="5765" xr:uid="{00000000-0005-0000-0000-000077010000}"/>
    <cellStyle name="20% - Accent3 2 3 4 3 2" xfId="22637" xr:uid="{E352A3AA-5116-45C6-9319-D7F30FE13954}"/>
    <cellStyle name="20% - Accent3 2 3 4 3 3" xfId="14203" xr:uid="{80F1D9CF-2BD0-4CFF-9C6E-4393BB38CCF0}"/>
    <cellStyle name="20% - Accent3 2 3 4 4" xfId="18420" xr:uid="{834C468A-D3CF-4FD8-A773-6AC712C36B13}"/>
    <cellStyle name="20% - Accent3 2 3 4 5" xfId="9986" xr:uid="{E788E932-2108-45D8-9C84-D49838EADA33}"/>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25195" xr:uid="{76CCA6AA-F124-41FD-8F0F-F1C63F72D806}"/>
    <cellStyle name="20% - Accent3 2 3 5 2 2 3" xfId="16761" xr:uid="{5ACA81AC-14FC-48E5-A24A-E0D5C9897EF5}"/>
    <cellStyle name="20% - Accent3 2 3 5 2 3" xfId="20978" xr:uid="{8FDF8044-EEDF-4F12-A910-DE72323A5D83}"/>
    <cellStyle name="20% - Accent3 2 3 5 2 4" xfId="12544" xr:uid="{54C10DDB-D64B-4157-B971-262B62583CB1}"/>
    <cellStyle name="20% - Accent3 2 3 5 3" xfId="6178" xr:uid="{00000000-0005-0000-0000-00007B010000}"/>
    <cellStyle name="20% - Accent3 2 3 5 3 2" xfId="23050" xr:uid="{CDF1BD0E-CAA4-4A13-9E9E-C04926C6BDEC}"/>
    <cellStyle name="20% - Accent3 2 3 5 3 3" xfId="14616" xr:uid="{B4CC59C9-3188-427D-9292-B22F448928A3}"/>
    <cellStyle name="20% - Accent3 2 3 5 4" xfId="18833" xr:uid="{D920BBD3-C565-4FEE-B0B5-3D96C27079AA}"/>
    <cellStyle name="20% - Accent3 2 3 5 5" xfId="10399" xr:uid="{7B229231-9FD5-4C6C-835A-1E46D3EA5A42}"/>
    <cellStyle name="20% - Accent3 2 3 6" xfId="2284" xr:uid="{00000000-0005-0000-0000-00007C010000}"/>
    <cellStyle name="20% - Accent3 2 3 6 2" xfId="6591" xr:uid="{00000000-0005-0000-0000-00007D010000}"/>
    <cellStyle name="20% - Accent3 2 3 6 2 2" xfId="23463" xr:uid="{6A742F82-0738-461D-A706-EBBD8100188B}"/>
    <cellStyle name="20% - Accent3 2 3 6 2 3" xfId="15029" xr:uid="{7E54EC06-5D0E-4B0C-842C-4E6FC11B777B}"/>
    <cellStyle name="20% - Accent3 2 3 6 3" xfId="19246" xr:uid="{080EA0A8-8961-4AD1-824F-5B42EB2EC4BB}"/>
    <cellStyle name="20% - Accent3 2 3 6 4" xfId="10812" xr:uid="{3C8FD594-D219-4E4D-B83D-6D6022A23E8F}"/>
    <cellStyle name="20% - Accent3 2 3 7" xfId="4525" xr:uid="{00000000-0005-0000-0000-00007E010000}"/>
    <cellStyle name="20% - Accent3 2 3 7 2" xfId="21397" xr:uid="{C92AB1E4-8165-4AD0-B6BE-AD4514DB7243}"/>
    <cellStyle name="20% - Accent3 2 3 7 3" xfId="12963" xr:uid="{8958B321-F194-4807-84B3-F833992E6F48}"/>
    <cellStyle name="20% - Accent3 2 3 8" xfId="17180" xr:uid="{9859038B-0F7F-4C68-A322-17ECB09F72EC}"/>
    <cellStyle name="20% - Accent3 2 3 9" xfId="8746" xr:uid="{AA12B64B-1448-4D49-8C92-29A415E2F0A3}"/>
    <cellStyle name="20% - Accent3 2 4" xfId="587" xr:uid="{00000000-0005-0000-0000-00007F010000}"/>
    <cellStyle name="20% - Accent3 2 4 2" xfId="2858" xr:uid="{00000000-0005-0000-0000-000080010000}"/>
    <cellStyle name="20% - Accent3 2 4 2 2" xfId="7081" xr:uid="{00000000-0005-0000-0000-000081010000}"/>
    <cellStyle name="20% - Accent3 2 4 2 2 2" xfId="23953" xr:uid="{AB133A6A-6078-48BC-B3F8-F3DE09040CA1}"/>
    <cellStyle name="20% - Accent3 2 4 2 2 3" xfId="15519" xr:uid="{E3663DDC-126C-4F9C-B4A9-550689EC7E2F}"/>
    <cellStyle name="20% - Accent3 2 4 2 3" xfId="19736" xr:uid="{393E8280-E7D4-4507-A86A-0845B8041586}"/>
    <cellStyle name="20% - Accent3 2 4 2 4" xfId="11302" xr:uid="{83C2069D-5D5B-4B2C-AD67-0E217C14E260}"/>
    <cellStyle name="20% - Accent3 2 4 3" xfId="4936" xr:uid="{00000000-0005-0000-0000-000082010000}"/>
    <cellStyle name="20% - Accent3 2 4 3 2" xfId="21808" xr:uid="{233C66C2-7C8F-49CC-8283-CF5558BC49DA}"/>
    <cellStyle name="20% - Accent3 2 4 3 3" xfId="13374" xr:uid="{228760CC-279A-457F-922A-F0244C26C102}"/>
    <cellStyle name="20% - Accent3 2 4 4" xfId="17591" xr:uid="{78724260-6F9A-4D5F-99D6-E3989F013475}"/>
    <cellStyle name="20% - Accent3 2 4 5" xfId="9157" xr:uid="{D1989788-89DF-460E-A913-B22BE221B9C6}"/>
    <cellStyle name="20% - Accent3 2 5" xfId="1040" xr:uid="{00000000-0005-0000-0000-000083010000}"/>
    <cellStyle name="20% - Accent3 2 5 2" xfId="3271" xr:uid="{00000000-0005-0000-0000-000084010000}"/>
    <cellStyle name="20% - Accent3 2 5 2 2" xfId="7494" xr:uid="{00000000-0005-0000-0000-000085010000}"/>
    <cellStyle name="20% - Accent3 2 5 2 2 2" xfId="24366" xr:uid="{D0861B90-C07A-4603-8C53-448DD432860E}"/>
    <cellStyle name="20% - Accent3 2 5 2 2 3" xfId="15932" xr:uid="{C868645C-23CA-496F-862C-7E59009485A9}"/>
    <cellStyle name="20% - Accent3 2 5 2 3" xfId="20149" xr:uid="{C07E530C-6390-4307-BCC5-995C5A686072}"/>
    <cellStyle name="20% - Accent3 2 5 2 4" xfId="11715" xr:uid="{91A3D830-6F08-4A7D-B709-26FACD787124}"/>
    <cellStyle name="20% - Accent3 2 5 3" xfId="5349" xr:uid="{00000000-0005-0000-0000-000086010000}"/>
    <cellStyle name="20% - Accent3 2 5 3 2" xfId="22221" xr:uid="{A4D7056F-2CB6-4AA0-A463-7A267F75CD6B}"/>
    <cellStyle name="20% - Accent3 2 5 3 3" xfId="13787" xr:uid="{E0F69E0B-1B92-4C23-83F6-6F5E086A737F}"/>
    <cellStyle name="20% - Accent3 2 5 4" xfId="18004" xr:uid="{313FA589-237D-40E7-B63D-F694FA176CDB}"/>
    <cellStyle name="20% - Accent3 2 5 5" xfId="9570" xr:uid="{AB06B92D-F0E0-4442-9306-F2F4B9D200B6}"/>
    <cellStyle name="20% - Accent3 2 6" xfId="1454" xr:uid="{00000000-0005-0000-0000-000087010000}"/>
    <cellStyle name="20% - Accent3 2 6 2" xfId="3684" xr:uid="{00000000-0005-0000-0000-000088010000}"/>
    <cellStyle name="20% - Accent3 2 6 2 2" xfId="7907" xr:uid="{00000000-0005-0000-0000-000089010000}"/>
    <cellStyle name="20% - Accent3 2 6 2 2 2" xfId="24779" xr:uid="{6CB18CF9-D619-4162-B5D1-595027698FDB}"/>
    <cellStyle name="20% - Accent3 2 6 2 2 3" xfId="16345" xr:uid="{A576623C-204C-48DE-A7B9-88B2910EA3AD}"/>
    <cellStyle name="20% - Accent3 2 6 2 3" xfId="20562" xr:uid="{05D164CA-CACD-49AD-98D3-6A5AFA8A511D}"/>
    <cellStyle name="20% - Accent3 2 6 2 4" xfId="12128" xr:uid="{9DF3184E-1E2E-4294-A128-ECB67FDA908C}"/>
    <cellStyle name="20% - Accent3 2 6 3" xfId="5762" xr:uid="{00000000-0005-0000-0000-00008A010000}"/>
    <cellStyle name="20% - Accent3 2 6 3 2" xfId="22634" xr:uid="{6781671F-F7E5-4895-BE87-AD933EC0B134}"/>
    <cellStyle name="20% - Accent3 2 6 3 3" xfId="14200" xr:uid="{697296B2-02C0-422A-9ABC-434C36059682}"/>
    <cellStyle name="20% - Accent3 2 6 4" xfId="18417" xr:uid="{9E650664-169C-4E22-BDC3-903AFFBF7371}"/>
    <cellStyle name="20% - Accent3 2 6 5" xfId="9983" xr:uid="{2F33E89B-7DE0-42CE-B24D-D5395071DBC2}"/>
    <cellStyle name="20% - Accent3 2 7" xfId="1868" xr:uid="{00000000-0005-0000-0000-00008B010000}"/>
    <cellStyle name="20% - Accent3 2 7 2" xfId="4097" xr:uid="{00000000-0005-0000-0000-00008C010000}"/>
    <cellStyle name="20% - Accent3 2 7 2 2" xfId="8320" xr:uid="{00000000-0005-0000-0000-00008D010000}"/>
    <cellStyle name="20% - Accent3 2 7 2 2 2" xfId="25192" xr:uid="{03E3489C-B691-4A97-84DA-506A6AB080DE}"/>
    <cellStyle name="20% - Accent3 2 7 2 2 3" xfId="16758" xr:uid="{9A679317-7404-46FE-BE88-0454B77E8901}"/>
    <cellStyle name="20% - Accent3 2 7 2 3" xfId="20975" xr:uid="{F97AC609-FC20-40AA-80F4-10125EFF3B5E}"/>
    <cellStyle name="20% - Accent3 2 7 2 4" xfId="12541" xr:uid="{1A9C62EB-62A3-409B-BF93-072F8E1D2075}"/>
    <cellStyle name="20% - Accent3 2 7 3" xfId="6175" xr:uid="{00000000-0005-0000-0000-00008E010000}"/>
    <cellStyle name="20% - Accent3 2 7 3 2" xfId="23047" xr:uid="{5E86EE64-4E4A-466E-B40A-2937D4F41FCC}"/>
    <cellStyle name="20% - Accent3 2 7 3 3" xfId="14613" xr:uid="{169B5411-7D5E-44C3-B2E8-68F7368DA990}"/>
    <cellStyle name="20% - Accent3 2 7 4" xfId="18830" xr:uid="{620FDF1E-A0F3-4CDD-A2E0-568CC4B7FDBB}"/>
    <cellStyle name="20% - Accent3 2 7 5" xfId="10396" xr:uid="{9C89596D-2088-4974-8BFD-3B898187D4FE}"/>
    <cellStyle name="20% - Accent3 2 8" xfId="2281" xr:uid="{00000000-0005-0000-0000-00008F010000}"/>
    <cellStyle name="20% - Accent3 2 8 2" xfId="6588" xr:uid="{00000000-0005-0000-0000-000090010000}"/>
    <cellStyle name="20% - Accent3 2 8 2 2" xfId="23460" xr:uid="{AD949F0D-67B6-4687-B1CE-EA2B9D97986E}"/>
    <cellStyle name="20% - Accent3 2 8 2 3" xfId="15026" xr:uid="{B2B8E672-8426-4D5F-8E19-D7114725842B}"/>
    <cellStyle name="20% - Accent3 2 8 3" xfId="19243" xr:uid="{A32BA592-DEF2-49C5-AA7D-E8C1E3F0F2DF}"/>
    <cellStyle name="20% - Accent3 2 8 4" xfId="10809" xr:uid="{B9C18BA0-A341-4CB1-AEEB-8C6842EA2F2E}"/>
    <cellStyle name="20% - Accent3 2 9" xfId="4522" xr:uid="{00000000-0005-0000-0000-000091010000}"/>
    <cellStyle name="20% - Accent3 2 9 2" xfId="21394" xr:uid="{86B09379-14B5-41D6-8E61-715F014C3B3F}"/>
    <cellStyle name="20% - Accent3 2 9 3" xfId="12960" xr:uid="{C7E447BC-C59F-4ED6-A0B7-3FFF8A2AA0D7}"/>
    <cellStyle name="20% - Accent3 3" xfId="22" xr:uid="{00000000-0005-0000-0000-000092010000}"/>
    <cellStyle name="20% - Accent3 3 10" xfId="8747" xr:uid="{721C8BF1-732D-474C-B0F4-094D67D4E955}"/>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23958" xr:uid="{81519029-3845-4AE9-8C20-293DC13D1900}"/>
    <cellStyle name="20% - Accent3 3 2 2 2 2 3" xfId="15524" xr:uid="{4EF5F798-B40F-49E0-BBA3-1DC1732C1E26}"/>
    <cellStyle name="20% - Accent3 3 2 2 2 3" xfId="19741" xr:uid="{19E55265-D255-448D-9218-BFA1264A6EAC}"/>
    <cellStyle name="20% - Accent3 3 2 2 2 4" xfId="11307" xr:uid="{57044E82-09F8-4B91-9EAE-B5824A6E931E}"/>
    <cellStyle name="20% - Accent3 3 2 2 3" xfId="4941" xr:uid="{00000000-0005-0000-0000-000097010000}"/>
    <cellStyle name="20% - Accent3 3 2 2 3 2" xfId="21813" xr:uid="{E791D401-BC3F-4449-A626-F934B2C1040C}"/>
    <cellStyle name="20% - Accent3 3 2 2 3 3" xfId="13379" xr:uid="{360BFB9D-D543-4B1F-96E3-4FD828E9B3C2}"/>
    <cellStyle name="20% - Accent3 3 2 2 4" xfId="17596" xr:uid="{F8880CB2-DC0A-4299-9582-75C61BE46D2E}"/>
    <cellStyle name="20% - Accent3 3 2 2 5" xfId="9162" xr:uid="{3AE923AD-F70C-4FC7-9015-6E0D88D8633C}"/>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24371" xr:uid="{AB9CE2A2-5A36-4FF7-AC92-151E73A7F2B8}"/>
    <cellStyle name="20% - Accent3 3 2 3 2 2 3" xfId="15937" xr:uid="{774EB155-F6C7-4183-9C35-C0805FF85D95}"/>
    <cellStyle name="20% - Accent3 3 2 3 2 3" xfId="20154" xr:uid="{3F5B09C9-A40A-4B01-BFF1-8EEC830AE82C}"/>
    <cellStyle name="20% - Accent3 3 2 3 2 4" xfId="11720" xr:uid="{ACFAC508-7FB6-4CBB-9758-B8A1226C39FF}"/>
    <cellStyle name="20% - Accent3 3 2 3 3" xfId="5354" xr:uid="{00000000-0005-0000-0000-00009B010000}"/>
    <cellStyle name="20% - Accent3 3 2 3 3 2" xfId="22226" xr:uid="{9FBB2EAD-D35A-4608-B054-AEDF60360F25}"/>
    <cellStyle name="20% - Accent3 3 2 3 3 3" xfId="13792" xr:uid="{09CFF500-C438-48FC-AE2F-DB01CF005406}"/>
    <cellStyle name="20% - Accent3 3 2 3 4" xfId="18009" xr:uid="{0A31C9A5-AECF-496B-86C8-E7C976557835}"/>
    <cellStyle name="20% - Accent3 3 2 3 5" xfId="9575" xr:uid="{2A4BBFE0-6BFA-4BC2-90D1-7A0F5B66FF66}"/>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24784" xr:uid="{EFA052D3-C0B0-4051-A410-B2AA0B7DF23F}"/>
    <cellStyle name="20% - Accent3 3 2 4 2 2 3" xfId="16350" xr:uid="{B61CE727-F324-4118-98D9-69B3EF6C3881}"/>
    <cellStyle name="20% - Accent3 3 2 4 2 3" xfId="20567" xr:uid="{63F564EA-5625-450C-A3C5-F1703DB65AFC}"/>
    <cellStyle name="20% - Accent3 3 2 4 2 4" xfId="12133" xr:uid="{A0E49C44-23A9-48ED-AF02-770FB29D60BB}"/>
    <cellStyle name="20% - Accent3 3 2 4 3" xfId="5767" xr:uid="{00000000-0005-0000-0000-00009F010000}"/>
    <cellStyle name="20% - Accent3 3 2 4 3 2" xfId="22639" xr:uid="{30BDA895-9957-46BF-9EAE-AF157C431551}"/>
    <cellStyle name="20% - Accent3 3 2 4 3 3" xfId="14205" xr:uid="{5F104440-0FE3-4019-951B-94398B554CBF}"/>
    <cellStyle name="20% - Accent3 3 2 4 4" xfId="18422" xr:uid="{1CCBD7FF-907F-48DD-874C-E5599D098F6D}"/>
    <cellStyle name="20% - Accent3 3 2 4 5" xfId="9988" xr:uid="{363B7FD0-2D0C-463E-8960-CFAD37F22CE1}"/>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25197" xr:uid="{F2D9EE58-6A03-406C-96AB-C85C8CC2DB9E}"/>
    <cellStyle name="20% - Accent3 3 2 5 2 2 3" xfId="16763" xr:uid="{12E84C7A-BF27-426B-B5DB-28740C143DC7}"/>
    <cellStyle name="20% - Accent3 3 2 5 2 3" xfId="20980" xr:uid="{4F562A39-2D1D-4B77-B67B-DD4C142C25E3}"/>
    <cellStyle name="20% - Accent3 3 2 5 2 4" xfId="12546" xr:uid="{0AFFCE3E-3CC0-4AE0-A0A9-70BDCA2B4C6B}"/>
    <cellStyle name="20% - Accent3 3 2 5 3" xfId="6180" xr:uid="{00000000-0005-0000-0000-0000A3010000}"/>
    <cellStyle name="20% - Accent3 3 2 5 3 2" xfId="23052" xr:uid="{CCFAA86F-F9D1-4CEA-B2DC-136BA42A6D46}"/>
    <cellStyle name="20% - Accent3 3 2 5 3 3" xfId="14618" xr:uid="{CC76AF27-F6EA-4F05-A95C-8460E9A8A6B2}"/>
    <cellStyle name="20% - Accent3 3 2 5 4" xfId="18835" xr:uid="{74834A64-6A85-434A-BDD6-4B3169BD2AAA}"/>
    <cellStyle name="20% - Accent3 3 2 5 5" xfId="10401" xr:uid="{7BE570C0-C648-46FE-9FDC-6C3AA827F63F}"/>
    <cellStyle name="20% - Accent3 3 2 6" xfId="2286" xr:uid="{00000000-0005-0000-0000-0000A4010000}"/>
    <cellStyle name="20% - Accent3 3 2 6 2" xfId="6593" xr:uid="{00000000-0005-0000-0000-0000A5010000}"/>
    <cellStyle name="20% - Accent3 3 2 6 2 2" xfId="23465" xr:uid="{709CC4AE-F474-4D12-A4F5-0633C1C2933C}"/>
    <cellStyle name="20% - Accent3 3 2 6 2 3" xfId="15031" xr:uid="{88489CC5-999F-48BC-8CC0-1D7727F3397C}"/>
    <cellStyle name="20% - Accent3 3 2 6 3" xfId="19248" xr:uid="{5B48940B-7252-456A-A77C-85FD4B1DFB56}"/>
    <cellStyle name="20% - Accent3 3 2 6 4" xfId="10814" xr:uid="{87D2EF6A-B8B5-465E-B60D-2FE045916637}"/>
    <cellStyle name="20% - Accent3 3 2 7" xfId="4527" xr:uid="{00000000-0005-0000-0000-0000A6010000}"/>
    <cellStyle name="20% - Accent3 3 2 7 2" xfId="21399" xr:uid="{827E10EC-AA94-4DAA-8764-357FF7F722C0}"/>
    <cellStyle name="20% - Accent3 3 2 7 3" xfId="12965" xr:uid="{3A301C22-393F-438A-B90D-96D81A577504}"/>
    <cellStyle name="20% - Accent3 3 2 8" xfId="17182" xr:uid="{B65D9B08-A6E5-499C-A822-24922FE8FBBA}"/>
    <cellStyle name="20% - Accent3 3 2 9" xfId="8748" xr:uid="{A17D4837-19E2-4EC4-9E8E-06226E6D629B}"/>
    <cellStyle name="20% - Accent3 3 3" xfId="591" xr:uid="{00000000-0005-0000-0000-0000A7010000}"/>
    <cellStyle name="20% - Accent3 3 3 2" xfId="2862" xr:uid="{00000000-0005-0000-0000-0000A8010000}"/>
    <cellStyle name="20% - Accent3 3 3 2 2" xfId="7085" xr:uid="{00000000-0005-0000-0000-0000A9010000}"/>
    <cellStyle name="20% - Accent3 3 3 2 2 2" xfId="23957" xr:uid="{5F3C7250-3985-428F-BE32-758B7A48FDB4}"/>
    <cellStyle name="20% - Accent3 3 3 2 2 3" xfId="15523" xr:uid="{A0C2F74F-2265-4DA7-8F0F-A2720B1095B4}"/>
    <cellStyle name="20% - Accent3 3 3 2 3" xfId="19740" xr:uid="{BCFE487E-7CDD-4AFB-831C-69314B5D85A6}"/>
    <cellStyle name="20% - Accent3 3 3 2 4" xfId="11306" xr:uid="{6BA06C86-C5C1-4675-A82C-1A48907640BF}"/>
    <cellStyle name="20% - Accent3 3 3 3" xfId="4940" xr:uid="{00000000-0005-0000-0000-0000AA010000}"/>
    <cellStyle name="20% - Accent3 3 3 3 2" xfId="21812" xr:uid="{D142BE78-4ABB-447E-890E-5B83D740E3B7}"/>
    <cellStyle name="20% - Accent3 3 3 3 3" xfId="13378" xr:uid="{78D7C699-B91D-46A0-8AB2-C9E974A11916}"/>
    <cellStyle name="20% - Accent3 3 3 4" xfId="17595" xr:uid="{02EFF1A1-3495-42F8-B830-940402F5EC2C}"/>
    <cellStyle name="20% - Accent3 3 3 5" xfId="9161" xr:uid="{E92CD2EB-371C-42B2-A850-197C68AD893C}"/>
    <cellStyle name="20% - Accent3 3 4" xfId="1044" xr:uid="{00000000-0005-0000-0000-0000AB010000}"/>
    <cellStyle name="20% - Accent3 3 4 2" xfId="3275" xr:uid="{00000000-0005-0000-0000-0000AC010000}"/>
    <cellStyle name="20% - Accent3 3 4 2 2" xfId="7498" xr:uid="{00000000-0005-0000-0000-0000AD010000}"/>
    <cellStyle name="20% - Accent3 3 4 2 2 2" xfId="24370" xr:uid="{9761F96D-7F94-4254-8F5D-9C38672854F5}"/>
    <cellStyle name="20% - Accent3 3 4 2 2 3" xfId="15936" xr:uid="{B6412386-3413-4D44-B736-29D893CC93F5}"/>
    <cellStyle name="20% - Accent3 3 4 2 3" xfId="20153" xr:uid="{1EEEF7CC-F125-4B31-BA28-E448FBFD8E09}"/>
    <cellStyle name="20% - Accent3 3 4 2 4" xfId="11719" xr:uid="{13CD9B91-7D56-4476-8BE6-8E35C2EEFD27}"/>
    <cellStyle name="20% - Accent3 3 4 3" xfId="5353" xr:uid="{00000000-0005-0000-0000-0000AE010000}"/>
    <cellStyle name="20% - Accent3 3 4 3 2" xfId="22225" xr:uid="{DC76E923-07C2-4AB8-BE95-3B316D02EE0E}"/>
    <cellStyle name="20% - Accent3 3 4 3 3" xfId="13791" xr:uid="{067FAFEB-8640-49D2-B1CF-F0D364F9DE1B}"/>
    <cellStyle name="20% - Accent3 3 4 4" xfId="18008" xr:uid="{10E0E388-BDAC-480C-A13B-0558466CCF77}"/>
    <cellStyle name="20% - Accent3 3 4 5" xfId="9574" xr:uid="{81DA52CE-00DA-4FAA-BDF0-D3D4DEB6FB88}"/>
    <cellStyle name="20% - Accent3 3 5" xfId="1458" xr:uid="{00000000-0005-0000-0000-0000AF010000}"/>
    <cellStyle name="20% - Accent3 3 5 2" xfId="3688" xr:uid="{00000000-0005-0000-0000-0000B0010000}"/>
    <cellStyle name="20% - Accent3 3 5 2 2" xfId="7911" xr:uid="{00000000-0005-0000-0000-0000B1010000}"/>
    <cellStyle name="20% - Accent3 3 5 2 2 2" xfId="24783" xr:uid="{06D7F15F-3A3E-49F3-AE44-2CB80050EF44}"/>
    <cellStyle name="20% - Accent3 3 5 2 2 3" xfId="16349" xr:uid="{8BD7FDA5-AB48-4B10-8960-C7FD0B4AEAB7}"/>
    <cellStyle name="20% - Accent3 3 5 2 3" xfId="20566" xr:uid="{D6481C95-D04C-4D2B-99AD-F20DA3C8B3C7}"/>
    <cellStyle name="20% - Accent3 3 5 2 4" xfId="12132" xr:uid="{A2CC05D5-4B8A-437E-B997-BCF58B77F67F}"/>
    <cellStyle name="20% - Accent3 3 5 3" xfId="5766" xr:uid="{00000000-0005-0000-0000-0000B2010000}"/>
    <cellStyle name="20% - Accent3 3 5 3 2" xfId="22638" xr:uid="{4D6D0528-5E7C-48DA-96E0-927D8E1DDB91}"/>
    <cellStyle name="20% - Accent3 3 5 3 3" xfId="14204" xr:uid="{E94E0C9D-E9E6-4B1A-B722-1B60D5BC12C0}"/>
    <cellStyle name="20% - Accent3 3 5 4" xfId="18421" xr:uid="{DB821C43-28C2-4018-B96F-8562139FD1DE}"/>
    <cellStyle name="20% - Accent3 3 5 5" xfId="9987" xr:uid="{E21DCF62-CFA4-4762-9B63-E9DE0CFBC5DE}"/>
    <cellStyle name="20% - Accent3 3 6" xfId="1872" xr:uid="{00000000-0005-0000-0000-0000B3010000}"/>
    <cellStyle name="20% - Accent3 3 6 2" xfId="4101" xr:uid="{00000000-0005-0000-0000-0000B4010000}"/>
    <cellStyle name="20% - Accent3 3 6 2 2" xfId="8324" xr:uid="{00000000-0005-0000-0000-0000B5010000}"/>
    <cellStyle name="20% - Accent3 3 6 2 2 2" xfId="25196" xr:uid="{63946336-DA7F-479A-8305-E3B1D595D263}"/>
    <cellStyle name="20% - Accent3 3 6 2 2 3" xfId="16762" xr:uid="{A99CD7DE-4CD5-4C46-A582-D40F6A807EB7}"/>
    <cellStyle name="20% - Accent3 3 6 2 3" xfId="20979" xr:uid="{AF6D3202-FBEF-43CE-9862-E8FA0511EBDA}"/>
    <cellStyle name="20% - Accent3 3 6 2 4" xfId="12545" xr:uid="{C3824139-2F9A-4122-9B7A-64D006350F16}"/>
    <cellStyle name="20% - Accent3 3 6 3" xfId="6179" xr:uid="{00000000-0005-0000-0000-0000B6010000}"/>
    <cellStyle name="20% - Accent3 3 6 3 2" xfId="23051" xr:uid="{73CFA94D-112F-4230-A8D3-9F7789408FB9}"/>
    <cellStyle name="20% - Accent3 3 6 3 3" xfId="14617" xr:uid="{34BE5BB7-E83E-4746-81FC-431B5CBCE69A}"/>
    <cellStyle name="20% - Accent3 3 6 4" xfId="18834" xr:uid="{2F34129B-ABB6-41A4-A297-6907E66816E8}"/>
    <cellStyle name="20% - Accent3 3 6 5" xfId="10400" xr:uid="{5195F37A-5E94-46BF-A78D-0B15BF5CE63C}"/>
    <cellStyle name="20% - Accent3 3 7" xfId="2285" xr:uid="{00000000-0005-0000-0000-0000B7010000}"/>
    <cellStyle name="20% - Accent3 3 7 2" xfId="6592" xr:uid="{00000000-0005-0000-0000-0000B8010000}"/>
    <cellStyle name="20% - Accent3 3 7 2 2" xfId="23464" xr:uid="{52652953-521C-4CA1-A282-EB749F8B0DB4}"/>
    <cellStyle name="20% - Accent3 3 7 2 3" xfId="15030" xr:uid="{6A0317E4-E991-4DCC-B56B-BBD2520DDDC1}"/>
    <cellStyle name="20% - Accent3 3 7 3" xfId="19247" xr:uid="{808D1B99-C461-4D20-9E20-8B9BBC46B090}"/>
    <cellStyle name="20% - Accent3 3 7 4" xfId="10813" xr:uid="{148687CF-018F-4F9B-9DAD-94414976E99F}"/>
    <cellStyle name="20% - Accent3 3 8" xfId="4526" xr:uid="{00000000-0005-0000-0000-0000B9010000}"/>
    <cellStyle name="20% - Accent3 3 8 2" xfId="21398" xr:uid="{5720F71C-D16B-47BC-93A4-F53FF3772D4B}"/>
    <cellStyle name="20% - Accent3 3 8 3" xfId="12964" xr:uid="{1FC3CE07-57F8-491F-A770-76312661DA1C}"/>
    <cellStyle name="20% - Accent3 3 9" xfId="17181" xr:uid="{1C040678-34FD-4BE7-8E7D-BBC4C381D166}"/>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23959" xr:uid="{A63CBD83-6ABB-4134-9074-D89E01C3FBA2}"/>
    <cellStyle name="20% - Accent3 4 2 2 2 3" xfId="15525" xr:uid="{EA716998-ED9A-4B12-9815-CC34BA8EEE8F}"/>
    <cellStyle name="20% - Accent3 4 2 2 3" xfId="19742" xr:uid="{25DBB6B4-0A48-4B39-BE15-606B83FCD235}"/>
    <cellStyle name="20% - Accent3 4 2 2 4" xfId="11308" xr:uid="{AB87F0FC-92A8-449D-B910-9C39F22C63F7}"/>
    <cellStyle name="20% - Accent3 4 2 3" xfId="4942" xr:uid="{00000000-0005-0000-0000-0000BE010000}"/>
    <cellStyle name="20% - Accent3 4 2 3 2" xfId="21814" xr:uid="{6F4464BB-DE7D-4B3D-95E5-EE45E875B9B0}"/>
    <cellStyle name="20% - Accent3 4 2 3 3" xfId="13380" xr:uid="{4A3028C6-1BAA-46DF-9FC4-1AC0504BFD64}"/>
    <cellStyle name="20% - Accent3 4 2 4" xfId="17597" xr:uid="{34A4E77F-8D55-46B9-BE31-2DE4DF32CDA4}"/>
    <cellStyle name="20% - Accent3 4 2 5" xfId="9163" xr:uid="{8193EFC1-2035-4221-9899-594E8CDC05FA}"/>
    <cellStyle name="20% - Accent3 4 3" xfId="1046" xr:uid="{00000000-0005-0000-0000-0000BF010000}"/>
    <cellStyle name="20% - Accent3 4 3 2" xfId="3277" xr:uid="{00000000-0005-0000-0000-0000C0010000}"/>
    <cellStyle name="20% - Accent3 4 3 2 2" xfId="7500" xr:uid="{00000000-0005-0000-0000-0000C1010000}"/>
    <cellStyle name="20% - Accent3 4 3 2 2 2" xfId="24372" xr:uid="{E1459C37-CD53-4895-846C-E41DA98D7069}"/>
    <cellStyle name="20% - Accent3 4 3 2 2 3" xfId="15938" xr:uid="{321D7322-EC3D-4F85-BD27-953182056B6F}"/>
    <cellStyle name="20% - Accent3 4 3 2 3" xfId="20155" xr:uid="{F080DFF8-7C14-4BE3-AB6C-247649E8B929}"/>
    <cellStyle name="20% - Accent3 4 3 2 4" xfId="11721" xr:uid="{7888A184-8BFD-4EBC-BD90-901390E0F8F6}"/>
    <cellStyle name="20% - Accent3 4 3 3" xfId="5355" xr:uid="{00000000-0005-0000-0000-0000C2010000}"/>
    <cellStyle name="20% - Accent3 4 3 3 2" xfId="22227" xr:uid="{58904B23-9A06-4D39-B870-7E07C5A338D2}"/>
    <cellStyle name="20% - Accent3 4 3 3 3" xfId="13793" xr:uid="{F58F6CCA-34D1-4513-8489-506CCFC9B4FD}"/>
    <cellStyle name="20% - Accent3 4 3 4" xfId="18010" xr:uid="{645E458D-2A50-4893-A3DC-EA5834000B97}"/>
    <cellStyle name="20% - Accent3 4 3 5" xfId="9576" xr:uid="{41869898-4F45-49DF-B546-01B955A2D1F5}"/>
    <cellStyle name="20% - Accent3 4 4" xfId="1460" xr:uid="{00000000-0005-0000-0000-0000C3010000}"/>
    <cellStyle name="20% - Accent3 4 4 2" xfId="3690" xr:uid="{00000000-0005-0000-0000-0000C4010000}"/>
    <cellStyle name="20% - Accent3 4 4 2 2" xfId="7913" xr:uid="{00000000-0005-0000-0000-0000C5010000}"/>
    <cellStyle name="20% - Accent3 4 4 2 2 2" xfId="24785" xr:uid="{2ECD01E1-409F-4663-86C5-5B3569DF6ECC}"/>
    <cellStyle name="20% - Accent3 4 4 2 2 3" xfId="16351" xr:uid="{C98DDCBD-C6DC-45D8-8C0E-1544B30922BA}"/>
    <cellStyle name="20% - Accent3 4 4 2 3" xfId="20568" xr:uid="{8D37234A-C5DF-4486-8897-8F2378FD4D79}"/>
    <cellStyle name="20% - Accent3 4 4 2 4" xfId="12134" xr:uid="{59DFBD4A-341F-4C97-BD29-9D8B5DB96EE5}"/>
    <cellStyle name="20% - Accent3 4 4 3" xfId="5768" xr:uid="{00000000-0005-0000-0000-0000C6010000}"/>
    <cellStyle name="20% - Accent3 4 4 3 2" xfId="22640" xr:uid="{362B1BDB-B7EF-4F81-A2C5-5A2DC2A2A341}"/>
    <cellStyle name="20% - Accent3 4 4 3 3" xfId="14206" xr:uid="{D7596B4A-FAD0-48D5-A966-68FA24A66B89}"/>
    <cellStyle name="20% - Accent3 4 4 4" xfId="18423" xr:uid="{EF4A3DD4-C2E1-4044-B2D5-B7101230240F}"/>
    <cellStyle name="20% - Accent3 4 4 5" xfId="9989" xr:uid="{31EDA621-E296-4CAC-A6B2-F0501DB8A11F}"/>
    <cellStyle name="20% - Accent3 4 5" xfId="1874" xr:uid="{00000000-0005-0000-0000-0000C7010000}"/>
    <cellStyle name="20% - Accent3 4 5 2" xfId="4103" xr:uid="{00000000-0005-0000-0000-0000C8010000}"/>
    <cellStyle name="20% - Accent3 4 5 2 2" xfId="8326" xr:uid="{00000000-0005-0000-0000-0000C9010000}"/>
    <cellStyle name="20% - Accent3 4 5 2 2 2" xfId="25198" xr:uid="{B429510B-2E6A-4768-8B82-9781E6F67075}"/>
    <cellStyle name="20% - Accent3 4 5 2 2 3" xfId="16764" xr:uid="{5CC52D9F-9136-4A40-BB56-AABB652DF2DA}"/>
    <cellStyle name="20% - Accent3 4 5 2 3" xfId="20981" xr:uid="{519F3F24-3657-418A-BF46-B3F7996F0733}"/>
    <cellStyle name="20% - Accent3 4 5 2 4" xfId="12547" xr:uid="{13807655-6C46-462E-A26B-05DF8A91307B}"/>
    <cellStyle name="20% - Accent3 4 5 3" xfId="6181" xr:uid="{00000000-0005-0000-0000-0000CA010000}"/>
    <cellStyle name="20% - Accent3 4 5 3 2" xfId="23053" xr:uid="{6FD25CCE-BCBB-4578-A981-FC0502CE40B2}"/>
    <cellStyle name="20% - Accent3 4 5 3 3" xfId="14619" xr:uid="{592C9EA0-33D9-4E97-AB6A-32F4DA55E86E}"/>
    <cellStyle name="20% - Accent3 4 5 4" xfId="18836" xr:uid="{BEA8347F-D971-494C-9320-920F18FCE18F}"/>
    <cellStyle name="20% - Accent3 4 5 5" xfId="10402" xr:uid="{6979DFE3-6E84-4A62-8774-D0B335B23A63}"/>
    <cellStyle name="20% - Accent3 4 6" xfId="2287" xr:uid="{00000000-0005-0000-0000-0000CB010000}"/>
    <cellStyle name="20% - Accent3 4 6 2" xfId="6594" xr:uid="{00000000-0005-0000-0000-0000CC010000}"/>
    <cellStyle name="20% - Accent3 4 6 2 2" xfId="23466" xr:uid="{855D7135-0048-48F4-9AE0-E1207CF4E4B7}"/>
    <cellStyle name="20% - Accent3 4 6 2 3" xfId="15032" xr:uid="{ECCC038F-251E-46BF-B2AA-DD093F1FE29D}"/>
    <cellStyle name="20% - Accent3 4 6 3" xfId="19249" xr:uid="{51899388-B077-4FA4-89B2-79B01D00327B}"/>
    <cellStyle name="20% - Accent3 4 6 4" xfId="10815" xr:uid="{E3E2F927-AD13-4AC9-999E-FB397171D62B}"/>
    <cellStyle name="20% - Accent3 4 7" xfId="4528" xr:uid="{00000000-0005-0000-0000-0000CD010000}"/>
    <cellStyle name="20% - Accent3 4 7 2" xfId="21400" xr:uid="{35EA0318-1162-4F10-95C8-6CA0E2D32DD8}"/>
    <cellStyle name="20% - Accent3 4 7 3" xfId="12966" xr:uid="{B1B6E9FB-69AF-47FD-ACE9-88A95F6FBC32}"/>
    <cellStyle name="20% - Accent3 4 8" xfId="17183" xr:uid="{D54D190C-4799-436A-A6E2-AA3A9D1CEA5F}"/>
    <cellStyle name="20% - Accent3 4 9" xfId="8749" xr:uid="{5602B4CE-D983-4762-BFF4-9BFC905C1EA7}"/>
    <cellStyle name="20% - Accent3 5" xfId="586" xr:uid="{00000000-0005-0000-0000-0000CE010000}"/>
    <cellStyle name="20% - Accent3 5 2" xfId="2857" xr:uid="{00000000-0005-0000-0000-0000CF010000}"/>
    <cellStyle name="20% - Accent3 5 2 2" xfId="7080" xr:uid="{00000000-0005-0000-0000-0000D0010000}"/>
    <cellStyle name="20% - Accent3 5 2 2 2" xfId="23952" xr:uid="{4249A0DE-65FD-484B-846A-8553B9EDF0CD}"/>
    <cellStyle name="20% - Accent3 5 2 2 3" xfId="15518" xr:uid="{D15C9017-F33B-4399-AA76-8EC2650E51B3}"/>
    <cellStyle name="20% - Accent3 5 2 3" xfId="19735" xr:uid="{767F11E7-5D3B-46E2-A824-A5877350BF07}"/>
    <cellStyle name="20% - Accent3 5 2 4" xfId="11301" xr:uid="{44215FC9-97E5-43B5-8929-28263304944C}"/>
    <cellStyle name="20% - Accent3 5 3" xfId="4935" xr:uid="{00000000-0005-0000-0000-0000D1010000}"/>
    <cellStyle name="20% - Accent3 5 3 2" xfId="21807" xr:uid="{D18F151E-E766-4401-8C19-C2A2FB5BCF58}"/>
    <cellStyle name="20% - Accent3 5 3 3" xfId="13373" xr:uid="{2623BC16-C97A-4F8B-819F-11AB74441D6C}"/>
    <cellStyle name="20% - Accent3 5 4" xfId="17590" xr:uid="{C01DFB09-096A-4ADA-8E65-E34B9E0A8548}"/>
    <cellStyle name="20% - Accent3 5 5" xfId="9156" xr:uid="{A8BEB07C-126F-405D-93BB-00E08E3D0E7E}"/>
    <cellStyle name="20% - Accent3 6" xfId="1039" xr:uid="{00000000-0005-0000-0000-0000D2010000}"/>
    <cellStyle name="20% - Accent3 6 2" xfId="3270" xr:uid="{00000000-0005-0000-0000-0000D3010000}"/>
    <cellStyle name="20% - Accent3 6 2 2" xfId="7493" xr:uid="{00000000-0005-0000-0000-0000D4010000}"/>
    <cellStyle name="20% - Accent3 6 2 2 2" xfId="24365" xr:uid="{611DD7B2-4634-4ECF-A264-8CBC310A447C}"/>
    <cellStyle name="20% - Accent3 6 2 2 3" xfId="15931" xr:uid="{B5BABFAC-AA37-45B6-B471-6834A28DBCFF}"/>
    <cellStyle name="20% - Accent3 6 2 3" xfId="20148" xr:uid="{E9035032-CA4F-4DB2-B2FD-2177424A9599}"/>
    <cellStyle name="20% - Accent3 6 2 4" xfId="11714" xr:uid="{D4E64434-6471-47AD-BD69-C452ECA3AE29}"/>
    <cellStyle name="20% - Accent3 6 3" xfId="5348" xr:uid="{00000000-0005-0000-0000-0000D5010000}"/>
    <cellStyle name="20% - Accent3 6 3 2" xfId="22220" xr:uid="{2192FAEF-D41A-497B-BFC3-6D9F7B99144C}"/>
    <cellStyle name="20% - Accent3 6 3 3" xfId="13786" xr:uid="{33B6A28C-0FA3-474B-9B14-4B66403E9440}"/>
    <cellStyle name="20% - Accent3 6 4" xfId="18003" xr:uid="{FE979248-7742-44C2-861E-535C39C1F732}"/>
    <cellStyle name="20% - Accent3 6 5" xfId="9569" xr:uid="{44ABB6F0-885A-4DBB-808A-1BA3AB6955E1}"/>
    <cellStyle name="20% - Accent3 7" xfId="1453" xr:uid="{00000000-0005-0000-0000-0000D6010000}"/>
    <cellStyle name="20% - Accent3 7 2" xfId="3683" xr:uid="{00000000-0005-0000-0000-0000D7010000}"/>
    <cellStyle name="20% - Accent3 7 2 2" xfId="7906" xr:uid="{00000000-0005-0000-0000-0000D8010000}"/>
    <cellStyle name="20% - Accent3 7 2 2 2" xfId="24778" xr:uid="{2EEF0889-6D5B-4010-8E4D-6E92C2978BD2}"/>
    <cellStyle name="20% - Accent3 7 2 2 3" xfId="16344" xr:uid="{932F39AA-05A4-4619-8F9F-CB8946444242}"/>
    <cellStyle name="20% - Accent3 7 2 3" xfId="20561" xr:uid="{C43E7920-3B2C-4F2E-93B7-7CCFE96BA190}"/>
    <cellStyle name="20% - Accent3 7 2 4" xfId="12127" xr:uid="{A078BAD0-7C75-47D2-9E7A-EF7C35FDEF44}"/>
    <cellStyle name="20% - Accent3 7 3" xfId="5761" xr:uid="{00000000-0005-0000-0000-0000D9010000}"/>
    <cellStyle name="20% - Accent3 7 3 2" xfId="22633" xr:uid="{5273FFD7-BF4F-4AAB-9C7C-A6F3D007B481}"/>
    <cellStyle name="20% - Accent3 7 3 3" xfId="14199" xr:uid="{372B118A-903A-4B84-8762-E24FDA1C98FF}"/>
    <cellStyle name="20% - Accent3 7 4" xfId="18416" xr:uid="{F30F6E2B-C38D-4090-BC9C-8C6E769F8D4C}"/>
    <cellStyle name="20% - Accent3 7 5" xfId="9982" xr:uid="{A2F0110F-D81D-4BC5-91C2-6A775712C3C6}"/>
    <cellStyle name="20% - Accent3 8" xfId="1867" xr:uid="{00000000-0005-0000-0000-0000DA010000}"/>
    <cellStyle name="20% - Accent3 8 2" xfId="4096" xr:uid="{00000000-0005-0000-0000-0000DB010000}"/>
    <cellStyle name="20% - Accent3 8 2 2" xfId="8319" xr:uid="{00000000-0005-0000-0000-0000DC010000}"/>
    <cellStyle name="20% - Accent3 8 2 2 2" xfId="25191" xr:uid="{16CC36EC-012C-45A3-9FE0-9CC11F90B799}"/>
    <cellStyle name="20% - Accent3 8 2 2 3" xfId="16757" xr:uid="{3627D6EB-9FC3-4AEB-BDEB-9AA71FB130DA}"/>
    <cellStyle name="20% - Accent3 8 2 3" xfId="20974" xr:uid="{885C73C7-F350-435A-857B-810ACB9A484E}"/>
    <cellStyle name="20% - Accent3 8 2 4" xfId="12540" xr:uid="{A41486CF-ADBF-41AE-B26D-B6A0C812245F}"/>
    <cellStyle name="20% - Accent3 8 3" xfId="6174" xr:uid="{00000000-0005-0000-0000-0000DD010000}"/>
    <cellStyle name="20% - Accent3 8 3 2" xfId="23046" xr:uid="{E38D4E36-9118-45E4-BB04-060530592747}"/>
    <cellStyle name="20% - Accent3 8 3 3" xfId="14612" xr:uid="{E9B87C36-C5A6-4DFF-8E85-DDC723A7719D}"/>
    <cellStyle name="20% - Accent3 8 4" xfId="18829" xr:uid="{5A5105A3-75F6-4DD3-BA5F-596138647CD7}"/>
    <cellStyle name="20% - Accent3 8 5" xfId="10395" xr:uid="{D5E44106-2361-4AF3-A779-D9F0A29FD777}"/>
    <cellStyle name="20% - Accent3 9" xfId="2280" xr:uid="{00000000-0005-0000-0000-0000DE010000}"/>
    <cellStyle name="20% - Accent3 9 2" xfId="6587" xr:uid="{00000000-0005-0000-0000-0000DF010000}"/>
    <cellStyle name="20% - Accent3 9 2 2" xfId="23459" xr:uid="{4B01050F-D022-4974-A54D-8FEC8FC49C83}"/>
    <cellStyle name="20% - Accent3 9 2 3" xfId="15025" xr:uid="{2E307D55-4724-48FD-8A25-3D70F55D1421}"/>
    <cellStyle name="20% - Accent3 9 3" xfId="19242" xr:uid="{BD0B7CF0-9234-4387-95F2-C95890C64921}"/>
    <cellStyle name="20% - Accent3 9 4" xfId="10808" xr:uid="{41F33A5C-2C02-444B-A5C4-0695919CF675}"/>
    <cellStyle name="20% - Accent4" xfId="25" builtinId="42" customBuiltin="1"/>
    <cellStyle name="20% - Accent4 10" xfId="4529" xr:uid="{00000000-0005-0000-0000-0000E1010000}"/>
    <cellStyle name="20% - Accent4 10 2" xfId="21401" xr:uid="{9E0EEB9F-7067-4358-B254-E11470457DB7}"/>
    <cellStyle name="20% - Accent4 10 3" xfId="12967" xr:uid="{142D4456-E8FD-433F-B6A8-11F4860168CE}"/>
    <cellStyle name="20% - Accent4 11" xfId="17184" xr:uid="{3541A2C3-3526-4DEF-994A-CD436D1C3E66}"/>
    <cellStyle name="20% - Accent4 12" xfId="8750" xr:uid="{743BF3C3-9585-457B-8E4E-435B5AAC806B}"/>
    <cellStyle name="20% - Accent4 2" xfId="26" xr:uid="{00000000-0005-0000-0000-0000E2010000}"/>
    <cellStyle name="20% - Accent4 2 10" xfId="17185" xr:uid="{E4E8DA38-F0B3-4542-BD78-988355057B1D}"/>
    <cellStyle name="20% - Accent4 2 11" xfId="8751" xr:uid="{0E2E44CA-171E-41BC-9E64-ACE8209B6472}"/>
    <cellStyle name="20% - Accent4 2 2" xfId="27" xr:uid="{00000000-0005-0000-0000-0000E3010000}"/>
    <cellStyle name="20% - Accent4 2 2 10" xfId="8752" xr:uid="{CD904212-C7D2-44B2-9AAB-0A6BC7E4A764}"/>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23963" xr:uid="{4E67986C-8CFB-4805-9EF8-E7466CC8EFFF}"/>
    <cellStyle name="20% - Accent4 2 2 2 2 2 2 3" xfId="15529" xr:uid="{5A3A82F7-89B9-45EA-8484-780A39F4E3D9}"/>
    <cellStyle name="20% - Accent4 2 2 2 2 2 3" xfId="19746" xr:uid="{9402C251-1975-475C-8AB9-DA7E6F336968}"/>
    <cellStyle name="20% - Accent4 2 2 2 2 2 4" xfId="11312" xr:uid="{C6B55F69-913D-4429-A834-A2F58AF68211}"/>
    <cellStyle name="20% - Accent4 2 2 2 2 3" xfId="4946" xr:uid="{00000000-0005-0000-0000-0000E8010000}"/>
    <cellStyle name="20% - Accent4 2 2 2 2 3 2" xfId="21818" xr:uid="{A89D7A8A-A70C-48DB-873A-58C5FD7821C2}"/>
    <cellStyle name="20% - Accent4 2 2 2 2 3 3" xfId="13384" xr:uid="{781374F1-910A-494A-86BD-AF6BB30DBEEB}"/>
    <cellStyle name="20% - Accent4 2 2 2 2 4" xfId="17601" xr:uid="{AA9F6209-F30F-43E8-AC7C-46E78AC183CD}"/>
    <cellStyle name="20% - Accent4 2 2 2 2 5" xfId="9167" xr:uid="{76EE61CC-8C6E-4EBF-9347-2E4C8755DAC8}"/>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24376" xr:uid="{3761D39D-5882-46E2-9B63-8106BA711737}"/>
    <cellStyle name="20% - Accent4 2 2 2 3 2 2 3" xfId="15942" xr:uid="{1B1E06DB-1C5C-46CA-852A-49D1E56B6B6F}"/>
    <cellStyle name="20% - Accent4 2 2 2 3 2 3" xfId="20159" xr:uid="{BA690068-7E03-4C41-B823-B60495DD18B7}"/>
    <cellStyle name="20% - Accent4 2 2 2 3 2 4" xfId="11725" xr:uid="{1116F0A8-58EE-4233-9FB2-DCA026449C2F}"/>
    <cellStyle name="20% - Accent4 2 2 2 3 3" xfId="5359" xr:uid="{00000000-0005-0000-0000-0000EC010000}"/>
    <cellStyle name="20% - Accent4 2 2 2 3 3 2" xfId="22231" xr:uid="{A75F705A-C045-4B9E-BFB0-16379AC1CFDA}"/>
    <cellStyle name="20% - Accent4 2 2 2 3 3 3" xfId="13797" xr:uid="{C43444D5-6D39-488D-92CB-CA901E1079DA}"/>
    <cellStyle name="20% - Accent4 2 2 2 3 4" xfId="18014" xr:uid="{348EBB80-871B-4B17-B9B2-6DC433C4C00B}"/>
    <cellStyle name="20% - Accent4 2 2 2 3 5" xfId="9580" xr:uid="{BAE624B0-91A1-4C4B-9D77-7CCB3A213471}"/>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24789" xr:uid="{794C0078-57C7-4ADE-9B67-146CB8E98338}"/>
    <cellStyle name="20% - Accent4 2 2 2 4 2 2 3" xfId="16355" xr:uid="{31D28A70-FB70-4237-B6DD-554F38862AC1}"/>
    <cellStyle name="20% - Accent4 2 2 2 4 2 3" xfId="20572" xr:uid="{AD580246-4EE3-477C-A9EA-0952134D98C4}"/>
    <cellStyle name="20% - Accent4 2 2 2 4 2 4" xfId="12138" xr:uid="{F1457AF6-497C-41B2-8709-CD7D78A1E626}"/>
    <cellStyle name="20% - Accent4 2 2 2 4 3" xfId="5772" xr:uid="{00000000-0005-0000-0000-0000F0010000}"/>
    <cellStyle name="20% - Accent4 2 2 2 4 3 2" xfId="22644" xr:uid="{E5FC2227-CD86-4E83-BBAD-9E336BF9154D}"/>
    <cellStyle name="20% - Accent4 2 2 2 4 3 3" xfId="14210" xr:uid="{87B1B636-C1CC-44D7-90E8-18B5F077938E}"/>
    <cellStyle name="20% - Accent4 2 2 2 4 4" xfId="18427" xr:uid="{99CAF1A1-5097-49DD-86B7-1951A610B884}"/>
    <cellStyle name="20% - Accent4 2 2 2 4 5" xfId="9993" xr:uid="{5E1EC8F4-218D-49BD-BAE2-EC98635C1F5E}"/>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25202" xr:uid="{A167D1D3-154B-44FB-B5BF-0E0296383E03}"/>
    <cellStyle name="20% - Accent4 2 2 2 5 2 2 3" xfId="16768" xr:uid="{3D15CA85-D297-4A69-8FAD-733677F4FE71}"/>
    <cellStyle name="20% - Accent4 2 2 2 5 2 3" xfId="20985" xr:uid="{7D0AA6F3-8B4E-4100-8144-95AA5D92AC97}"/>
    <cellStyle name="20% - Accent4 2 2 2 5 2 4" xfId="12551" xr:uid="{0B7A6FFD-9E09-423D-B1F4-88323534CF2B}"/>
    <cellStyle name="20% - Accent4 2 2 2 5 3" xfId="6185" xr:uid="{00000000-0005-0000-0000-0000F4010000}"/>
    <cellStyle name="20% - Accent4 2 2 2 5 3 2" xfId="23057" xr:uid="{FCFD5AF2-B65D-4CBD-9D72-DA57C902A0B7}"/>
    <cellStyle name="20% - Accent4 2 2 2 5 3 3" xfId="14623" xr:uid="{018B8214-6BAE-45B1-8C57-BBC171B6037D}"/>
    <cellStyle name="20% - Accent4 2 2 2 5 4" xfId="18840" xr:uid="{8235C0AF-77D1-41AE-B7F3-242E6EABF34C}"/>
    <cellStyle name="20% - Accent4 2 2 2 5 5" xfId="10406" xr:uid="{73AFB6FE-3952-4714-888E-50AFD8CAB59F}"/>
    <cellStyle name="20% - Accent4 2 2 2 6" xfId="2291" xr:uid="{00000000-0005-0000-0000-0000F5010000}"/>
    <cellStyle name="20% - Accent4 2 2 2 6 2" xfId="6598" xr:uid="{00000000-0005-0000-0000-0000F6010000}"/>
    <cellStyle name="20% - Accent4 2 2 2 6 2 2" xfId="23470" xr:uid="{773B5B79-DCA3-416B-B5A3-DE4F6A307CE9}"/>
    <cellStyle name="20% - Accent4 2 2 2 6 2 3" xfId="15036" xr:uid="{FCC7A34A-AAFE-41E4-ACD7-55B00B8FC146}"/>
    <cellStyle name="20% - Accent4 2 2 2 6 3" xfId="19253" xr:uid="{C4D64401-5B93-44F1-B2BA-7080CDC49A37}"/>
    <cellStyle name="20% - Accent4 2 2 2 6 4" xfId="10819" xr:uid="{40814003-B305-48FC-BE13-04B12788E593}"/>
    <cellStyle name="20% - Accent4 2 2 2 7" xfId="4532" xr:uid="{00000000-0005-0000-0000-0000F7010000}"/>
    <cellStyle name="20% - Accent4 2 2 2 7 2" xfId="21404" xr:uid="{2837D5B8-4F8F-4645-96E4-1BD0BF1BD23C}"/>
    <cellStyle name="20% - Accent4 2 2 2 7 3" xfId="12970" xr:uid="{66638FF0-1996-4EEF-8289-9DA134F8469C}"/>
    <cellStyle name="20% - Accent4 2 2 2 8" xfId="17187" xr:uid="{B4AC9588-B12E-4E7C-B8CB-A2D09592E5F1}"/>
    <cellStyle name="20% - Accent4 2 2 2 9" xfId="8753" xr:uid="{A246E6EF-5AD7-4884-B217-753D5E81E148}"/>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23962" xr:uid="{706FB17E-C747-40EC-8DE6-EEFCFCD44F1F}"/>
    <cellStyle name="20% - Accent4 2 2 3 2 2 3" xfId="15528" xr:uid="{E08B0FEC-6DE7-4494-B9BE-CDC3AC55297D}"/>
    <cellStyle name="20% - Accent4 2 2 3 2 3" xfId="19745" xr:uid="{DB9D9337-25F3-439E-8617-68BB747992D5}"/>
    <cellStyle name="20% - Accent4 2 2 3 2 4" xfId="11311" xr:uid="{CEBA0DD9-4F6E-4FE5-B7C4-A99A3CA32433}"/>
    <cellStyle name="20% - Accent4 2 2 3 3" xfId="4945" xr:uid="{00000000-0005-0000-0000-0000FB010000}"/>
    <cellStyle name="20% - Accent4 2 2 3 3 2" xfId="21817" xr:uid="{0F04F7DF-D245-4E72-8803-8B643FEA425E}"/>
    <cellStyle name="20% - Accent4 2 2 3 3 3" xfId="13383" xr:uid="{DF533809-6595-4B50-A8BE-FA8E5983A9C7}"/>
    <cellStyle name="20% - Accent4 2 2 3 4" xfId="17600" xr:uid="{8B6712F4-BB6F-4038-9A0F-AA08052B76B0}"/>
    <cellStyle name="20% - Accent4 2 2 3 5" xfId="9166" xr:uid="{F591285C-F425-4A80-96B1-317CCF06446D}"/>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24375" xr:uid="{1958C10A-7822-441A-A968-0AC6796A23D3}"/>
    <cellStyle name="20% - Accent4 2 2 4 2 2 3" xfId="15941" xr:uid="{88EC7D70-F32B-401E-B501-3378CF12EEBA}"/>
    <cellStyle name="20% - Accent4 2 2 4 2 3" xfId="20158" xr:uid="{DB72DE55-2359-4BFC-8102-752557CCD361}"/>
    <cellStyle name="20% - Accent4 2 2 4 2 4" xfId="11724" xr:uid="{0E292283-0BD8-4164-AD4F-DA3AE899D364}"/>
    <cellStyle name="20% - Accent4 2 2 4 3" xfId="5358" xr:uid="{00000000-0005-0000-0000-0000FF010000}"/>
    <cellStyle name="20% - Accent4 2 2 4 3 2" xfId="22230" xr:uid="{307DBCFE-A90F-45F6-98ED-574E91F68642}"/>
    <cellStyle name="20% - Accent4 2 2 4 3 3" xfId="13796" xr:uid="{C656AE36-D796-4D96-BC4F-34D62735D8EF}"/>
    <cellStyle name="20% - Accent4 2 2 4 4" xfId="18013" xr:uid="{7DD8CA00-7103-40A9-9059-8ABCEE20EFBE}"/>
    <cellStyle name="20% - Accent4 2 2 4 5" xfId="9579" xr:uid="{7BB0D495-8CCA-4E09-8677-D6595240B641}"/>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24788" xr:uid="{F2B880D5-7DBF-449B-9F9B-30015A5EAD14}"/>
    <cellStyle name="20% - Accent4 2 2 5 2 2 3" xfId="16354" xr:uid="{3DD1B20B-ED3C-4A73-976B-1D8450F33FBF}"/>
    <cellStyle name="20% - Accent4 2 2 5 2 3" xfId="20571" xr:uid="{6276C408-150D-4AFC-90D6-A7A111A2C6C6}"/>
    <cellStyle name="20% - Accent4 2 2 5 2 4" xfId="12137" xr:uid="{645B74E8-50BC-448B-B2FB-4049371F4392}"/>
    <cellStyle name="20% - Accent4 2 2 5 3" xfId="5771" xr:uid="{00000000-0005-0000-0000-000003020000}"/>
    <cellStyle name="20% - Accent4 2 2 5 3 2" xfId="22643" xr:uid="{BF95458D-1A9E-4CFC-928C-F8079FB6FB5D}"/>
    <cellStyle name="20% - Accent4 2 2 5 3 3" xfId="14209" xr:uid="{BD2CA5A4-8F6B-4086-9368-A6C0479DEE77}"/>
    <cellStyle name="20% - Accent4 2 2 5 4" xfId="18426" xr:uid="{EAC988BE-2BB4-4242-B5AF-E2B17097AC37}"/>
    <cellStyle name="20% - Accent4 2 2 5 5" xfId="9992" xr:uid="{27548CA1-344F-459D-8B4B-72AA07DA8250}"/>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25201" xr:uid="{9F275000-2D3F-44B6-ADF5-8107E9E87B86}"/>
    <cellStyle name="20% - Accent4 2 2 6 2 2 3" xfId="16767" xr:uid="{64C7A9C5-1621-445F-9201-C1032A91EE90}"/>
    <cellStyle name="20% - Accent4 2 2 6 2 3" xfId="20984" xr:uid="{2AB0F108-24B6-4B1E-B1F7-8CF230A86C8D}"/>
    <cellStyle name="20% - Accent4 2 2 6 2 4" xfId="12550" xr:uid="{10D673DA-1BC2-46EF-BA28-02DCF18E7ECC}"/>
    <cellStyle name="20% - Accent4 2 2 6 3" xfId="6184" xr:uid="{00000000-0005-0000-0000-000007020000}"/>
    <cellStyle name="20% - Accent4 2 2 6 3 2" xfId="23056" xr:uid="{28BA6D68-ECA3-4518-AEEC-50C91BEFF7A8}"/>
    <cellStyle name="20% - Accent4 2 2 6 3 3" xfId="14622" xr:uid="{9F85C609-8483-45F0-A0FA-454EA9EA266C}"/>
    <cellStyle name="20% - Accent4 2 2 6 4" xfId="18839" xr:uid="{2F32D9D5-0126-4D60-9B96-B6EFCE5363FE}"/>
    <cellStyle name="20% - Accent4 2 2 6 5" xfId="10405" xr:uid="{5DA97BA7-2F6A-4495-9EBD-AB1FABAA46E4}"/>
    <cellStyle name="20% - Accent4 2 2 7" xfId="2290" xr:uid="{00000000-0005-0000-0000-000008020000}"/>
    <cellStyle name="20% - Accent4 2 2 7 2" xfId="6597" xr:uid="{00000000-0005-0000-0000-000009020000}"/>
    <cellStyle name="20% - Accent4 2 2 7 2 2" xfId="23469" xr:uid="{CCF07AD2-ED50-4B09-852E-7B1F8EC96D4E}"/>
    <cellStyle name="20% - Accent4 2 2 7 2 3" xfId="15035" xr:uid="{38BDE287-86A4-457B-AB08-17BDCC04A8FD}"/>
    <cellStyle name="20% - Accent4 2 2 7 3" xfId="19252" xr:uid="{3719C675-B756-4156-AFBE-0452CD4DBE91}"/>
    <cellStyle name="20% - Accent4 2 2 7 4" xfId="10818" xr:uid="{BACF8BAD-42F7-482F-9833-6035A7EC46E5}"/>
    <cellStyle name="20% - Accent4 2 2 8" xfId="4531" xr:uid="{00000000-0005-0000-0000-00000A020000}"/>
    <cellStyle name="20% - Accent4 2 2 8 2" xfId="21403" xr:uid="{3441DA1A-9F39-4B89-B632-10B10EF535E9}"/>
    <cellStyle name="20% - Accent4 2 2 8 3" xfId="12969" xr:uid="{DA586D74-3BC9-491D-B4A4-B658189396E4}"/>
    <cellStyle name="20% - Accent4 2 2 9" xfId="17186" xr:uid="{A468FE9C-DC17-4C46-AB0E-CD60B2DB194C}"/>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23964" xr:uid="{4633BA98-74B4-4802-8BD6-A14EF1C1779D}"/>
    <cellStyle name="20% - Accent4 2 3 2 2 2 3" xfId="15530" xr:uid="{7DC22D39-A19E-4876-8FEE-A40A0DD4B0C8}"/>
    <cellStyle name="20% - Accent4 2 3 2 2 3" xfId="19747" xr:uid="{68B0F678-99B8-43C7-B9A7-816B2C73E804}"/>
    <cellStyle name="20% - Accent4 2 3 2 2 4" xfId="11313" xr:uid="{056BBBBF-9F6C-4CED-8786-95C3F5102587}"/>
    <cellStyle name="20% - Accent4 2 3 2 3" xfId="4947" xr:uid="{00000000-0005-0000-0000-00000F020000}"/>
    <cellStyle name="20% - Accent4 2 3 2 3 2" xfId="21819" xr:uid="{B34162CF-9E0E-45F0-BF34-FA1176C1B532}"/>
    <cellStyle name="20% - Accent4 2 3 2 3 3" xfId="13385" xr:uid="{86735BEF-BA8B-42E3-8C00-2109E4EADA61}"/>
    <cellStyle name="20% - Accent4 2 3 2 4" xfId="17602" xr:uid="{B104CB4C-68C3-4DF2-8457-E95E133881CE}"/>
    <cellStyle name="20% - Accent4 2 3 2 5" xfId="9168" xr:uid="{4199C385-9130-4119-A36B-D4EAE1FE4D8C}"/>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24377" xr:uid="{5B9AB1FA-2BB2-42F4-8A96-A5EE659A54E8}"/>
    <cellStyle name="20% - Accent4 2 3 3 2 2 3" xfId="15943" xr:uid="{9E88806F-A8C8-47C4-B8EB-450D4F2FF0D5}"/>
    <cellStyle name="20% - Accent4 2 3 3 2 3" xfId="20160" xr:uid="{1A1F7393-70B0-4346-B55D-A56A79895466}"/>
    <cellStyle name="20% - Accent4 2 3 3 2 4" xfId="11726" xr:uid="{1A67CFB1-15DE-4717-85A6-C3D5BB10A333}"/>
    <cellStyle name="20% - Accent4 2 3 3 3" xfId="5360" xr:uid="{00000000-0005-0000-0000-000013020000}"/>
    <cellStyle name="20% - Accent4 2 3 3 3 2" xfId="22232" xr:uid="{DD7B3AB4-A2C1-45C7-84B2-D318F2D6ED78}"/>
    <cellStyle name="20% - Accent4 2 3 3 3 3" xfId="13798" xr:uid="{6E7D2F2C-A735-47E1-88B7-07494B5DEDDF}"/>
    <cellStyle name="20% - Accent4 2 3 3 4" xfId="18015" xr:uid="{6283E617-D0D3-4446-A050-247F9E140CF2}"/>
    <cellStyle name="20% - Accent4 2 3 3 5" xfId="9581" xr:uid="{778CABFB-90AE-4197-800A-E88A0EA3BECF}"/>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24790" xr:uid="{81A58732-DFF3-47ED-ADC3-E43FF4CBEF6C}"/>
    <cellStyle name="20% - Accent4 2 3 4 2 2 3" xfId="16356" xr:uid="{40CB95DA-C6CE-4713-A0B1-C59388B128E6}"/>
    <cellStyle name="20% - Accent4 2 3 4 2 3" xfId="20573" xr:uid="{C9053641-699E-4921-8198-D797DB95EACF}"/>
    <cellStyle name="20% - Accent4 2 3 4 2 4" xfId="12139" xr:uid="{94C30B7B-A38E-44AF-96D8-EA0746207B3F}"/>
    <cellStyle name="20% - Accent4 2 3 4 3" xfId="5773" xr:uid="{00000000-0005-0000-0000-000017020000}"/>
    <cellStyle name="20% - Accent4 2 3 4 3 2" xfId="22645" xr:uid="{BC956EFA-7D13-42BF-9371-94683F82C820}"/>
    <cellStyle name="20% - Accent4 2 3 4 3 3" xfId="14211" xr:uid="{224A56C1-AAD2-4D50-82F2-FEF481602B7E}"/>
    <cellStyle name="20% - Accent4 2 3 4 4" xfId="18428" xr:uid="{4A7AFCDF-32F8-48A6-9439-D4970050F547}"/>
    <cellStyle name="20% - Accent4 2 3 4 5" xfId="9994" xr:uid="{072D3A82-56E4-4476-A376-20326AA85BE9}"/>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25203" xr:uid="{3DF3D725-266D-4240-AF19-1A8DC61B3686}"/>
    <cellStyle name="20% - Accent4 2 3 5 2 2 3" xfId="16769" xr:uid="{D6A1FE8B-ED30-44F3-B062-2441E7CFE38F}"/>
    <cellStyle name="20% - Accent4 2 3 5 2 3" xfId="20986" xr:uid="{2A5BFD92-A4E6-4A59-837F-10774E4D8DCC}"/>
    <cellStyle name="20% - Accent4 2 3 5 2 4" xfId="12552" xr:uid="{02E48EDF-8A1B-416B-A147-FF054944708C}"/>
    <cellStyle name="20% - Accent4 2 3 5 3" xfId="6186" xr:uid="{00000000-0005-0000-0000-00001B020000}"/>
    <cellStyle name="20% - Accent4 2 3 5 3 2" xfId="23058" xr:uid="{8A06151D-8EC3-4DEF-A54E-43B73B4E091B}"/>
    <cellStyle name="20% - Accent4 2 3 5 3 3" xfId="14624" xr:uid="{4642D2EF-CB89-4908-BB6B-F5BFC811E47A}"/>
    <cellStyle name="20% - Accent4 2 3 5 4" xfId="18841" xr:uid="{C5465272-F74D-429C-B05D-67A14608C7A8}"/>
    <cellStyle name="20% - Accent4 2 3 5 5" xfId="10407" xr:uid="{3BEF2818-97AA-4B08-BB9B-150FFFF117FF}"/>
    <cellStyle name="20% - Accent4 2 3 6" xfId="2292" xr:uid="{00000000-0005-0000-0000-00001C020000}"/>
    <cellStyle name="20% - Accent4 2 3 6 2" xfId="6599" xr:uid="{00000000-0005-0000-0000-00001D020000}"/>
    <cellStyle name="20% - Accent4 2 3 6 2 2" xfId="23471" xr:uid="{D601B349-D417-493A-9FB6-F5A31CFE0B9F}"/>
    <cellStyle name="20% - Accent4 2 3 6 2 3" xfId="15037" xr:uid="{56E76098-608D-42E4-AEA3-705D1CA4AC96}"/>
    <cellStyle name="20% - Accent4 2 3 6 3" xfId="19254" xr:uid="{16A86210-4B44-41BC-B4ED-6408E35842FC}"/>
    <cellStyle name="20% - Accent4 2 3 6 4" xfId="10820" xr:uid="{24FA9EC1-6470-4B22-ADF6-F5B51D492110}"/>
    <cellStyle name="20% - Accent4 2 3 7" xfId="4533" xr:uid="{00000000-0005-0000-0000-00001E020000}"/>
    <cellStyle name="20% - Accent4 2 3 7 2" xfId="21405" xr:uid="{2D80FC0E-3CE6-4BB8-AA3B-AD475049F755}"/>
    <cellStyle name="20% - Accent4 2 3 7 3" xfId="12971" xr:uid="{FC4159F7-91FA-4CE1-98E1-99533CD71B31}"/>
    <cellStyle name="20% - Accent4 2 3 8" xfId="17188" xr:uid="{A31C9EF7-3266-48B0-A6EF-68B9ACA74EFD}"/>
    <cellStyle name="20% - Accent4 2 3 9" xfId="8754" xr:uid="{65CB8E6B-4F80-4255-971C-C478C081330F}"/>
    <cellStyle name="20% - Accent4 2 4" xfId="595" xr:uid="{00000000-0005-0000-0000-00001F020000}"/>
    <cellStyle name="20% - Accent4 2 4 2" xfId="2866" xr:uid="{00000000-0005-0000-0000-000020020000}"/>
    <cellStyle name="20% - Accent4 2 4 2 2" xfId="7089" xr:uid="{00000000-0005-0000-0000-000021020000}"/>
    <cellStyle name="20% - Accent4 2 4 2 2 2" xfId="23961" xr:uid="{D0B29E58-1E3F-4C06-87EF-4617EAA6569E}"/>
    <cellStyle name="20% - Accent4 2 4 2 2 3" xfId="15527" xr:uid="{C1C341C0-7417-4CEA-B26E-21BA55FE3DE5}"/>
    <cellStyle name="20% - Accent4 2 4 2 3" xfId="19744" xr:uid="{455815FA-41F1-4CCE-9F90-3809D6C4D92C}"/>
    <cellStyle name="20% - Accent4 2 4 2 4" xfId="11310" xr:uid="{0CF68EF4-2585-429F-98E4-F503F046E4D3}"/>
    <cellStyle name="20% - Accent4 2 4 3" xfId="4944" xr:uid="{00000000-0005-0000-0000-000022020000}"/>
    <cellStyle name="20% - Accent4 2 4 3 2" xfId="21816" xr:uid="{19790285-30AA-40ED-B0B6-3B15ADB27F22}"/>
    <cellStyle name="20% - Accent4 2 4 3 3" xfId="13382" xr:uid="{A4B61B66-CAF0-4316-9A4F-9D4A52CE9858}"/>
    <cellStyle name="20% - Accent4 2 4 4" xfId="17599" xr:uid="{C9CBC386-8AE1-49E5-AB6E-DF70E4F3B0A8}"/>
    <cellStyle name="20% - Accent4 2 4 5" xfId="9165" xr:uid="{F28FBB8A-689D-4067-A938-76F89A85393E}"/>
    <cellStyle name="20% - Accent4 2 5" xfId="1048" xr:uid="{00000000-0005-0000-0000-000023020000}"/>
    <cellStyle name="20% - Accent4 2 5 2" xfId="3279" xr:uid="{00000000-0005-0000-0000-000024020000}"/>
    <cellStyle name="20% - Accent4 2 5 2 2" xfId="7502" xr:uid="{00000000-0005-0000-0000-000025020000}"/>
    <cellStyle name="20% - Accent4 2 5 2 2 2" xfId="24374" xr:uid="{8A7AE827-6B95-4D7B-AB15-F650E8AA6772}"/>
    <cellStyle name="20% - Accent4 2 5 2 2 3" xfId="15940" xr:uid="{B60034FB-7C70-49EF-A12C-C61830B1957E}"/>
    <cellStyle name="20% - Accent4 2 5 2 3" xfId="20157" xr:uid="{845D8D70-93CC-420C-B99B-14A0918EF666}"/>
    <cellStyle name="20% - Accent4 2 5 2 4" xfId="11723" xr:uid="{F792EAA0-C711-415D-85BD-FFF5A72BC70B}"/>
    <cellStyle name="20% - Accent4 2 5 3" xfId="5357" xr:uid="{00000000-0005-0000-0000-000026020000}"/>
    <cellStyle name="20% - Accent4 2 5 3 2" xfId="22229" xr:uid="{F75A1744-93AD-43B2-8591-E11A9758948E}"/>
    <cellStyle name="20% - Accent4 2 5 3 3" xfId="13795" xr:uid="{BA2EF2E1-F44A-43EB-B499-A6F16392F1AF}"/>
    <cellStyle name="20% - Accent4 2 5 4" xfId="18012" xr:uid="{D7F9F701-2DDD-4B31-B501-5BF50EE2C0E8}"/>
    <cellStyle name="20% - Accent4 2 5 5" xfId="9578" xr:uid="{73116067-F2FF-4503-ABE7-038A63538165}"/>
    <cellStyle name="20% - Accent4 2 6" xfId="1462" xr:uid="{00000000-0005-0000-0000-000027020000}"/>
    <cellStyle name="20% - Accent4 2 6 2" xfId="3692" xr:uid="{00000000-0005-0000-0000-000028020000}"/>
    <cellStyle name="20% - Accent4 2 6 2 2" xfId="7915" xr:uid="{00000000-0005-0000-0000-000029020000}"/>
    <cellStyle name="20% - Accent4 2 6 2 2 2" xfId="24787" xr:uid="{5CBAD028-0912-41AD-927C-44F2E9DC8827}"/>
    <cellStyle name="20% - Accent4 2 6 2 2 3" xfId="16353" xr:uid="{E5261A5D-393B-4649-AE9E-33B64C3B6389}"/>
    <cellStyle name="20% - Accent4 2 6 2 3" xfId="20570" xr:uid="{2DF7B259-1B4F-4E40-9DD6-1FD062F15C44}"/>
    <cellStyle name="20% - Accent4 2 6 2 4" xfId="12136" xr:uid="{CB7D2DCD-768A-4A6D-AA80-04DC9B7D840E}"/>
    <cellStyle name="20% - Accent4 2 6 3" xfId="5770" xr:uid="{00000000-0005-0000-0000-00002A020000}"/>
    <cellStyle name="20% - Accent4 2 6 3 2" xfId="22642" xr:uid="{CFD1C238-A053-4B40-A649-B4AF8CEDD460}"/>
    <cellStyle name="20% - Accent4 2 6 3 3" xfId="14208" xr:uid="{9D298C86-2533-4E38-901D-4C3FF30042B5}"/>
    <cellStyle name="20% - Accent4 2 6 4" xfId="18425" xr:uid="{E1A326C6-5A66-44AC-9FFD-C401B60581B8}"/>
    <cellStyle name="20% - Accent4 2 6 5" xfId="9991" xr:uid="{C40A543D-97B2-4BB0-8746-CDD995D6D7D3}"/>
    <cellStyle name="20% - Accent4 2 7" xfId="1876" xr:uid="{00000000-0005-0000-0000-00002B020000}"/>
    <cellStyle name="20% - Accent4 2 7 2" xfId="4105" xr:uid="{00000000-0005-0000-0000-00002C020000}"/>
    <cellStyle name="20% - Accent4 2 7 2 2" xfId="8328" xr:uid="{00000000-0005-0000-0000-00002D020000}"/>
    <cellStyle name="20% - Accent4 2 7 2 2 2" xfId="25200" xr:uid="{24CC3D21-656E-4C98-9CCE-CEF43DC2BC6B}"/>
    <cellStyle name="20% - Accent4 2 7 2 2 3" xfId="16766" xr:uid="{DFC8810A-3AC2-43FA-BD30-F12C86B4F373}"/>
    <cellStyle name="20% - Accent4 2 7 2 3" xfId="20983" xr:uid="{FCBB8E51-C671-47AA-97D1-A0104EE5000C}"/>
    <cellStyle name="20% - Accent4 2 7 2 4" xfId="12549" xr:uid="{1D10FB1A-EE7E-49A7-9573-DB33DA035C59}"/>
    <cellStyle name="20% - Accent4 2 7 3" xfId="6183" xr:uid="{00000000-0005-0000-0000-00002E020000}"/>
    <cellStyle name="20% - Accent4 2 7 3 2" xfId="23055" xr:uid="{9224BBF8-5A88-47BA-94FC-D371229F1D98}"/>
    <cellStyle name="20% - Accent4 2 7 3 3" xfId="14621" xr:uid="{D8DAA56B-D22F-46D6-AB86-A931D1D74860}"/>
    <cellStyle name="20% - Accent4 2 7 4" xfId="18838" xr:uid="{0B0750E4-51CD-4D6B-8280-EAC85B34EBCB}"/>
    <cellStyle name="20% - Accent4 2 7 5" xfId="10404" xr:uid="{EA6F8353-5EC1-42F9-9044-EC7B7CC199E6}"/>
    <cellStyle name="20% - Accent4 2 8" xfId="2289" xr:uid="{00000000-0005-0000-0000-00002F020000}"/>
    <cellStyle name="20% - Accent4 2 8 2" xfId="6596" xr:uid="{00000000-0005-0000-0000-000030020000}"/>
    <cellStyle name="20% - Accent4 2 8 2 2" xfId="23468" xr:uid="{53B830DF-1AD9-4463-84E7-434CBCB3D931}"/>
    <cellStyle name="20% - Accent4 2 8 2 3" xfId="15034" xr:uid="{260CB1C2-CC91-4F11-A830-254EFFF3D448}"/>
    <cellStyle name="20% - Accent4 2 8 3" xfId="19251" xr:uid="{8B51B651-6FFF-4875-B4FA-B8101C751FB6}"/>
    <cellStyle name="20% - Accent4 2 8 4" xfId="10817" xr:uid="{24FB624C-A521-4C53-B085-6C431268BD91}"/>
    <cellStyle name="20% - Accent4 2 9" xfId="4530" xr:uid="{00000000-0005-0000-0000-000031020000}"/>
    <cellStyle name="20% - Accent4 2 9 2" xfId="21402" xr:uid="{5B828F35-0BC1-4D7F-8E00-B7145EC558DF}"/>
    <cellStyle name="20% - Accent4 2 9 3" xfId="12968" xr:uid="{62A06CBD-78D3-47EE-990E-C4A3EB4225A1}"/>
    <cellStyle name="20% - Accent4 3" xfId="30" xr:uid="{00000000-0005-0000-0000-000032020000}"/>
    <cellStyle name="20% - Accent4 3 10" xfId="8755" xr:uid="{E0BD399D-F522-45D3-86CA-28F0D2ECDB71}"/>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23966" xr:uid="{71A233B2-D77C-4353-B53C-C8DF28D5DB5F}"/>
    <cellStyle name="20% - Accent4 3 2 2 2 2 3" xfId="15532" xr:uid="{292EAD69-25A5-4A79-825E-906E4A035840}"/>
    <cellStyle name="20% - Accent4 3 2 2 2 3" xfId="19749" xr:uid="{FBC5A231-9B27-4103-91D9-48436AB90276}"/>
    <cellStyle name="20% - Accent4 3 2 2 2 4" xfId="11315" xr:uid="{F80CC556-AA4D-4069-ABA3-63601B88EA16}"/>
    <cellStyle name="20% - Accent4 3 2 2 3" xfId="4949" xr:uid="{00000000-0005-0000-0000-000037020000}"/>
    <cellStyle name="20% - Accent4 3 2 2 3 2" xfId="21821" xr:uid="{27C74BC2-662A-4C50-AEFF-085CA78A8DB3}"/>
    <cellStyle name="20% - Accent4 3 2 2 3 3" xfId="13387" xr:uid="{5B087D48-8621-4976-811D-BBE6A26AD269}"/>
    <cellStyle name="20% - Accent4 3 2 2 4" xfId="17604" xr:uid="{B7CC0DED-CFEA-4CE6-BFFD-8FA267353FC1}"/>
    <cellStyle name="20% - Accent4 3 2 2 5" xfId="9170" xr:uid="{B1FE4D69-68BC-46EA-A6EA-E6101AAE0C37}"/>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24379" xr:uid="{FF88AA5E-8F71-4658-BC90-335E51BF3411}"/>
    <cellStyle name="20% - Accent4 3 2 3 2 2 3" xfId="15945" xr:uid="{93A729C8-C0CC-417E-A577-ACC00C896980}"/>
    <cellStyle name="20% - Accent4 3 2 3 2 3" xfId="20162" xr:uid="{A34CB7B0-390F-40A0-93EE-2425A2CBAB58}"/>
    <cellStyle name="20% - Accent4 3 2 3 2 4" xfId="11728" xr:uid="{5A9E3BD1-4A37-4DC3-9031-E851630AF6F5}"/>
    <cellStyle name="20% - Accent4 3 2 3 3" xfId="5362" xr:uid="{00000000-0005-0000-0000-00003B020000}"/>
    <cellStyle name="20% - Accent4 3 2 3 3 2" xfId="22234" xr:uid="{7EC7D6E8-82DE-45CB-9BF2-A6350FA3340D}"/>
    <cellStyle name="20% - Accent4 3 2 3 3 3" xfId="13800" xr:uid="{DCF3B93B-5A81-4652-8B10-27F2ACB28347}"/>
    <cellStyle name="20% - Accent4 3 2 3 4" xfId="18017" xr:uid="{7B1D069B-DD0A-40BD-AE33-0B34E971C145}"/>
    <cellStyle name="20% - Accent4 3 2 3 5" xfId="9583" xr:uid="{825E6B94-5F95-49EE-9FEA-F513A71D8736}"/>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24792" xr:uid="{0AF32386-5D47-4428-A749-3EC837173EBE}"/>
    <cellStyle name="20% - Accent4 3 2 4 2 2 3" xfId="16358" xr:uid="{A6A9DD08-2D73-4F1A-B5C5-657F98579BDF}"/>
    <cellStyle name="20% - Accent4 3 2 4 2 3" xfId="20575" xr:uid="{EEFCE100-0C83-4F0D-858D-FAB9C85F6F08}"/>
    <cellStyle name="20% - Accent4 3 2 4 2 4" xfId="12141" xr:uid="{0DDAEA83-018C-4693-8D95-BBB645A76156}"/>
    <cellStyle name="20% - Accent4 3 2 4 3" xfId="5775" xr:uid="{00000000-0005-0000-0000-00003F020000}"/>
    <cellStyle name="20% - Accent4 3 2 4 3 2" xfId="22647" xr:uid="{036BE976-65C3-40E0-BD19-39F592B6F91D}"/>
    <cellStyle name="20% - Accent4 3 2 4 3 3" xfId="14213" xr:uid="{4EE43FDD-9498-48CD-A7B2-C85A52375CDA}"/>
    <cellStyle name="20% - Accent4 3 2 4 4" xfId="18430" xr:uid="{365CD256-5B52-4490-8425-B745029613C3}"/>
    <cellStyle name="20% - Accent4 3 2 4 5" xfId="9996" xr:uid="{C0C21D2F-93B6-4FEE-BBB8-D4C462EF650D}"/>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25205" xr:uid="{9D49693F-67AB-43C9-9AE3-F2B27CC40AD6}"/>
    <cellStyle name="20% - Accent4 3 2 5 2 2 3" xfId="16771" xr:uid="{B2019080-EE7B-4369-9717-4B5F9A6A1EA5}"/>
    <cellStyle name="20% - Accent4 3 2 5 2 3" xfId="20988" xr:uid="{9B50AAC6-39E6-4F05-88DC-4D15E25BF472}"/>
    <cellStyle name="20% - Accent4 3 2 5 2 4" xfId="12554" xr:uid="{FF6E8D74-7870-4253-B961-988C0D493875}"/>
    <cellStyle name="20% - Accent4 3 2 5 3" xfId="6188" xr:uid="{00000000-0005-0000-0000-000043020000}"/>
    <cellStyle name="20% - Accent4 3 2 5 3 2" xfId="23060" xr:uid="{FEC4E40E-31D5-4987-8F6E-8EC931E6058E}"/>
    <cellStyle name="20% - Accent4 3 2 5 3 3" xfId="14626" xr:uid="{9F1E6E29-DA03-4980-A864-FE7ABB294BDF}"/>
    <cellStyle name="20% - Accent4 3 2 5 4" xfId="18843" xr:uid="{257C14A9-DA8F-4144-ABEE-09DDABD2A066}"/>
    <cellStyle name="20% - Accent4 3 2 5 5" xfId="10409" xr:uid="{EC0D40C0-1534-40F4-AD2A-04A6113B4AFD}"/>
    <cellStyle name="20% - Accent4 3 2 6" xfId="2294" xr:uid="{00000000-0005-0000-0000-000044020000}"/>
    <cellStyle name="20% - Accent4 3 2 6 2" xfId="6601" xr:uid="{00000000-0005-0000-0000-000045020000}"/>
    <cellStyle name="20% - Accent4 3 2 6 2 2" xfId="23473" xr:uid="{6C5E765D-00B7-49B9-A91C-74E03F3646B7}"/>
    <cellStyle name="20% - Accent4 3 2 6 2 3" xfId="15039" xr:uid="{6E9BE31E-AF44-4F46-99D2-99C79509A033}"/>
    <cellStyle name="20% - Accent4 3 2 6 3" xfId="19256" xr:uid="{9E16F702-7FD4-4540-9FE3-BCB0FDA82AE5}"/>
    <cellStyle name="20% - Accent4 3 2 6 4" xfId="10822" xr:uid="{AA9E49FD-4D0C-4FDF-936D-54081763EC4C}"/>
    <cellStyle name="20% - Accent4 3 2 7" xfId="4535" xr:uid="{00000000-0005-0000-0000-000046020000}"/>
    <cellStyle name="20% - Accent4 3 2 7 2" xfId="21407" xr:uid="{A544CC88-2D81-42D2-90A9-F28DF030F204}"/>
    <cellStyle name="20% - Accent4 3 2 7 3" xfId="12973" xr:uid="{ED0BCE1D-4634-47BD-B7A5-A801750965D8}"/>
    <cellStyle name="20% - Accent4 3 2 8" xfId="17190" xr:uid="{5B8A78F3-9C43-43DF-B088-00AE11610D13}"/>
    <cellStyle name="20% - Accent4 3 2 9" xfId="8756" xr:uid="{5145AAE7-C4C3-4D5D-B604-4C6629896774}"/>
    <cellStyle name="20% - Accent4 3 3" xfId="599" xr:uid="{00000000-0005-0000-0000-000047020000}"/>
    <cellStyle name="20% - Accent4 3 3 2" xfId="2870" xr:uid="{00000000-0005-0000-0000-000048020000}"/>
    <cellStyle name="20% - Accent4 3 3 2 2" xfId="7093" xr:uid="{00000000-0005-0000-0000-000049020000}"/>
    <cellStyle name="20% - Accent4 3 3 2 2 2" xfId="23965" xr:uid="{6A121BBC-D2CC-4824-AD07-B6988C01E35A}"/>
    <cellStyle name="20% - Accent4 3 3 2 2 3" xfId="15531" xr:uid="{14994AC0-6FDB-471A-9182-403E31FD4180}"/>
    <cellStyle name="20% - Accent4 3 3 2 3" xfId="19748" xr:uid="{7CDACDE8-2038-4F38-AB3C-3B9B52374180}"/>
    <cellStyle name="20% - Accent4 3 3 2 4" xfId="11314" xr:uid="{E6C9D9A3-EFB2-4A39-813E-229B65912C83}"/>
    <cellStyle name="20% - Accent4 3 3 3" xfId="4948" xr:uid="{00000000-0005-0000-0000-00004A020000}"/>
    <cellStyle name="20% - Accent4 3 3 3 2" xfId="21820" xr:uid="{2F48697D-F700-4426-B935-DB5BD1B2A71F}"/>
    <cellStyle name="20% - Accent4 3 3 3 3" xfId="13386" xr:uid="{95E43D74-741B-401F-83F1-356C3E46093B}"/>
    <cellStyle name="20% - Accent4 3 3 4" xfId="17603" xr:uid="{E77B5F66-3C20-4F29-B6DA-DB2C4F184A03}"/>
    <cellStyle name="20% - Accent4 3 3 5" xfId="9169" xr:uid="{F0108F90-F142-40E5-83AD-46A154B4B334}"/>
    <cellStyle name="20% - Accent4 3 4" xfId="1052" xr:uid="{00000000-0005-0000-0000-00004B020000}"/>
    <cellStyle name="20% - Accent4 3 4 2" xfId="3283" xr:uid="{00000000-0005-0000-0000-00004C020000}"/>
    <cellStyle name="20% - Accent4 3 4 2 2" xfId="7506" xr:uid="{00000000-0005-0000-0000-00004D020000}"/>
    <cellStyle name="20% - Accent4 3 4 2 2 2" xfId="24378" xr:uid="{69F73A96-4ED8-4F27-85CF-3B69C396D829}"/>
    <cellStyle name="20% - Accent4 3 4 2 2 3" xfId="15944" xr:uid="{12372B28-1B2D-4B7A-A8F8-AF6A759D3B21}"/>
    <cellStyle name="20% - Accent4 3 4 2 3" xfId="20161" xr:uid="{394B5428-9183-4338-8CF5-F9ED8AD58C5C}"/>
    <cellStyle name="20% - Accent4 3 4 2 4" xfId="11727" xr:uid="{719F76E3-1C59-4315-8E7D-22E6AFC3ED02}"/>
    <cellStyle name="20% - Accent4 3 4 3" xfId="5361" xr:uid="{00000000-0005-0000-0000-00004E020000}"/>
    <cellStyle name="20% - Accent4 3 4 3 2" xfId="22233" xr:uid="{F5488044-8543-4B96-A799-A84200A36577}"/>
    <cellStyle name="20% - Accent4 3 4 3 3" xfId="13799" xr:uid="{D326E34F-F902-4CCC-8CEB-7C0458EF3214}"/>
    <cellStyle name="20% - Accent4 3 4 4" xfId="18016" xr:uid="{2BC23010-FC7E-498E-9632-2F75FECF79D6}"/>
    <cellStyle name="20% - Accent4 3 4 5" xfId="9582" xr:uid="{4F0A135C-DF6F-4EA4-84A9-0EAF8D487020}"/>
    <cellStyle name="20% - Accent4 3 5" xfId="1466" xr:uid="{00000000-0005-0000-0000-00004F020000}"/>
    <cellStyle name="20% - Accent4 3 5 2" xfId="3696" xr:uid="{00000000-0005-0000-0000-000050020000}"/>
    <cellStyle name="20% - Accent4 3 5 2 2" xfId="7919" xr:uid="{00000000-0005-0000-0000-000051020000}"/>
    <cellStyle name="20% - Accent4 3 5 2 2 2" xfId="24791" xr:uid="{F3A966CF-E185-4BBB-97D4-B3BB9D514666}"/>
    <cellStyle name="20% - Accent4 3 5 2 2 3" xfId="16357" xr:uid="{044078DF-43AF-4B08-909F-583604B163D9}"/>
    <cellStyle name="20% - Accent4 3 5 2 3" xfId="20574" xr:uid="{BF5ACC88-59D1-491D-800F-3E9B3A7ED849}"/>
    <cellStyle name="20% - Accent4 3 5 2 4" xfId="12140" xr:uid="{2DFFD7B0-90F2-4404-9AC0-D99E3E3DF5F9}"/>
    <cellStyle name="20% - Accent4 3 5 3" xfId="5774" xr:uid="{00000000-0005-0000-0000-000052020000}"/>
    <cellStyle name="20% - Accent4 3 5 3 2" xfId="22646" xr:uid="{669FF971-6D7B-405B-8481-43DDA4C75807}"/>
    <cellStyle name="20% - Accent4 3 5 3 3" xfId="14212" xr:uid="{8698E3E7-1D7E-4B75-BFD3-DBD5329D367B}"/>
    <cellStyle name="20% - Accent4 3 5 4" xfId="18429" xr:uid="{497F3B82-F704-4C2A-8549-F56AD2E21837}"/>
    <cellStyle name="20% - Accent4 3 5 5" xfId="9995" xr:uid="{8FBBC49E-7723-4B99-8EE4-698BC99034ED}"/>
    <cellStyle name="20% - Accent4 3 6" xfId="1880" xr:uid="{00000000-0005-0000-0000-000053020000}"/>
    <cellStyle name="20% - Accent4 3 6 2" xfId="4109" xr:uid="{00000000-0005-0000-0000-000054020000}"/>
    <cellStyle name="20% - Accent4 3 6 2 2" xfId="8332" xr:uid="{00000000-0005-0000-0000-000055020000}"/>
    <cellStyle name="20% - Accent4 3 6 2 2 2" xfId="25204" xr:uid="{11E821B7-CAD0-4BFA-9686-87ECF3974CA2}"/>
    <cellStyle name="20% - Accent4 3 6 2 2 3" xfId="16770" xr:uid="{71BDD607-7538-44B4-8F15-10FBF73F9689}"/>
    <cellStyle name="20% - Accent4 3 6 2 3" xfId="20987" xr:uid="{F108315D-8A8C-4123-A45B-0D0F126A4227}"/>
    <cellStyle name="20% - Accent4 3 6 2 4" xfId="12553" xr:uid="{35352ECC-5D37-4EEF-8FC8-B782C3D9A1EE}"/>
    <cellStyle name="20% - Accent4 3 6 3" xfId="6187" xr:uid="{00000000-0005-0000-0000-000056020000}"/>
    <cellStyle name="20% - Accent4 3 6 3 2" xfId="23059" xr:uid="{A75074F2-6E91-4170-9E99-C14DAD04164C}"/>
    <cellStyle name="20% - Accent4 3 6 3 3" xfId="14625" xr:uid="{61872F98-B2E9-4CD4-89D6-5C7A52502731}"/>
    <cellStyle name="20% - Accent4 3 6 4" xfId="18842" xr:uid="{ADC1ED24-229B-4C95-9A1A-3296F9E5632F}"/>
    <cellStyle name="20% - Accent4 3 6 5" xfId="10408" xr:uid="{CA16E589-E254-413D-8B0E-4413D8711410}"/>
    <cellStyle name="20% - Accent4 3 7" xfId="2293" xr:uid="{00000000-0005-0000-0000-000057020000}"/>
    <cellStyle name="20% - Accent4 3 7 2" xfId="6600" xr:uid="{00000000-0005-0000-0000-000058020000}"/>
    <cellStyle name="20% - Accent4 3 7 2 2" xfId="23472" xr:uid="{90D35FBB-D0E1-4631-989D-E25465F3562A}"/>
    <cellStyle name="20% - Accent4 3 7 2 3" xfId="15038" xr:uid="{7766AA8C-0FA8-45E7-AFEF-DA2224F21E2B}"/>
    <cellStyle name="20% - Accent4 3 7 3" xfId="19255" xr:uid="{16245D81-9A09-4E29-A747-3C2FD34796E7}"/>
    <cellStyle name="20% - Accent4 3 7 4" xfId="10821" xr:uid="{F41E0B5B-85D8-41E6-BD22-FCF143A4D047}"/>
    <cellStyle name="20% - Accent4 3 8" xfId="4534" xr:uid="{00000000-0005-0000-0000-000059020000}"/>
    <cellStyle name="20% - Accent4 3 8 2" xfId="21406" xr:uid="{9F429229-6BD4-4037-82A1-496F272F8518}"/>
    <cellStyle name="20% - Accent4 3 8 3" xfId="12972" xr:uid="{B399494E-4665-4CB5-8642-4CFA0CABFC08}"/>
    <cellStyle name="20% - Accent4 3 9" xfId="17189" xr:uid="{CDCC0F8D-0AA9-4BAF-B8AD-5AE757B6B1A8}"/>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23967" xr:uid="{F4445B14-8BB4-4635-B645-90DCD8C9075A}"/>
    <cellStyle name="20% - Accent4 4 2 2 2 3" xfId="15533" xr:uid="{B0C849D4-E4BC-4946-98A6-0B932FCA095F}"/>
    <cellStyle name="20% - Accent4 4 2 2 3" xfId="19750" xr:uid="{4FE3CAA3-24FF-4C2F-A82D-A0FFF1C1AD19}"/>
    <cellStyle name="20% - Accent4 4 2 2 4" xfId="11316" xr:uid="{A0440810-F7CE-470B-9118-2EE7D56F18B1}"/>
    <cellStyle name="20% - Accent4 4 2 3" xfId="4950" xr:uid="{00000000-0005-0000-0000-00005E020000}"/>
    <cellStyle name="20% - Accent4 4 2 3 2" xfId="21822" xr:uid="{5AADE620-6083-4373-82DB-26FDB274E6CF}"/>
    <cellStyle name="20% - Accent4 4 2 3 3" xfId="13388" xr:uid="{D4634FAD-1855-4B73-8B0B-F1325D693065}"/>
    <cellStyle name="20% - Accent4 4 2 4" xfId="17605" xr:uid="{1DE0B2A8-1C1D-48CC-A4C2-A8D1B2A9FDA7}"/>
    <cellStyle name="20% - Accent4 4 2 5" xfId="9171" xr:uid="{6904468A-80E4-48F0-ADFB-89F10A4EDB78}"/>
    <cellStyle name="20% - Accent4 4 3" xfId="1054" xr:uid="{00000000-0005-0000-0000-00005F020000}"/>
    <cellStyle name="20% - Accent4 4 3 2" xfId="3285" xr:uid="{00000000-0005-0000-0000-000060020000}"/>
    <cellStyle name="20% - Accent4 4 3 2 2" xfId="7508" xr:uid="{00000000-0005-0000-0000-000061020000}"/>
    <cellStyle name="20% - Accent4 4 3 2 2 2" xfId="24380" xr:uid="{B1163A41-C2BC-4D6F-BDCE-1E2902EC496A}"/>
    <cellStyle name="20% - Accent4 4 3 2 2 3" xfId="15946" xr:uid="{7EC89414-1C04-46CB-B21B-0A8C44C2BB30}"/>
    <cellStyle name="20% - Accent4 4 3 2 3" xfId="20163" xr:uid="{FBDE796D-90CD-4A60-90FC-D70D948FDC41}"/>
    <cellStyle name="20% - Accent4 4 3 2 4" xfId="11729" xr:uid="{E9D720D2-F8D8-47D1-823F-A7323ED53466}"/>
    <cellStyle name="20% - Accent4 4 3 3" xfId="5363" xr:uid="{00000000-0005-0000-0000-000062020000}"/>
    <cellStyle name="20% - Accent4 4 3 3 2" xfId="22235" xr:uid="{8A883E75-AE30-44B8-A284-E80F1A6C8732}"/>
    <cellStyle name="20% - Accent4 4 3 3 3" xfId="13801" xr:uid="{4BC64AFB-BEBF-4163-8C23-D9A91E503AAD}"/>
    <cellStyle name="20% - Accent4 4 3 4" xfId="18018" xr:uid="{4C0ED1FC-6022-4660-AD36-CF67CDFAA272}"/>
    <cellStyle name="20% - Accent4 4 3 5" xfId="9584" xr:uid="{EAAF850E-5268-4A66-954C-C9E46C76929D}"/>
    <cellStyle name="20% - Accent4 4 4" xfId="1468" xr:uid="{00000000-0005-0000-0000-000063020000}"/>
    <cellStyle name="20% - Accent4 4 4 2" xfId="3698" xr:uid="{00000000-0005-0000-0000-000064020000}"/>
    <cellStyle name="20% - Accent4 4 4 2 2" xfId="7921" xr:uid="{00000000-0005-0000-0000-000065020000}"/>
    <cellStyle name="20% - Accent4 4 4 2 2 2" xfId="24793" xr:uid="{DC2F3567-8730-4FDC-B73C-A07C4AE4054E}"/>
    <cellStyle name="20% - Accent4 4 4 2 2 3" xfId="16359" xr:uid="{3ACF20DA-CA49-467B-8A42-DC37C4CAB42B}"/>
    <cellStyle name="20% - Accent4 4 4 2 3" xfId="20576" xr:uid="{F5FC97CA-CD42-49F0-9B16-D1D19A8F2772}"/>
    <cellStyle name="20% - Accent4 4 4 2 4" xfId="12142" xr:uid="{8CA68056-CD81-4E5D-8220-439BB15921E4}"/>
    <cellStyle name="20% - Accent4 4 4 3" xfId="5776" xr:uid="{00000000-0005-0000-0000-000066020000}"/>
    <cellStyle name="20% - Accent4 4 4 3 2" xfId="22648" xr:uid="{1981A367-9A1F-48D8-AD2B-0F8C683590E8}"/>
    <cellStyle name="20% - Accent4 4 4 3 3" xfId="14214" xr:uid="{6091EB67-572A-4EDE-B00D-52AC98702C7E}"/>
    <cellStyle name="20% - Accent4 4 4 4" xfId="18431" xr:uid="{90433480-3836-4879-9811-B0BFB22635EB}"/>
    <cellStyle name="20% - Accent4 4 4 5" xfId="9997" xr:uid="{6901765E-74C9-4DFF-A93B-D1F33A8E8C38}"/>
    <cellStyle name="20% - Accent4 4 5" xfId="1882" xr:uid="{00000000-0005-0000-0000-000067020000}"/>
    <cellStyle name="20% - Accent4 4 5 2" xfId="4111" xr:uid="{00000000-0005-0000-0000-000068020000}"/>
    <cellStyle name="20% - Accent4 4 5 2 2" xfId="8334" xr:uid="{00000000-0005-0000-0000-000069020000}"/>
    <cellStyle name="20% - Accent4 4 5 2 2 2" xfId="25206" xr:uid="{B9301412-22D0-45F8-B50B-0B77C103CED4}"/>
    <cellStyle name="20% - Accent4 4 5 2 2 3" xfId="16772" xr:uid="{8676465D-1CC8-4B50-9E95-996C2EA7FCBB}"/>
    <cellStyle name="20% - Accent4 4 5 2 3" xfId="20989" xr:uid="{915F274E-B716-464F-8FBB-28F02B107432}"/>
    <cellStyle name="20% - Accent4 4 5 2 4" xfId="12555" xr:uid="{D6575217-6BC6-4483-9338-D41E9C37DE52}"/>
    <cellStyle name="20% - Accent4 4 5 3" xfId="6189" xr:uid="{00000000-0005-0000-0000-00006A020000}"/>
    <cellStyle name="20% - Accent4 4 5 3 2" xfId="23061" xr:uid="{1735375C-31DD-42B3-B8EC-8DF68DE0CCC9}"/>
    <cellStyle name="20% - Accent4 4 5 3 3" xfId="14627" xr:uid="{8A4954E5-5BCA-432D-A73B-9AFB96D8C45E}"/>
    <cellStyle name="20% - Accent4 4 5 4" xfId="18844" xr:uid="{22495E4E-398D-4352-9423-4B1A525BDE19}"/>
    <cellStyle name="20% - Accent4 4 5 5" xfId="10410" xr:uid="{CE2910F0-36F0-4F0A-B4FD-CC61731585EE}"/>
    <cellStyle name="20% - Accent4 4 6" xfId="2295" xr:uid="{00000000-0005-0000-0000-00006B020000}"/>
    <cellStyle name="20% - Accent4 4 6 2" xfId="6602" xr:uid="{00000000-0005-0000-0000-00006C020000}"/>
    <cellStyle name="20% - Accent4 4 6 2 2" xfId="23474" xr:uid="{2BBD5B68-0BAA-4041-ADED-FD95AFE6E592}"/>
    <cellStyle name="20% - Accent4 4 6 2 3" xfId="15040" xr:uid="{7245A954-641E-4BE1-82D4-AA37F15D2C24}"/>
    <cellStyle name="20% - Accent4 4 6 3" xfId="19257" xr:uid="{629F5736-B77A-4A45-8C0E-82E27EBE68A2}"/>
    <cellStyle name="20% - Accent4 4 6 4" xfId="10823" xr:uid="{922A243A-0BF4-482E-A2BC-0AA610B52563}"/>
    <cellStyle name="20% - Accent4 4 7" xfId="4536" xr:uid="{00000000-0005-0000-0000-00006D020000}"/>
    <cellStyle name="20% - Accent4 4 7 2" xfId="21408" xr:uid="{476B03EA-145F-43CF-A32A-2743EA12CC80}"/>
    <cellStyle name="20% - Accent4 4 7 3" xfId="12974" xr:uid="{49B79110-4710-4E0A-BEBB-BFB3ABE3944A}"/>
    <cellStyle name="20% - Accent4 4 8" xfId="17191" xr:uid="{4D44D044-9FE9-4740-9F73-D9E183BD4B7F}"/>
    <cellStyle name="20% - Accent4 4 9" xfId="8757" xr:uid="{0390266A-FA85-44D4-AF41-DD2BE41A4C7E}"/>
    <cellStyle name="20% - Accent4 5" xfId="594" xr:uid="{00000000-0005-0000-0000-00006E020000}"/>
    <cellStyle name="20% - Accent4 5 2" xfId="2865" xr:uid="{00000000-0005-0000-0000-00006F020000}"/>
    <cellStyle name="20% - Accent4 5 2 2" xfId="7088" xr:uid="{00000000-0005-0000-0000-000070020000}"/>
    <cellStyle name="20% - Accent4 5 2 2 2" xfId="23960" xr:uid="{60AB5966-406C-4DC8-8951-48D5D2DFA7F7}"/>
    <cellStyle name="20% - Accent4 5 2 2 3" xfId="15526" xr:uid="{566CEA27-2521-423B-9293-9BFF4A6B55B2}"/>
    <cellStyle name="20% - Accent4 5 2 3" xfId="19743" xr:uid="{5E1D176A-7F59-4CE1-8510-9AE6952A2136}"/>
    <cellStyle name="20% - Accent4 5 2 4" xfId="11309" xr:uid="{9A4CA3FC-178C-44C2-978E-D3232E873CDA}"/>
    <cellStyle name="20% - Accent4 5 3" xfId="4943" xr:uid="{00000000-0005-0000-0000-000071020000}"/>
    <cellStyle name="20% - Accent4 5 3 2" xfId="21815" xr:uid="{74F2DF5B-4F08-4E4E-8BED-65629C9F2DCB}"/>
    <cellStyle name="20% - Accent4 5 3 3" xfId="13381" xr:uid="{84ECD098-4F38-45E7-9A98-24B505B111CA}"/>
    <cellStyle name="20% - Accent4 5 4" xfId="17598" xr:uid="{B29524B9-F672-4FA2-BD32-D93100FE095C}"/>
    <cellStyle name="20% - Accent4 5 5" xfId="9164" xr:uid="{EC9B57ED-68DB-424D-8CFA-A474BDE43FCA}"/>
    <cellStyle name="20% - Accent4 6" xfId="1047" xr:uid="{00000000-0005-0000-0000-000072020000}"/>
    <cellStyle name="20% - Accent4 6 2" xfId="3278" xr:uid="{00000000-0005-0000-0000-000073020000}"/>
    <cellStyle name="20% - Accent4 6 2 2" xfId="7501" xr:uid="{00000000-0005-0000-0000-000074020000}"/>
    <cellStyle name="20% - Accent4 6 2 2 2" xfId="24373" xr:uid="{1F722884-0860-45E2-A28C-F0DE1538D8F1}"/>
    <cellStyle name="20% - Accent4 6 2 2 3" xfId="15939" xr:uid="{08D3DB68-1ED6-4DC6-A2BE-50DD607643E7}"/>
    <cellStyle name="20% - Accent4 6 2 3" xfId="20156" xr:uid="{CB866C1E-5E7D-4DAB-90C0-56236A828F80}"/>
    <cellStyle name="20% - Accent4 6 2 4" xfId="11722" xr:uid="{B7787CA2-7AAA-4F58-9B9A-D569021CE341}"/>
    <cellStyle name="20% - Accent4 6 3" xfId="5356" xr:uid="{00000000-0005-0000-0000-000075020000}"/>
    <cellStyle name="20% - Accent4 6 3 2" xfId="22228" xr:uid="{E830FFE7-5EC9-4EDD-8F03-17CBF52DB0FC}"/>
    <cellStyle name="20% - Accent4 6 3 3" xfId="13794" xr:uid="{CAACFF69-54B4-4F0D-A85C-EA1A438321E5}"/>
    <cellStyle name="20% - Accent4 6 4" xfId="18011" xr:uid="{4CA70007-9FF1-4757-9123-8B4FCB30D5F1}"/>
    <cellStyle name="20% - Accent4 6 5" xfId="9577" xr:uid="{75C8C07D-1AB6-40C9-937B-248A9BB2FC1D}"/>
    <cellStyle name="20% - Accent4 7" xfId="1461" xr:uid="{00000000-0005-0000-0000-000076020000}"/>
    <cellStyle name="20% - Accent4 7 2" xfId="3691" xr:uid="{00000000-0005-0000-0000-000077020000}"/>
    <cellStyle name="20% - Accent4 7 2 2" xfId="7914" xr:uid="{00000000-0005-0000-0000-000078020000}"/>
    <cellStyle name="20% - Accent4 7 2 2 2" xfId="24786" xr:uid="{E78C63EF-C4F3-4795-9EC2-5C7958F4DE85}"/>
    <cellStyle name="20% - Accent4 7 2 2 3" xfId="16352" xr:uid="{8E9375A3-4B20-4E7F-806E-CF7C988B39DB}"/>
    <cellStyle name="20% - Accent4 7 2 3" xfId="20569" xr:uid="{B4F8A250-4D84-4AB4-8E4D-1537D649D561}"/>
    <cellStyle name="20% - Accent4 7 2 4" xfId="12135" xr:uid="{8A5DB9D5-54A0-4779-A43B-0E6D8D8CE5B8}"/>
    <cellStyle name="20% - Accent4 7 3" xfId="5769" xr:uid="{00000000-0005-0000-0000-000079020000}"/>
    <cellStyle name="20% - Accent4 7 3 2" xfId="22641" xr:uid="{BFBE889F-B948-4D81-9447-805CFFC1EBA5}"/>
    <cellStyle name="20% - Accent4 7 3 3" xfId="14207" xr:uid="{3F1FD395-72D6-4EA1-A9F2-738AA470688C}"/>
    <cellStyle name="20% - Accent4 7 4" xfId="18424" xr:uid="{63AFD37D-540E-4E00-9D2D-42BE0D023783}"/>
    <cellStyle name="20% - Accent4 7 5" xfId="9990" xr:uid="{4E80B9DA-1597-4FD8-BEEC-C9423B91F27F}"/>
    <cellStyle name="20% - Accent4 8" xfId="1875" xr:uid="{00000000-0005-0000-0000-00007A020000}"/>
    <cellStyle name="20% - Accent4 8 2" xfId="4104" xr:uid="{00000000-0005-0000-0000-00007B020000}"/>
    <cellStyle name="20% - Accent4 8 2 2" xfId="8327" xr:uid="{00000000-0005-0000-0000-00007C020000}"/>
    <cellStyle name="20% - Accent4 8 2 2 2" xfId="25199" xr:uid="{CCA8477C-1F87-408D-BC69-5A55108943CA}"/>
    <cellStyle name="20% - Accent4 8 2 2 3" xfId="16765" xr:uid="{AC92205A-DBEA-4EC8-9E84-72947B693A0E}"/>
    <cellStyle name="20% - Accent4 8 2 3" xfId="20982" xr:uid="{94D71A8F-F9BD-4D4B-A200-81AD2CD900E4}"/>
    <cellStyle name="20% - Accent4 8 2 4" xfId="12548" xr:uid="{3570F8EF-6D48-4D42-98D7-CD7F70DBE227}"/>
    <cellStyle name="20% - Accent4 8 3" xfId="6182" xr:uid="{00000000-0005-0000-0000-00007D020000}"/>
    <cellStyle name="20% - Accent4 8 3 2" xfId="23054" xr:uid="{89473CED-98C9-43F3-A8FE-067C17F42B63}"/>
    <cellStyle name="20% - Accent4 8 3 3" xfId="14620" xr:uid="{39290657-1E63-4D5E-8E9A-C4543B358E7B}"/>
    <cellStyle name="20% - Accent4 8 4" xfId="18837" xr:uid="{BCE29BC4-A0A9-44AB-A91C-F0683E04F21F}"/>
    <cellStyle name="20% - Accent4 8 5" xfId="10403" xr:uid="{2A63124A-4CD7-4A05-8EE5-460854B664A0}"/>
    <cellStyle name="20% - Accent4 9" xfId="2288" xr:uid="{00000000-0005-0000-0000-00007E020000}"/>
    <cellStyle name="20% - Accent4 9 2" xfId="6595" xr:uid="{00000000-0005-0000-0000-00007F020000}"/>
    <cellStyle name="20% - Accent4 9 2 2" xfId="23467" xr:uid="{30451240-E7C1-4B15-BBAF-83DFC10DA2FE}"/>
    <cellStyle name="20% - Accent4 9 2 3" xfId="15033" xr:uid="{25326C73-EE52-4D71-B6B6-B47BDEBF854A}"/>
    <cellStyle name="20% - Accent4 9 3" xfId="19250" xr:uid="{8A654D2A-FE94-41A9-872C-C3F9E5B857C3}"/>
    <cellStyle name="20% - Accent4 9 4" xfId="10816" xr:uid="{D204D46B-440D-4A8C-A543-635C2F98C56C}"/>
    <cellStyle name="20% - Accent5" xfId="33" builtinId="46" customBuiltin="1"/>
    <cellStyle name="20% - Accent5 10" xfId="4537" xr:uid="{00000000-0005-0000-0000-000081020000}"/>
    <cellStyle name="20% - Accent5 10 2" xfId="21409" xr:uid="{328F6387-AF4C-4CBE-AC2F-C511CDDE220D}"/>
    <cellStyle name="20% - Accent5 10 3" xfId="12975" xr:uid="{AB573E85-F141-41C9-8C7C-65FA74BE8A77}"/>
    <cellStyle name="20% - Accent5 11" xfId="17192" xr:uid="{AA368209-0F0F-4085-87CC-4D5BE320E41B}"/>
    <cellStyle name="20% - Accent5 12" xfId="8758" xr:uid="{B81A7238-EF39-4FAA-8AD7-B6B9F2E48049}"/>
    <cellStyle name="20% - Accent5 2" xfId="34" xr:uid="{00000000-0005-0000-0000-000082020000}"/>
    <cellStyle name="20% - Accent5 2 10" xfId="17193" xr:uid="{3FD49088-2CE7-42BB-88A7-954F29E06B8F}"/>
    <cellStyle name="20% - Accent5 2 11" xfId="8759" xr:uid="{2A04D893-AC31-4751-956C-81F7C8CF7651}"/>
    <cellStyle name="20% - Accent5 2 2" xfId="35" xr:uid="{00000000-0005-0000-0000-000083020000}"/>
    <cellStyle name="20% - Accent5 2 2 10" xfId="8760" xr:uid="{1A4DEF70-6CBE-4883-9415-4927BEA2287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23971" xr:uid="{DC0EB700-79D4-4603-A854-10B0C8A9E6A4}"/>
    <cellStyle name="20% - Accent5 2 2 2 2 2 2 3" xfId="15537" xr:uid="{2A73A103-FD8C-4590-8372-E18F6FF7C0CB}"/>
    <cellStyle name="20% - Accent5 2 2 2 2 2 3" xfId="19754" xr:uid="{ECEDB17D-F2AE-404E-AF3A-194F328F4268}"/>
    <cellStyle name="20% - Accent5 2 2 2 2 2 4" xfId="11320" xr:uid="{DF8DDFF8-4062-449B-997A-E25B212D5E97}"/>
    <cellStyle name="20% - Accent5 2 2 2 2 3" xfId="4954" xr:uid="{00000000-0005-0000-0000-000088020000}"/>
    <cellStyle name="20% - Accent5 2 2 2 2 3 2" xfId="21826" xr:uid="{54EB04B0-F2A1-46F7-BE8E-DBC0ACADD7B4}"/>
    <cellStyle name="20% - Accent5 2 2 2 2 3 3" xfId="13392" xr:uid="{46690384-41EF-44E9-AAB7-FC926839F53E}"/>
    <cellStyle name="20% - Accent5 2 2 2 2 4" xfId="17609" xr:uid="{6BCF9DB6-BD24-4982-B0C8-B04BD6811ACD}"/>
    <cellStyle name="20% - Accent5 2 2 2 2 5" xfId="9175" xr:uid="{17F86FBF-8FFB-4A7B-BAE9-EB60781ED57A}"/>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24384" xr:uid="{C81BDED9-24B2-4820-B4CE-AE9FF64EA2A7}"/>
    <cellStyle name="20% - Accent5 2 2 2 3 2 2 3" xfId="15950" xr:uid="{AE5EC5DB-6CC7-4A3A-8BA7-3F3431AA22B0}"/>
    <cellStyle name="20% - Accent5 2 2 2 3 2 3" xfId="20167" xr:uid="{008F1D05-5F7E-4AA0-AA14-910E68C9F9AA}"/>
    <cellStyle name="20% - Accent5 2 2 2 3 2 4" xfId="11733" xr:uid="{0C39783B-70CC-4C16-BF20-24C4D5A61F91}"/>
    <cellStyle name="20% - Accent5 2 2 2 3 3" xfId="5367" xr:uid="{00000000-0005-0000-0000-00008C020000}"/>
    <cellStyle name="20% - Accent5 2 2 2 3 3 2" xfId="22239" xr:uid="{164EEE9B-335F-4F68-BD2F-1E746A3B0560}"/>
    <cellStyle name="20% - Accent5 2 2 2 3 3 3" xfId="13805" xr:uid="{24096DCD-9652-451B-A8F0-75F3C5360E11}"/>
    <cellStyle name="20% - Accent5 2 2 2 3 4" xfId="18022" xr:uid="{94E0C3F5-BC8B-4015-AD13-D2D215112FBA}"/>
    <cellStyle name="20% - Accent5 2 2 2 3 5" xfId="9588" xr:uid="{508404C4-0431-49AC-9A6E-AA1B7883D947}"/>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24797" xr:uid="{7AA918E9-681A-41AC-B1BA-EEC63B749857}"/>
    <cellStyle name="20% - Accent5 2 2 2 4 2 2 3" xfId="16363" xr:uid="{9BCB0B5F-EFA9-45C6-A977-76C3D6DE904B}"/>
    <cellStyle name="20% - Accent5 2 2 2 4 2 3" xfId="20580" xr:uid="{D516835F-1933-406C-BED4-E200A3C2DB24}"/>
    <cellStyle name="20% - Accent5 2 2 2 4 2 4" xfId="12146" xr:uid="{7334982F-1B46-4FD8-BEC3-FC08CDD2EF66}"/>
    <cellStyle name="20% - Accent5 2 2 2 4 3" xfId="5780" xr:uid="{00000000-0005-0000-0000-000090020000}"/>
    <cellStyle name="20% - Accent5 2 2 2 4 3 2" xfId="22652" xr:uid="{BAB62F0C-2ECA-4F3E-922B-6DAF069056E4}"/>
    <cellStyle name="20% - Accent5 2 2 2 4 3 3" xfId="14218" xr:uid="{B746CDAF-5DF7-4380-A4CD-41A38D3F3FB3}"/>
    <cellStyle name="20% - Accent5 2 2 2 4 4" xfId="18435" xr:uid="{3381DAF4-87E5-4C6F-8FF3-DCF982A2430C}"/>
    <cellStyle name="20% - Accent5 2 2 2 4 5" xfId="10001" xr:uid="{A7B19685-48B2-45AA-846D-CFAADEB56B3F}"/>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25210" xr:uid="{45335B31-F8E9-4B03-9B3C-BED8E7D1A65F}"/>
    <cellStyle name="20% - Accent5 2 2 2 5 2 2 3" xfId="16776" xr:uid="{3348E7BA-323E-4605-B054-6CF207ED32B9}"/>
    <cellStyle name="20% - Accent5 2 2 2 5 2 3" xfId="20993" xr:uid="{7C7404E7-8796-4565-A876-AF373B88CAE4}"/>
    <cellStyle name="20% - Accent5 2 2 2 5 2 4" xfId="12559" xr:uid="{C64149F3-B66B-48DF-9835-8BE4731FB6A4}"/>
    <cellStyle name="20% - Accent5 2 2 2 5 3" xfId="6193" xr:uid="{00000000-0005-0000-0000-000094020000}"/>
    <cellStyle name="20% - Accent5 2 2 2 5 3 2" xfId="23065" xr:uid="{A8DF67C1-DE29-4965-8615-5B70B6888543}"/>
    <cellStyle name="20% - Accent5 2 2 2 5 3 3" xfId="14631" xr:uid="{7782643F-E6FB-4DE2-9F28-2A351A776289}"/>
    <cellStyle name="20% - Accent5 2 2 2 5 4" xfId="18848" xr:uid="{9497073F-4FDD-46D5-AD05-68B387CBF4C1}"/>
    <cellStyle name="20% - Accent5 2 2 2 5 5" xfId="10414" xr:uid="{B6F9A8A3-899B-4CE2-BB98-EF791BEBF7DF}"/>
    <cellStyle name="20% - Accent5 2 2 2 6" xfId="2299" xr:uid="{00000000-0005-0000-0000-000095020000}"/>
    <cellStyle name="20% - Accent5 2 2 2 6 2" xfId="6606" xr:uid="{00000000-0005-0000-0000-000096020000}"/>
    <cellStyle name="20% - Accent5 2 2 2 6 2 2" xfId="23478" xr:uid="{F22709C5-6A3D-4322-9CDE-2445BB58DA80}"/>
    <cellStyle name="20% - Accent5 2 2 2 6 2 3" xfId="15044" xr:uid="{C7AE7BE1-40C4-49DD-AB92-2D3A48538AAC}"/>
    <cellStyle name="20% - Accent5 2 2 2 6 3" xfId="19261" xr:uid="{F45D9FFC-53F8-4D06-8E79-BDC36C8F3805}"/>
    <cellStyle name="20% - Accent5 2 2 2 6 4" xfId="10827" xr:uid="{DAD8E512-76C7-4AE7-A0AA-69A60995FEBB}"/>
    <cellStyle name="20% - Accent5 2 2 2 7" xfId="4540" xr:uid="{00000000-0005-0000-0000-000097020000}"/>
    <cellStyle name="20% - Accent5 2 2 2 7 2" xfId="21412" xr:uid="{FB16C4AD-B65C-484F-BB5E-C926AA02C6F4}"/>
    <cellStyle name="20% - Accent5 2 2 2 7 3" xfId="12978" xr:uid="{5FE094B9-FCA3-4397-8C57-C15192791D59}"/>
    <cellStyle name="20% - Accent5 2 2 2 8" xfId="17195" xr:uid="{F210D024-E1E6-4F82-AA2C-B8B9B67B7213}"/>
    <cellStyle name="20% - Accent5 2 2 2 9" xfId="8761" xr:uid="{057EFDB4-D5AC-44C0-8961-A82DFA9AA0AC}"/>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23970" xr:uid="{88A9B924-5180-40C8-938D-55685699AEBE}"/>
    <cellStyle name="20% - Accent5 2 2 3 2 2 3" xfId="15536" xr:uid="{4794F1F4-5D29-4B4E-A552-D9DA23B97186}"/>
    <cellStyle name="20% - Accent5 2 2 3 2 3" xfId="19753" xr:uid="{CCE1E4AC-DDD0-4052-BD01-75795B234868}"/>
    <cellStyle name="20% - Accent5 2 2 3 2 4" xfId="11319" xr:uid="{C2E0C62F-749D-4F3B-975F-34FF493416D4}"/>
    <cellStyle name="20% - Accent5 2 2 3 3" xfId="4953" xr:uid="{00000000-0005-0000-0000-00009B020000}"/>
    <cellStyle name="20% - Accent5 2 2 3 3 2" xfId="21825" xr:uid="{64900D74-7F01-4366-8786-CB6F7CD1AC28}"/>
    <cellStyle name="20% - Accent5 2 2 3 3 3" xfId="13391" xr:uid="{A845335F-1968-4EC7-977F-A9878435AF2A}"/>
    <cellStyle name="20% - Accent5 2 2 3 4" xfId="17608" xr:uid="{5C66A68A-91ED-4042-BA56-DF44BB761F14}"/>
    <cellStyle name="20% - Accent5 2 2 3 5" xfId="9174" xr:uid="{5CBA6C62-99F5-45BC-91F0-6871FABED0FF}"/>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24383" xr:uid="{7EF3A855-42C1-4363-841C-669FAA2E6834}"/>
    <cellStyle name="20% - Accent5 2 2 4 2 2 3" xfId="15949" xr:uid="{606C3854-3385-4771-946B-B2429080F8B1}"/>
    <cellStyle name="20% - Accent5 2 2 4 2 3" xfId="20166" xr:uid="{6F05246B-76FE-4AD9-963F-CCF149847B0F}"/>
    <cellStyle name="20% - Accent5 2 2 4 2 4" xfId="11732" xr:uid="{05852EEC-AC15-4900-8335-CC82AE42A3E0}"/>
    <cellStyle name="20% - Accent5 2 2 4 3" xfId="5366" xr:uid="{00000000-0005-0000-0000-00009F020000}"/>
    <cellStyle name="20% - Accent5 2 2 4 3 2" xfId="22238" xr:uid="{5BC26353-1BA4-4062-A5FD-781058A84337}"/>
    <cellStyle name="20% - Accent5 2 2 4 3 3" xfId="13804" xr:uid="{FE2F86DE-956D-4C52-8E6E-EBE41820067E}"/>
    <cellStyle name="20% - Accent5 2 2 4 4" xfId="18021" xr:uid="{368328B9-050F-4376-B15B-C457E9C2F032}"/>
    <cellStyle name="20% - Accent5 2 2 4 5" xfId="9587" xr:uid="{6B8C5D17-76AC-4C5F-BBFD-D5855A70F144}"/>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24796" xr:uid="{65076B10-2299-4D38-8779-4E48AF77E91D}"/>
    <cellStyle name="20% - Accent5 2 2 5 2 2 3" xfId="16362" xr:uid="{C4570B93-43E2-47FB-9E14-1E7D447753D4}"/>
    <cellStyle name="20% - Accent5 2 2 5 2 3" xfId="20579" xr:uid="{61E78A48-971B-4037-A175-C0977B2EFBFA}"/>
    <cellStyle name="20% - Accent5 2 2 5 2 4" xfId="12145" xr:uid="{30546331-D398-437D-8999-43E31BF2CF07}"/>
    <cellStyle name="20% - Accent5 2 2 5 3" xfId="5779" xr:uid="{00000000-0005-0000-0000-0000A3020000}"/>
    <cellStyle name="20% - Accent5 2 2 5 3 2" xfId="22651" xr:uid="{B023E6E7-E627-4D26-ACD3-143D7476A645}"/>
    <cellStyle name="20% - Accent5 2 2 5 3 3" xfId="14217" xr:uid="{EEBE940C-C112-453F-965A-681F819DC3FB}"/>
    <cellStyle name="20% - Accent5 2 2 5 4" xfId="18434" xr:uid="{27428581-254F-4E7C-AECC-AC377B2A80A8}"/>
    <cellStyle name="20% - Accent5 2 2 5 5" xfId="10000" xr:uid="{787F6D83-E3FA-4FA8-B673-9256EC1B3F41}"/>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25209" xr:uid="{54AC5250-29AC-4595-9817-31120175A92D}"/>
    <cellStyle name="20% - Accent5 2 2 6 2 2 3" xfId="16775" xr:uid="{49F0A964-1619-401F-81F7-3791ADE9A40A}"/>
    <cellStyle name="20% - Accent5 2 2 6 2 3" xfId="20992" xr:uid="{5E20687C-6AB9-4C4A-82D6-B90EB5C53A77}"/>
    <cellStyle name="20% - Accent5 2 2 6 2 4" xfId="12558" xr:uid="{76DE1752-A841-4F15-8969-6434ACD89507}"/>
    <cellStyle name="20% - Accent5 2 2 6 3" xfId="6192" xr:uid="{00000000-0005-0000-0000-0000A7020000}"/>
    <cellStyle name="20% - Accent5 2 2 6 3 2" xfId="23064" xr:uid="{7270F765-BB17-483F-B073-7969BE61C3F6}"/>
    <cellStyle name="20% - Accent5 2 2 6 3 3" xfId="14630" xr:uid="{FAF5613B-99E5-4B2B-BBAE-E040AA04ECA8}"/>
    <cellStyle name="20% - Accent5 2 2 6 4" xfId="18847" xr:uid="{448E8FDE-9835-4F19-B67A-0536FC678C5F}"/>
    <cellStyle name="20% - Accent5 2 2 6 5" xfId="10413" xr:uid="{FDA82FA5-DCCD-4C75-BA73-BC9A938DF662}"/>
    <cellStyle name="20% - Accent5 2 2 7" xfId="2298" xr:uid="{00000000-0005-0000-0000-0000A8020000}"/>
    <cellStyle name="20% - Accent5 2 2 7 2" xfId="6605" xr:uid="{00000000-0005-0000-0000-0000A9020000}"/>
    <cellStyle name="20% - Accent5 2 2 7 2 2" xfId="23477" xr:uid="{16A49B12-9004-412C-BA14-56B9C48BB2AF}"/>
    <cellStyle name="20% - Accent5 2 2 7 2 3" xfId="15043" xr:uid="{C1394BA8-B679-43F2-827D-8307C71BF0D4}"/>
    <cellStyle name="20% - Accent5 2 2 7 3" xfId="19260" xr:uid="{39915AAA-8331-4E20-8A2E-6C07645B0648}"/>
    <cellStyle name="20% - Accent5 2 2 7 4" xfId="10826" xr:uid="{F3CF61F2-C460-41A8-8CA6-6F4E4E755EA0}"/>
    <cellStyle name="20% - Accent5 2 2 8" xfId="4539" xr:uid="{00000000-0005-0000-0000-0000AA020000}"/>
    <cellStyle name="20% - Accent5 2 2 8 2" xfId="21411" xr:uid="{2FD7C412-5FB0-49C6-A140-58AD37262944}"/>
    <cellStyle name="20% - Accent5 2 2 8 3" xfId="12977" xr:uid="{1004650F-F2A8-47B4-B60E-F333423BC0FE}"/>
    <cellStyle name="20% - Accent5 2 2 9" xfId="17194" xr:uid="{8F70B9DF-A04B-4F81-BFDB-009CCEFD7E9B}"/>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23972" xr:uid="{70D73C93-2E4A-43A8-8D5E-8837618E85E0}"/>
    <cellStyle name="20% - Accent5 2 3 2 2 2 3" xfId="15538" xr:uid="{B225417B-BFE7-4C94-BF81-AF611FDCE514}"/>
    <cellStyle name="20% - Accent5 2 3 2 2 3" xfId="19755" xr:uid="{95716BAE-B8E9-47F8-AED8-AD7CDFF7A432}"/>
    <cellStyle name="20% - Accent5 2 3 2 2 4" xfId="11321" xr:uid="{D3A73DF7-01E4-4416-B8E6-0DCDD74CBBAF}"/>
    <cellStyle name="20% - Accent5 2 3 2 3" xfId="4955" xr:uid="{00000000-0005-0000-0000-0000AF020000}"/>
    <cellStyle name="20% - Accent5 2 3 2 3 2" xfId="21827" xr:uid="{D97CB28C-E752-4C0A-A1BE-F52DFCEF1FB1}"/>
    <cellStyle name="20% - Accent5 2 3 2 3 3" xfId="13393" xr:uid="{AEF0BDA3-D294-4259-9D60-B3170F1D0FCD}"/>
    <cellStyle name="20% - Accent5 2 3 2 4" xfId="17610" xr:uid="{80994016-75BA-401D-86C0-7C3E10589F69}"/>
    <cellStyle name="20% - Accent5 2 3 2 5" xfId="9176" xr:uid="{ED34D043-1ABE-4802-A397-28C07993048A}"/>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24385" xr:uid="{C64A7995-1FC5-4FEC-8BD8-C8DAC2FAD2E2}"/>
    <cellStyle name="20% - Accent5 2 3 3 2 2 3" xfId="15951" xr:uid="{84CE1D2D-F889-4749-BC2D-276A8F478F3D}"/>
    <cellStyle name="20% - Accent5 2 3 3 2 3" xfId="20168" xr:uid="{17618659-1009-47A8-BC82-5FE1C56C279B}"/>
    <cellStyle name="20% - Accent5 2 3 3 2 4" xfId="11734" xr:uid="{65A4E247-2CB2-45DC-9B5A-B76175A16A24}"/>
    <cellStyle name="20% - Accent5 2 3 3 3" xfId="5368" xr:uid="{00000000-0005-0000-0000-0000B3020000}"/>
    <cellStyle name="20% - Accent5 2 3 3 3 2" xfId="22240" xr:uid="{B066B2EC-C9EC-438C-B497-9AF9B7ADBD1F}"/>
    <cellStyle name="20% - Accent5 2 3 3 3 3" xfId="13806" xr:uid="{1871CAF0-0161-4DD5-9ED4-C30FEB770D01}"/>
    <cellStyle name="20% - Accent5 2 3 3 4" xfId="18023" xr:uid="{5BF5E0D2-3876-49DD-8AD1-9B1228F02060}"/>
    <cellStyle name="20% - Accent5 2 3 3 5" xfId="9589" xr:uid="{B6CA7789-ACB2-4100-88B1-C9295B451EFA}"/>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24798" xr:uid="{C2FAAF5B-3F51-4C42-A905-D3DC1FD253C0}"/>
    <cellStyle name="20% - Accent5 2 3 4 2 2 3" xfId="16364" xr:uid="{EFFB3A36-BF8D-4B60-80B0-91F8D23E94E4}"/>
    <cellStyle name="20% - Accent5 2 3 4 2 3" xfId="20581" xr:uid="{4D1C3979-27D9-4CB3-90C1-4F26701B3CB9}"/>
    <cellStyle name="20% - Accent5 2 3 4 2 4" xfId="12147" xr:uid="{440394EA-700D-4000-AB15-97F7B183CF8D}"/>
    <cellStyle name="20% - Accent5 2 3 4 3" xfId="5781" xr:uid="{00000000-0005-0000-0000-0000B7020000}"/>
    <cellStyle name="20% - Accent5 2 3 4 3 2" xfId="22653" xr:uid="{EB6A30EB-85FC-4BAC-8BB3-640E7ED5EE4A}"/>
    <cellStyle name="20% - Accent5 2 3 4 3 3" xfId="14219" xr:uid="{114C90C6-B72A-4508-BA89-E46BEB326519}"/>
    <cellStyle name="20% - Accent5 2 3 4 4" xfId="18436" xr:uid="{E4A6030A-D6B8-4A01-B01E-744C805DE575}"/>
    <cellStyle name="20% - Accent5 2 3 4 5" xfId="10002" xr:uid="{C5A3EB44-690D-4F47-93C6-1A97B59E308D}"/>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25211" xr:uid="{202253D5-9D08-427C-A2E6-B48D66A1AD08}"/>
    <cellStyle name="20% - Accent5 2 3 5 2 2 3" xfId="16777" xr:uid="{80707D4E-4F97-4175-8EDD-2F4951E7EB58}"/>
    <cellStyle name="20% - Accent5 2 3 5 2 3" xfId="20994" xr:uid="{A1391C98-69C5-4777-9487-A1E26A043E3F}"/>
    <cellStyle name="20% - Accent5 2 3 5 2 4" xfId="12560" xr:uid="{6727CB03-58D9-4B97-A40D-B73554D4FE95}"/>
    <cellStyle name="20% - Accent5 2 3 5 3" xfId="6194" xr:uid="{00000000-0005-0000-0000-0000BB020000}"/>
    <cellStyle name="20% - Accent5 2 3 5 3 2" xfId="23066" xr:uid="{BE029DD2-D382-4831-B157-D2ECD0A0B01D}"/>
    <cellStyle name="20% - Accent5 2 3 5 3 3" xfId="14632" xr:uid="{92F37FC7-B373-42DE-BFF5-9975BC8EE31C}"/>
    <cellStyle name="20% - Accent5 2 3 5 4" xfId="18849" xr:uid="{C3431B1D-DF21-4B55-8BCE-E914C1A76D22}"/>
    <cellStyle name="20% - Accent5 2 3 5 5" xfId="10415" xr:uid="{F6CBB9A9-3F70-42AB-BD58-5D8C817FB0AD}"/>
    <cellStyle name="20% - Accent5 2 3 6" xfId="2300" xr:uid="{00000000-0005-0000-0000-0000BC020000}"/>
    <cellStyle name="20% - Accent5 2 3 6 2" xfId="6607" xr:uid="{00000000-0005-0000-0000-0000BD020000}"/>
    <cellStyle name="20% - Accent5 2 3 6 2 2" xfId="23479" xr:uid="{E1F6EA10-E783-4854-9A99-173414629ABB}"/>
    <cellStyle name="20% - Accent5 2 3 6 2 3" xfId="15045" xr:uid="{A8937464-559E-4B47-8FBD-F97AA284167A}"/>
    <cellStyle name="20% - Accent5 2 3 6 3" xfId="19262" xr:uid="{C065798F-8DE9-42F6-B097-BDD22B0BC3AC}"/>
    <cellStyle name="20% - Accent5 2 3 6 4" xfId="10828" xr:uid="{226421A3-1A52-4538-B643-3B9B0B5BF672}"/>
    <cellStyle name="20% - Accent5 2 3 7" xfId="4541" xr:uid="{00000000-0005-0000-0000-0000BE020000}"/>
    <cellStyle name="20% - Accent5 2 3 7 2" xfId="21413" xr:uid="{08CABC7A-62B7-4FE1-9781-1C8FD8BB85E5}"/>
    <cellStyle name="20% - Accent5 2 3 7 3" xfId="12979" xr:uid="{9EE370DB-515E-437D-8117-B311C6E26C2E}"/>
    <cellStyle name="20% - Accent5 2 3 8" xfId="17196" xr:uid="{A076A3E4-C5AE-4474-8EE9-87439440CC32}"/>
    <cellStyle name="20% - Accent5 2 3 9" xfId="8762" xr:uid="{8605B9D3-F137-4CFD-A30B-7C5140A96512}"/>
    <cellStyle name="20% - Accent5 2 4" xfId="603" xr:uid="{00000000-0005-0000-0000-0000BF020000}"/>
    <cellStyle name="20% - Accent5 2 4 2" xfId="2874" xr:uid="{00000000-0005-0000-0000-0000C0020000}"/>
    <cellStyle name="20% - Accent5 2 4 2 2" xfId="7097" xr:uid="{00000000-0005-0000-0000-0000C1020000}"/>
    <cellStyle name="20% - Accent5 2 4 2 2 2" xfId="23969" xr:uid="{62C94E31-59D7-42E2-9F56-D90060774181}"/>
    <cellStyle name="20% - Accent5 2 4 2 2 3" xfId="15535" xr:uid="{D01132FD-4B4B-42AA-A205-5E9D665DC213}"/>
    <cellStyle name="20% - Accent5 2 4 2 3" xfId="19752" xr:uid="{A54634E8-0065-480D-AFB8-6903E0209D02}"/>
    <cellStyle name="20% - Accent5 2 4 2 4" xfId="11318" xr:uid="{65C82277-7B41-40F8-B345-2380C59BF4E7}"/>
    <cellStyle name="20% - Accent5 2 4 3" xfId="4952" xr:uid="{00000000-0005-0000-0000-0000C2020000}"/>
    <cellStyle name="20% - Accent5 2 4 3 2" xfId="21824" xr:uid="{EBA67A6E-CBA5-48AE-8969-228396E38A27}"/>
    <cellStyle name="20% - Accent5 2 4 3 3" xfId="13390" xr:uid="{DDF34BA2-0D48-4E00-AB17-42355BDE690B}"/>
    <cellStyle name="20% - Accent5 2 4 4" xfId="17607" xr:uid="{5AA876CB-F849-476C-B39E-24BC4B44CB40}"/>
    <cellStyle name="20% - Accent5 2 4 5" xfId="9173" xr:uid="{5F93B2B8-25AE-4127-8ED9-8CE37DB7E9D6}"/>
    <cellStyle name="20% - Accent5 2 5" xfId="1056" xr:uid="{00000000-0005-0000-0000-0000C3020000}"/>
    <cellStyle name="20% - Accent5 2 5 2" xfId="3287" xr:uid="{00000000-0005-0000-0000-0000C4020000}"/>
    <cellStyle name="20% - Accent5 2 5 2 2" xfId="7510" xr:uid="{00000000-0005-0000-0000-0000C5020000}"/>
    <cellStyle name="20% - Accent5 2 5 2 2 2" xfId="24382" xr:uid="{61842D99-603D-4577-A507-A8CC10AE8DE9}"/>
    <cellStyle name="20% - Accent5 2 5 2 2 3" xfId="15948" xr:uid="{B4A319BB-D717-404D-828E-FCA99DD68B46}"/>
    <cellStyle name="20% - Accent5 2 5 2 3" xfId="20165" xr:uid="{4E68192B-26AC-46B0-8851-7D22E4002B7A}"/>
    <cellStyle name="20% - Accent5 2 5 2 4" xfId="11731" xr:uid="{99DC4E4F-2913-4864-9E8A-C5E7533CC823}"/>
    <cellStyle name="20% - Accent5 2 5 3" xfId="5365" xr:uid="{00000000-0005-0000-0000-0000C6020000}"/>
    <cellStyle name="20% - Accent5 2 5 3 2" xfId="22237" xr:uid="{80381169-0EB1-4745-AC7C-257B48686F63}"/>
    <cellStyle name="20% - Accent5 2 5 3 3" xfId="13803" xr:uid="{C4683758-43C1-49B7-90EB-C4CC341C5A1F}"/>
    <cellStyle name="20% - Accent5 2 5 4" xfId="18020" xr:uid="{67653DCD-297E-432F-A4E6-0EFC6403F1F3}"/>
    <cellStyle name="20% - Accent5 2 5 5" xfId="9586" xr:uid="{C88A3EEB-DBF9-462B-B165-CB46E9DE9C9F}"/>
    <cellStyle name="20% - Accent5 2 6" xfId="1470" xr:uid="{00000000-0005-0000-0000-0000C7020000}"/>
    <cellStyle name="20% - Accent5 2 6 2" xfId="3700" xr:uid="{00000000-0005-0000-0000-0000C8020000}"/>
    <cellStyle name="20% - Accent5 2 6 2 2" xfId="7923" xr:uid="{00000000-0005-0000-0000-0000C9020000}"/>
    <cellStyle name="20% - Accent5 2 6 2 2 2" xfId="24795" xr:uid="{2970E988-EC40-4F17-B678-79E098B69881}"/>
    <cellStyle name="20% - Accent5 2 6 2 2 3" xfId="16361" xr:uid="{EBA6DC71-FA1E-404D-B541-67C53EB1E8AF}"/>
    <cellStyle name="20% - Accent5 2 6 2 3" xfId="20578" xr:uid="{664C8985-2A98-402F-A813-DECC5310B929}"/>
    <cellStyle name="20% - Accent5 2 6 2 4" xfId="12144" xr:uid="{11E10F2A-457F-49A0-9237-CEB8ECAAF55D}"/>
    <cellStyle name="20% - Accent5 2 6 3" xfId="5778" xr:uid="{00000000-0005-0000-0000-0000CA020000}"/>
    <cellStyle name="20% - Accent5 2 6 3 2" xfId="22650" xr:uid="{DB8952A7-2CA4-49D5-81EA-F6DFA5142A57}"/>
    <cellStyle name="20% - Accent5 2 6 3 3" xfId="14216" xr:uid="{08539A50-19D5-43F2-8D4D-1577D5362F79}"/>
    <cellStyle name="20% - Accent5 2 6 4" xfId="18433" xr:uid="{42005EDF-DAE0-4A15-BD30-103DDD0CBDF2}"/>
    <cellStyle name="20% - Accent5 2 6 5" xfId="9999" xr:uid="{2493925A-7959-4531-ACBE-608641F74A51}"/>
    <cellStyle name="20% - Accent5 2 7" xfId="1884" xr:uid="{00000000-0005-0000-0000-0000CB020000}"/>
    <cellStyle name="20% - Accent5 2 7 2" xfId="4113" xr:uid="{00000000-0005-0000-0000-0000CC020000}"/>
    <cellStyle name="20% - Accent5 2 7 2 2" xfId="8336" xr:uid="{00000000-0005-0000-0000-0000CD020000}"/>
    <cellStyle name="20% - Accent5 2 7 2 2 2" xfId="25208" xr:uid="{FE34E4DD-C609-4C47-8EDE-2C740B97F993}"/>
    <cellStyle name="20% - Accent5 2 7 2 2 3" xfId="16774" xr:uid="{D887E9DD-B5EE-4B72-9BB2-2E3D1B471497}"/>
    <cellStyle name="20% - Accent5 2 7 2 3" xfId="20991" xr:uid="{DCE5EC4D-5042-4F41-9B65-FBB21F5EF1D7}"/>
    <cellStyle name="20% - Accent5 2 7 2 4" xfId="12557" xr:uid="{D341C9B8-B0FB-4D8B-BBE3-A671464274AB}"/>
    <cellStyle name="20% - Accent5 2 7 3" xfId="6191" xr:uid="{00000000-0005-0000-0000-0000CE020000}"/>
    <cellStyle name="20% - Accent5 2 7 3 2" xfId="23063" xr:uid="{1762259E-AA31-4F26-8174-4E81641414EE}"/>
    <cellStyle name="20% - Accent5 2 7 3 3" xfId="14629" xr:uid="{3B085250-6777-4B1B-861B-C0388C2EA772}"/>
    <cellStyle name="20% - Accent5 2 7 4" xfId="18846" xr:uid="{93C4FF2E-5D65-4CC1-B725-F47BDE9FE413}"/>
    <cellStyle name="20% - Accent5 2 7 5" xfId="10412" xr:uid="{1E0D968E-82D1-45FC-B331-1FFA6B16FCB6}"/>
    <cellStyle name="20% - Accent5 2 8" xfId="2297" xr:uid="{00000000-0005-0000-0000-0000CF020000}"/>
    <cellStyle name="20% - Accent5 2 8 2" xfId="6604" xr:uid="{00000000-0005-0000-0000-0000D0020000}"/>
    <cellStyle name="20% - Accent5 2 8 2 2" xfId="23476" xr:uid="{32D7AC6F-E9CD-490F-AA37-8C26AD13C83C}"/>
    <cellStyle name="20% - Accent5 2 8 2 3" xfId="15042" xr:uid="{86FFC590-0799-44FE-90AB-0C6129DA8AED}"/>
    <cellStyle name="20% - Accent5 2 8 3" xfId="19259" xr:uid="{64BDD5CF-BB21-4231-8983-5B7CA3219E72}"/>
    <cellStyle name="20% - Accent5 2 8 4" xfId="10825" xr:uid="{77D2B519-008E-4AE1-9844-EF055A29EBD3}"/>
    <cellStyle name="20% - Accent5 2 9" xfId="4538" xr:uid="{00000000-0005-0000-0000-0000D1020000}"/>
    <cellStyle name="20% - Accent5 2 9 2" xfId="21410" xr:uid="{6B710F2D-01E5-467A-A227-F817CDA67CF1}"/>
    <cellStyle name="20% - Accent5 2 9 3" xfId="12976" xr:uid="{F4EF3405-38B8-4BF1-8717-3DBB1D068EF5}"/>
    <cellStyle name="20% - Accent5 3" xfId="38" xr:uid="{00000000-0005-0000-0000-0000D2020000}"/>
    <cellStyle name="20% - Accent5 3 10" xfId="8763" xr:uid="{09829039-2815-4997-A9F1-9FCAD82CB6BA}"/>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23974" xr:uid="{81531A0C-BAE8-4B30-B333-88CB7617E604}"/>
    <cellStyle name="20% - Accent5 3 2 2 2 2 3" xfId="15540" xr:uid="{250DDED8-ADF0-4DB4-989B-786CE12DDA98}"/>
    <cellStyle name="20% - Accent5 3 2 2 2 3" xfId="19757" xr:uid="{EBBCD113-654A-4D4B-8182-A59BE1725C50}"/>
    <cellStyle name="20% - Accent5 3 2 2 2 4" xfId="11323" xr:uid="{03D89163-4B3D-4F60-8722-2DA66ECE14B9}"/>
    <cellStyle name="20% - Accent5 3 2 2 3" xfId="4957" xr:uid="{00000000-0005-0000-0000-0000D7020000}"/>
    <cellStyle name="20% - Accent5 3 2 2 3 2" xfId="21829" xr:uid="{1E8AB089-0DCD-483C-B0BA-4DAA3ED6E713}"/>
    <cellStyle name="20% - Accent5 3 2 2 3 3" xfId="13395" xr:uid="{248F5C17-C808-4AB9-A277-D14AC8C80ACE}"/>
    <cellStyle name="20% - Accent5 3 2 2 4" xfId="17612" xr:uid="{451D6132-3054-4F2B-8CBA-50E46BE2B977}"/>
    <cellStyle name="20% - Accent5 3 2 2 5" xfId="9178" xr:uid="{F29AFC2A-18CF-4B81-A694-332679EF6EB1}"/>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24387" xr:uid="{8EE8561E-DE27-4A64-A7EE-65A60A745A08}"/>
    <cellStyle name="20% - Accent5 3 2 3 2 2 3" xfId="15953" xr:uid="{0995C84F-DD36-460A-BE62-AB8BB9004B6D}"/>
    <cellStyle name="20% - Accent5 3 2 3 2 3" xfId="20170" xr:uid="{FFB27736-F76A-4EA0-9955-26C9B0A2C95F}"/>
    <cellStyle name="20% - Accent5 3 2 3 2 4" xfId="11736" xr:uid="{716B4C13-7C8B-4B4A-A159-EE895B396186}"/>
    <cellStyle name="20% - Accent5 3 2 3 3" xfId="5370" xr:uid="{00000000-0005-0000-0000-0000DB020000}"/>
    <cellStyle name="20% - Accent5 3 2 3 3 2" xfId="22242" xr:uid="{D037F5B3-5CCC-4097-B813-1F3697B0C9B3}"/>
    <cellStyle name="20% - Accent5 3 2 3 3 3" xfId="13808" xr:uid="{C3C83A4B-723B-40EB-B2E0-5A7D212B056B}"/>
    <cellStyle name="20% - Accent5 3 2 3 4" xfId="18025" xr:uid="{C3F9DB37-63AC-4BEC-8AF5-C2CF9094C4A9}"/>
    <cellStyle name="20% - Accent5 3 2 3 5" xfId="9591" xr:uid="{4C4E22C3-8F2C-463D-A131-EFCFDE175A7A}"/>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24800" xr:uid="{2B9AEA5F-752D-4130-BA2B-46F388E84C0D}"/>
    <cellStyle name="20% - Accent5 3 2 4 2 2 3" xfId="16366" xr:uid="{C9BDCA5D-342E-45D4-BEAB-FE5056FB5FD8}"/>
    <cellStyle name="20% - Accent5 3 2 4 2 3" xfId="20583" xr:uid="{0F579EC7-9227-4374-91FE-5B1C9F3B8704}"/>
    <cellStyle name="20% - Accent5 3 2 4 2 4" xfId="12149" xr:uid="{9BD6F1F1-E9D9-4F43-A592-68396B5BEBCC}"/>
    <cellStyle name="20% - Accent5 3 2 4 3" xfId="5783" xr:uid="{00000000-0005-0000-0000-0000DF020000}"/>
    <cellStyle name="20% - Accent5 3 2 4 3 2" xfId="22655" xr:uid="{9D3E5774-7920-4362-A4BF-294E7A83589B}"/>
    <cellStyle name="20% - Accent5 3 2 4 3 3" xfId="14221" xr:uid="{7056EF10-58D9-445D-859D-943B69C1EA60}"/>
    <cellStyle name="20% - Accent5 3 2 4 4" xfId="18438" xr:uid="{1DB46909-643B-4817-86B9-24035E4B241E}"/>
    <cellStyle name="20% - Accent5 3 2 4 5" xfId="10004" xr:uid="{5487DC01-42D8-4043-9546-2D7331470671}"/>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25213" xr:uid="{785F555D-05D7-42EF-9248-E3362CB536A0}"/>
    <cellStyle name="20% - Accent5 3 2 5 2 2 3" xfId="16779" xr:uid="{92D39A87-C9E0-4457-92B1-E0AE205D1192}"/>
    <cellStyle name="20% - Accent5 3 2 5 2 3" xfId="20996" xr:uid="{F64DE38C-1491-486D-BD0E-63C5B9CEDF33}"/>
    <cellStyle name="20% - Accent5 3 2 5 2 4" xfId="12562" xr:uid="{F368DE5E-DDB0-4F31-9909-CBC346CCC374}"/>
    <cellStyle name="20% - Accent5 3 2 5 3" xfId="6196" xr:uid="{00000000-0005-0000-0000-0000E3020000}"/>
    <cellStyle name="20% - Accent5 3 2 5 3 2" xfId="23068" xr:uid="{3D8268DB-0108-4EE6-BC86-BD22B78DA0D9}"/>
    <cellStyle name="20% - Accent5 3 2 5 3 3" xfId="14634" xr:uid="{AA06D919-A961-42E5-8B25-1564186FC9C7}"/>
    <cellStyle name="20% - Accent5 3 2 5 4" xfId="18851" xr:uid="{1D7B57C3-F9A7-4DE9-833C-FBC4F3CE3907}"/>
    <cellStyle name="20% - Accent5 3 2 5 5" xfId="10417" xr:uid="{F7265ADC-DD46-4E11-A700-716423533F95}"/>
    <cellStyle name="20% - Accent5 3 2 6" xfId="2302" xr:uid="{00000000-0005-0000-0000-0000E4020000}"/>
    <cellStyle name="20% - Accent5 3 2 6 2" xfId="6609" xr:uid="{00000000-0005-0000-0000-0000E5020000}"/>
    <cellStyle name="20% - Accent5 3 2 6 2 2" xfId="23481" xr:uid="{DA45A85B-66E4-480C-82CA-EB6CD09F8FF4}"/>
    <cellStyle name="20% - Accent5 3 2 6 2 3" xfId="15047" xr:uid="{E1E321D9-A5DA-46B0-BD26-D4F7B9B8CA49}"/>
    <cellStyle name="20% - Accent5 3 2 6 3" xfId="19264" xr:uid="{CB769B45-2B1B-44F9-A846-CC7C75D11CC8}"/>
    <cellStyle name="20% - Accent5 3 2 6 4" xfId="10830" xr:uid="{D547A01C-6D21-4436-BEBD-D95E7F2A70A7}"/>
    <cellStyle name="20% - Accent5 3 2 7" xfId="4543" xr:uid="{00000000-0005-0000-0000-0000E6020000}"/>
    <cellStyle name="20% - Accent5 3 2 7 2" xfId="21415" xr:uid="{E00C13C9-AC0C-49AF-9A7A-93C34F7CE66A}"/>
    <cellStyle name="20% - Accent5 3 2 7 3" xfId="12981" xr:uid="{271435A4-4A60-4E8E-B1DC-880B679E7739}"/>
    <cellStyle name="20% - Accent5 3 2 8" xfId="17198" xr:uid="{B8B04993-670F-4A47-A397-7879A8685274}"/>
    <cellStyle name="20% - Accent5 3 2 9" xfId="8764" xr:uid="{11616A79-C69E-4D70-A6A2-CA54CE8426E3}"/>
    <cellStyle name="20% - Accent5 3 3" xfId="607" xr:uid="{00000000-0005-0000-0000-0000E7020000}"/>
    <cellStyle name="20% - Accent5 3 3 2" xfId="2878" xr:uid="{00000000-0005-0000-0000-0000E8020000}"/>
    <cellStyle name="20% - Accent5 3 3 2 2" xfId="7101" xr:uid="{00000000-0005-0000-0000-0000E9020000}"/>
    <cellStyle name="20% - Accent5 3 3 2 2 2" xfId="23973" xr:uid="{0E9DC0E3-7CBA-4769-943F-E4BDB69490B0}"/>
    <cellStyle name="20% - Accent5 3 3 2 2 3" xfId="15539" xr:uid="{AB938665-83C2-44E6-B143-D839016B86C0}"/>
    <cellStyle name="20% - Accent5 3 3 2 3" xfId="19756" xr:uid="{1CDEE653-E61C-49A7-9746-C5E00D608ACE}"/>
    <cellStyle name="20% - Accent5 3 3 2 4" xfId="11322" xr:uid="{4ADEF1A3-1D9A-49DE-A0A9-FC9BBE06E8AD}"/>
    <cellStyle name="20% - Accent5 3 3 3" xfId="4956" xr:uid="{00000000-0005-0000-0000-0000EA020000}"/>
    <cellStyle name="20% - Accent5 3 3 3 2" xfId="21828" xr:uid="{523C22D2-9B07-493E-B7D0-F6678866DE06}"/>
    <cellStyle name="20% - Accent5 3 3 3 3" xfId="13394" xr:uid="{F23C0144-729C-4B1E-823E-292C437614CA}"/>
    <cellStyle name="20% - Accent5 3 3 4" xfId="17611" xr:uid="{5D096DFF-A428-4928-BF12-DD689D49E3B2}"/>
    <cellStyle name="20% - Accent5 3 3 5" xfId="9177" xr:uid="{8B83340C-20DC-4DFB-B894-248DE4B6CB32}"/>
    <cellStyle name="20% - Accent5 3 4" xfId="1060" xr:uid="{00000000-0005-0000-0000-0000EB020000}"/>
    <cellStyle name="20% - Accent5 3 4 2" xfId="3291" xr:uid="{00000000-0005-0000-0000-0000EC020000}"/>
    <cellStyle name="20% - Accent5 3 4 2 2" xfId="7514" xr:uid="{00000000-0005-0000-0000-0000ED020000}"/>
    <cellStyle name="20% - Accent5 3 4 2 2 2" xfId="24386" xr:uid="{B378B73C-24F8-48C2-BFD4-555A91C6ECE9}"/>
    <cellStyle name="20% - Accent5 3 4 2 2 3" xfId="15952" xr:uid="{31C44D24-9F15-479E-8788-521B281946AF}"/>
    <cellStyle name="20% - Accent5 3 4 2 3" xfId="20169" xr:uid="{8B6CAE6D-EEBC-4573-8B27-E613527420E0}"/>
    <cellStyle name="20% - Accent5 3 4 2 4" xfId="11735" xr:uid="{FC333C76-8C86-41E6-ABC0-B7B10BF22B0C}"/>
    <cellStyle name="20% - Accent5 3 4 3" xfId="5369" xr:uid="{00000000-0005-0000-0000-0000EE020000}"/>
    <cellStyle name="20% - Accent5 3 4 3 2" xfId="22241" xr:uid="{A53DD821-6005-4138-BFFE-6147D1E2645C}"/>
    <cellStyle name="20% - Accent5 3 4 3 3" xfId="13807" xr:uid="{9BF7D5E9-98DB-4F4F-AE4C-05EDEABF2E90}"/>
    <cellStyle name="20% - Accent5 3 4 4" xfId="18024" xr:uid="{5BB18A4D-258C-44CD-854A-CD8BB0A21421}"/>
    <cellStyle name="20% - Accent5 3 4 5" xfId="9590" xr:uid="{48414944-27FD-4B3D-8943-C8C99DE9E4A7}"/>
    <cellStyle name="20% - Accent5 3 5" xfId="1474" xr:uid="{00000000-0005-0000-0000-0000EF020000}"/>
    <cellStyle name="20% - Accent5 3 5 2" xfId="3704" xr:uid="{00000000-0005-0000-0000-0000F0020000}"/>
    <cellStyle name="20% - Accent5 3 5 2 2" xfId="7927" xr:uid="{00000000-0005-0000-0000-0000F1020000}"/>
    <cellStyle name="20% - Accent5 3 5 2 2 2" xfId="24799" xr:uid="{2311DBF4-47F9-4D07-B969-AF7813593797}"/>
    <cellStyle name="20% - Accent5 3 5 2 2 3" xfId="16365" xr:uid="{09775784-BCAF-4AEF-BFEF-6631FAC4DEF6}"/>
    <cellStyle name="20% - Accent5 3 5 2 3" xfId="20582" xr:uid="{0D9AB1CF-AE13-4183-B1A4-F0A9DEE115B5}"/>
    <cellStyle name="20% - Accent5 3 5 2 4" xfId="12148" xr:uid="{C4A4E2F6-0AA7-4644-BC78-F2255D61FA40}"/>
    <cellStyle name="20% - Accent5 3 5 3" xfId="5782" xr:uid="{00000000-0005-0000-0000-0000F2020000}"/>
    <cellStyle name="20% - Accent5 3 5 3 2" xfId="22654" xr:uid="{9B7B406F-B05D-4A16-8C1B-3E26DDDEC3CC}"/>
    <cellStyle name="20% - Accent5 3 5 3 3" xfId="14220" xr:uid="{F8C1F95E-F311-4D58-8878-35CAED73FE83}"/>
    <cellStyle name="20% - Accent5 3 5 4" xfId="18437" xr:uid="{FA720B6F-239C-4C5B-951E-E4F7F3DCAACB}"/>
    <cellStyle name="20% - Accent5 3 5 5" xfId="10003" xr:uid="{79AA0F97-E61F-4AD6-84F8-0F502384346B}"/>
    <cellStyle name="20% - Accent5 3 6" xfId="1888" xr:uid="{00000000-0005-0000-0000-0000F3020000}"/>
    <cellStyle name="20% - Accent5 3 6 2" xfId="4117" xr:uid="{00000000-0005-0000-0000-0000F4020000}"/>
    <cellStyle name="20% - Accent5 3 6 2 2" xfId="8340" xr:uid="{00000000-0005-0000-0000-0000F5020000}"/>
    <cellStyle name="20% - Accent5 3 6 2 2 2" xfId="25212" xr:uid="{E7250A6F-7633-4434-B8D0-00BC67BA9AB2}"/>
    <cellStyle name="20% - Accent5 3 6 2 2 3" xfId="16778" xr:uid="{4E3C979C-4855-4956-A2E2-B57089AD4D3A}"/>
    <cellStyle name="20% - Accent5 3 6 2 3" xfId="20995" xr:uid="{C9288219-A62A-400C-95EC-A57B16BFD469}"/>
    <cellStyle name="20% - Accent5 3 6 2 4" xfId="12561" xr:uid="{2BBB3ED9-77C0-4E12-8FBC-E15569CB11BB}"/>
    <cellStyle name="20% - Accent5 3 6 3" xfId="6195" xr:uid="{00000000-0005-0000-0000-0000F6020000}"/>
    <cellStyle name="20% - Accent5 3 6 3 2" xfId="23067" xr:uid="{B03D886A-5803-4000-9E23-BC7CC5794FC5}"/>
    <cellStyle name="20% - Accent5 3 6 3 3" xfId="14633" xr:uid="{3DE5958B-17FE-4167-B4B9-B8440BDCCEBD}"/>
    <cellStyle name="20% - Accent5 3 6 4" xfId="18850" xr:uid="{0E164728-7ED2-4EFC-B386-E004CE26DE3C}"/>
    <cellStyle name="20% - Accent5 3 6 5" xfId="10416" xr:uid="{FC87A494-B50C-492B-96C6-E64BE3BB687F}"/>
    <cellStyle name="20% - Accent5 3 7" xfId="2301" xr:uid="{00000000-0005-0000-0000-0000F7020000}"/>
    <cellStyle name="20% - Accent5 3 7 2" xfId="6608" xr:uid="{00000000-0005-0000-0000-0000F8020000}"/>
    <cellStyle name="20% - Accent5 3 7 2 2" xfId="23480" xr:uid="{977F3466-70C4-45C1-B571-BE4D23C41287}"/>
    <cellStyle name="20% - Accent5 3 7 2 3" xfId="15046" xr:uid="{7B569C89-1214-4F7A-B463-291F5510ACED}"/>
    <cellStyle name="20% - Accent5 3 7 3" xfId="19263" xr:uid="{177FC87C-BADD-4D0C-9157-4FA85036E0E2}"/>
    <cellStyle name="20% - Accent5 3 7 4" xfId="10829" xr:uid="{7534CC96-3B6C-467C-B6AF-44D01D0A7ECD}"/>
    <cellStyle name="20% - Accent5 3 8" xfId="4542" xr:uid="{00000000-0005-0000-0000-0000F9020000}"/>
    <cellStyle name="20% - Accent5 3 8 2" xfId="21414" xr:uid="{0FBA6D47-7216-40F8-A665-924D90FC425B}"/>
    <cellStyle name="20% - Accent5 3 8 3" xfId="12980" xr:uid="{60F88269-6666-488E-9A8C-FE5EF19BAA4E}"/>
    <cellStyle name="20% - Accent5 3 9" xfId="17197" xr:uid="{83DCB75B-EF36-4DDB-BAB1-6F529C10D60D}"/>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23975" xr:uid="{03EC57B3-577E-494F-9765-626DAA64B84B}"/>
    <cellStyle name="20% - Accent5 4 2 2 2 3" xfId="15541" xr:uid="{D5EC31A1-8CBD-44A1-8B84-E6A00A77C8A6}"/>
    <cellStyle name="20% - Accent5 4 2 2 3" xfId="19758" xr:uid="{7E43FEF9-FF2F-4148-9FC3-D5720DF04E91}"/>
    <cellStyle name="20% - Accent5 4 2 2 4" xfId="11324" xr:uid="{D8814E8D-E415-46F4-BE68-2B12DF10A37B}"/>
    <cellStyle name="20% - Accent5 4 2 3" xfId="4958" xr:uid="{00000000-0005-0000-0000-0000FE020000}"/>
    <cellStyle name="20% - Accent5 4 2 3 2" xfId="21830" xr:uid="{84408DA1-08C6-4F53-A44F-7B8261C85305}"/>
    <cellStyle name="20% - Accent5 4 2 3 3" xfId="13396" xr:uid="{190AC7CE-0B47-4E8F-8841-11E3011E224C}"/>
    <cellStyle name="20% - Accent5 4 2 4" xfId="17613" xr:uid="{9CE0884F-2A62-4E8D-8BE1-C689B8A19CCC}"/>
    <cellStyle name="20% - Accent5 4 2 5" xfId="9179" xr:uid="{0F3D23BA-6601-4929-98A1-F704BF70288A}"/>
    <cellStyle name="20% - Accent5 4 3" xfId="1062" xr:uid="{00000000-0005-0000-0000-0000FF020000}"/>
    <cellStyle name="20% - Accent5 4 3 2" xfId="3293" xr:uid="{00000000-0005-0000-0000-000000030000}"/>
    <cellStyle name="20% - Accent5 4 3 2 2" xfId="7516" xr:uid="{00000000-0005-0000-0000-000001030000}"/>
    <cellStyle name="20% - Accent5 4 3 2 2 2" xfId="24388" xr:uid="{5DE4FD4D-FE9C-4AC3-8555-A1216AF3F4F5}"/>
    <cellStyle name="20% - Accent5 4 3 2 2 3" xfId="15954" xr:uid="{9A1774B0-19B1-4E4C-BBC9-DC50F6F7CA93}"/>
    <cellStyle name="20% - Accent5 4 3 2 3" xfId="20171" xr:uid="{7B1BAE65-D23F-4AAE-B3CA-3CF42CD27738}"/>
    <cellStyle name="20% - Accent5 4 3 2 4" xfId="11737" xr:uid="{CF24BEB2-526D-4119-94B3-D3820D639144}"/>
    <cellStyle name="20% - Accent5 4 3 3" xfId="5371" xr:uid="{00000000-0005-0000-0000-000002030000}"/>
    <cellStyle name="20% - Accent5 4 3 3 2" xfId="22243" xr:uid="{7A6BE196-2E04-4A9A-B5A5-E887FF05236B}"/>
    <cellStyle name="20% - Accent5 4 3 3 3" xfId="13809" xr:uid="{65F02C55-FFF4-48B0-9D1A-27BF037FB7F0}"/>
    <cellStyle name="20% - Accent5 4 3 4" xfId="18026" xr:uid="{8FEF002F-F4EB-46C7-BC08-170E54C8B045}"/>
    <cellStyle name="20% - Accent5 4 3 5" xfId="9592" xr:uid="{2EDBAD70-52B9-4A87-9E20-4DF17D98B45B}"/>
    <cellStyle name="20% - Accent5 4 4" xfId="1476" xr:uid="{00000000-0005-0000-0000-000003030000}"/>
    <cellStyle name="20% - Accent5 4 4 2" xfId="3706" xr:uid="{00000000-0005-0000-0000-000004030000}"/>
    <cellStyle name="20% - Accent5 4 4 2 2" xfId="7929" xr:uid="{00000000-0005-0000-0000-000005030000}"/>
    <cellStyle name="20% - Accent5 4 4 2 2 2" xfId="24801" xr:uid="{AE2AD790-EA8F-4E95-8EE9-B19680EA3846}"/>
    <cellStyle name="20% - Accent5 4 4 2 2 3" xfId="16367" xr:uid="{6DCA19CF-FECD-493B-8DD0-DF889BB69E23}"/>
    <cellStyle name="20% - Accent5 4 4 2 3" xfId="20584" xr:uid="{5EACAAA9-934F-48EF-9592-69DAF3D31A52}"/>
    <cellStyle name="20% - Accent5 4 4 2 4" xfId="12150" xr:uid="{5109B962-D671-4E1C-895E-D9CB671AF512}"/>
    <cellStyle name="20% - Accent5 4 4 3" xfId="5784" xr:uid="{00000000-0005-0000-0000-000006030000}"/>
    <cellStyle name="20% - Accent5 4 4 3 2" xfId="22656" xr:uid="{6E2F053F-E9FD-4801-BF84-F944C606CF4A}"/>
    <cellStyle name="20% - Accent5 4 4 3 3" xfId="14222" xr:uid="{C81212BC-E3E0-4D6B-AF18-B851206F19D2}"/>
    <cellStyle name="20% - Accent5 4 4 4" xfId="18439" xr:uid="{19AB44E8-C1D4-4798-8994-02F22673B8A5}"/>
    <cellStyle name="20% - Accent5 4 4 5" xfId="10005" xr:uid="{0BA4DEED-8318-4EE8-B2D2-BBC2468AE6EC}"/>
    <cellStyle name="20% - Accent5 4 5" xfId="1890" xr:uid="{00000000-0005-0000-0000-000007030000}"/>
    <cellStyle name="20% - Accent5 4 5 2" xfId="4119" xr:uid="{00000000-0005-0000-0000-000008030000}"/>
    <cellStyle name="20% - Accent5 4 5 2 2" xfId="8342" xr:uid="{00000000-0005-0000-0000-000009030000}"/>
    <cellStyle name="20% - Accent5 4 5 2 2 2" xfId="25214" xr:uid="{78A9588E-3D4F-4037-94C4-DAB60157DD3B}"/>
    <cellStyle name="20% - Accent5 4 5 2 2 3" xfId="16780" xr:uid="{07F621B5-27EC-45D1-B80F-E47ED51B2171}"/>
    <cellStyle name="20% - Accent5 4 5 2 3" xfId="20997" xr:uid="{23DCAC10-0BD8-4A5C-8DED-B5FF98BB09B0}"/>
    <cellStyle name="20% - Accent5 4 5 2 4" xfId="12563" xr:uid="{57F4AF46-73DD-49FA-9F43-57F313FA7A7A}"/>
    <cellStyle name="20% - Accent5 4 5 3" xfId="6197" xr:uid="{00000000-0005-0000-0000-00000A030000}"/>
    <cellStyle name="20% - Accent5 4 5 3 2" xfId="23069" xr:uid="{291F92C6-0007-499B-8174-AFDDF4879BD4}"/>
    <cellStyle name="20% - Accent5 4 5 3 3" xfId="14635" xr:uid="{49A80059-D97B-4DF5-8140-996086EF97E0}"/>
    <cellStyle name="20% - Accent5 4 5 4" xfId="18852" xr:uid="{6E03EBBB-6BBA-4FCB-BD86-2275F60C718A}"/>
    <cellStyle name="20% - Accent5 4 5 5" xfId="10418" xr:uid="{42C125D5-4924-493A-867E-301E32138EBD}"/>
    <cellStyle name="20% - Accent5 4 6" xfId="2303" xr:uid="{00000000-0005-0000-0000-00000B030000}"/>
    <cellStyle name="20% - Accent5 4 6 2" xfId="6610" xr:uid="{00000000-0005-0000-0000-00000C030000}"/>
    <cellStyle name="20% - Accent5 4 6 2 2" xfId="23482" xr:uid="{F64FCEDC-31F0-49DE-9821-21B0C70819B4}"/>
    <cellStyle name="20% - Accent5 4 6 2 3" xfId="15048" xr:uid="{04D25742-CF2B-4CA2-9BD9-8579A8060561}"/>
    <cellStyle name="20% - Accent5 4 6 3" xfId="19265" xr:uid="{BB108B0A-3195-4050-8D2C-5B38DBE1BB6E}"/>
    <cellStyle name="20% - Accent5 4 6 4" xfId="10831" xr:uid="{1CB38525-42A7-4C82-9CF7-377D96B34983}"/>
    <cellStyle name="20% - Accent5 4 7" xfId="4544" xr:uid="{00000000-0005-0000-0000-00000D030000}"/>
    <cellStyle name="20% - Accent5 4 7 2" xfId="21416" xr:uid="{E86DCA70-DC7F-45AE-A0D2-A9DA64A67F18}"/>
    <cellStyle name="20% - Accent5 4 7 3" xfId="12982" xr:uid="{35FB659D-81FA-467A-BABF-AB17D63D080C}"/>
    <cellStyle name="20% - Accent5 4 8" xfId="17199" xr:uid="{0E1FD20D-AE88-4CBA-94D0-70004EBDD352}"/>
    <cellStyle name="20% - Accent5 4 9" xfId="8765" xr:uid="{7C6D774B-6D17-43F9-B623-5FEF36B2688C}"/>
    <cellStyle name="20% - Accent5 5" xfId="602" xr:uid="{00000000-0005-0000-0000-00000E030000}"/>
    <cellStyle name="20% - Accent5 5 2" xfId="2873" xr:uid="{00000000-0005-0000-0000-00000F030000}"/>
    <cellStyle name="20% - Accent5 5 2 2" xfId="7096" xr:uid="{00000000-0005-0000-0000-000010030000}"/>
    <cellStyle name="20% - Accent5 5 2 2 2" xfId="23968" xr:uid="{BE1588C2-072F-4BBE-819B-B7F3FBF61871}"/>
    <cellStyle name="20% - Accent5 5 2 2 3" xfId="15534" xr:uid="{A54518CE-6852-4D73-90E4-FD1115EDD73B}"/>
    <cellStyle name="20% - Accent5 5 2 3" xfId="19751" xr:uid="{77A19397-B09B-4B89-86F4-958BD4205B1A}"/>
    <cellStyle name="20% - Accent5 5 2 4" xfId="11317" xr:uid="{3F42A4D7-2157-486D-B1C6-89AE5F103E73}"/>
    <cellStyle name="20% - Accent5 5 3" xfId="4951" xr:uid="{00000000-0005-0000-0000-000011030000}"/>
    <cellStyle name="20% - Accent5 5 3 2" xfId="21823" xr:uid="{7525C17A-A4F3-46E0-AE08-6BEC61353263}"/>
    <cellStyle name="20% - Accent5 5 3 3" xfId="13389" xr:uid="{FBB1383F-9317-4278-94B9-D416C6D55BC1}"/>
    <cellStyle name="20% - Accent5 5 4" xfId="17606" xr:uid="{DC420F6A-511A-46C1-9385-FB2BBEBC6067}"/>
    <cellStyle name="20% - Accent5 5 5" xfId="9172" xr:uid="{A20FF0F5-E0E2-473B-94CF-C3DD80EBEDC4}"/>
    <cellStyle name="20% - Accent5 6" xfId="1055" xr:uid="{00000000-0005-0000-0000-000012030000}"/>
    <cellStyle name="20% - Accent5 6 2" xfId="3286" xr:uid="{00000000-0005-0000-0000-000013030000}"/>
    <cellStyle name="20% - Accent5 6 2 2" xfId="7509" xr:uid="{00000000-0005-0000-0000-000014030000}"/>
    <cellStyle name="20% - Accent5 6 2 2 2" xfId="24381" xr:uid="{057C5684-BA4D-45D9-898C-3E6B9C2CD886}"/>
    <cellStyle name="20% - Accent5 6 2 2 3" xfId="15947" xr:uid="{F30F98BB-B577-43E3-A369-AE8CCFB5E3C8}"/>
    <cellStyle name="20% - Accent5 6 2 3" xfId="20164" xr:uid="{6DD3489E-FED4-4B86-92D5-030C31DC2FAA}"/>
    <cellStyle name="20% - Accent5 6 2 4" xfId="11730" xr:uid="{F6A7E17B-B82D-4B84-A3C7-FDA6B0E5E1EB}"/>
    <cellStyle name="20% - Accent5 6 3" xfId="5364" xr:uid="{00000000-0005-0000-0000-000015030000}"/>
    <cellStyle name="20% - Accent5 6 3 2" xfId="22236" xr:uid="{69F7CCE4-4168-4750-95D5-2963DD3C1B94}"/>
    <cellStyle name="20% - Accent5 6 3 3" xfId="13802" xr:uid="{8B729CB3-7DEA-4912-80D0-5FDE52B57A50}"/>
    <cellStyle name="20% - Accent5 6 4" xfId="18019" xr:uid="{4C798833-E0B1-47F7-B495-3F2EBC7EA962}"/>
    <cellStyle name="20% - Accent5 6 5" xfId="9585" xr:uid="{A3C93F58-46D7-4300-9E91-C1A7263B6F29}"/>
    <cellStyle name="20% - Accent5 7" xfId="1469" xr:uid="{00000000-0005-0000-0000-000016030000}"/>
    <cellStyle name="20% - Accent5 7 2" xfId="3699" xr:uid="{00000000-0005-0000-0000-000017030000}"/>
    <cellStyle name="20% - Accent5 7 2 2" xfId="7922" xr:uid="{00000000-0005-0000-0000-000018030000}"/>
    <cellStyle name="20% - Accent5 7 2 2 2" xfId="24794" xr:uid="{5A0BB7AC-CBC9-4884-8D4A-13877C9B6257}"/>
    <cellStyle name="20% - Accent5 7 2 2 3" xfId="16360" xr:uid="{AF1A522E-16A1-48CA-AF5E-379DDE74AF18}"/>
    <cellStyle name="20% - Accent5 7 2 3" xfId="20577" xr:uid="{549F76E9-A335-43C8-A0FE-FDAA78E45955}"/>
    <cellStyle name="20% - Accent5 7 2 4" xfId="12143" xr:uid="{6CB07C9D-A9D4-44A8-90DB-1DD216B5966A}"/>
    <cellStyle name="20% - Accent5 7 3" xfId="5777" xr:uid="{00000000-0005-0000-0000-000019030000}"/>
    <cellStyle name="20% - Accent5 7 3 2" xfId="22649" xr:uid="{89F6EDB1-A7BC-4D69-B5ED-80508C61DFC0}"/>
    <cellStyle name="20% - Accent5 7 3 3" xfId="14215" xr:uid="{5B12B119-CC2A-4454-89AA-FC3F6384B611}"/>
    <cellStyle name="20% - Accent5 7 4" xfId="18432" xr:uid="{B887C812-35A8-481B-A555-A34960084B1C}"/>
    <cellStyle name="20% - Accent5 7 5" xfId="9998" xr:uid="{6CEB946D-BCDE-4631-A34A-5D364B64A9D5}"/>
    <cellStyle name="20% - Accent5 8" xfId="1883" xr:uid="{00000000-0005-0000-0000-00001A030000}"/>
    <cellStyle name="20% - Accent5 8 2" xfId="4112" xr:uid="{00000000-0005-0000-0000-00001B030000}"/>
    <cellStyle name="20% - Accent5 8 2 2" xfId="8335" xr:uid="{00000000-0005-0000-0000-00001C030000}"/>
    <cellStyle name="20% - Accent5 8 2 2 2" xfId="25207" xr:uid="{4D3D90AD-2FBA-4990-8758-BB76B0A03F64}"/>
    <cellStyle name="20% - Accent5 8 2 2 3" xfId="16773" xr:uid="{DFAAA5D1-9EFD-4EDB-8C2F-5C209AC966B8}"/>
    <cellStyle name="20% - Accent5 8 2 3" xfId="20990" xr:uid="{336D36EC-F3A9-436B-9C62-249CD9A99267}"/>
    <cellStyle name="20% - Accent5 8 2 4" xfId="12556" xr:uid="{8DE06AC0-0983-4EA4-9DA0-D9A9AA4F6D1D}"/>
    <cellStyle name="20% - Accent5 8 3" xfId="6190" xr:uid="{00000000-0005-0000-0000-00001D030000}"/>
    <cellStyle name="20% - Accent5 8 3 2" xfId="23062" xr:uid="{89A13297-1BDD-4D0B-A35F-B69313C13E62}"/>
    <cellStyle name="20% - Accent5 8 3 3" xfId="14628" xr:uid="{7186BDEB-8690-4F10-A194-33CE8A315947}"/>
    <cellStyle name="20% - Accent5 8 4" xfId="18845" xr:uid="{7E208022-CE44-471C-BD6D-CDEB5A11B546}"/>
    <cellStyle name="20% - Accent5 8 5" xfId="10411" xr:uid="{0BAB682D-011D-41E7-A4FD-62F27600ED31}"/>
    <cellStyle name="20% - Accent5 9" xfId="2296" xr:uid="{00000000-0005-0000-0000-00001E030000}"/>
    <cellStyle name="20% - Accent5 9 2" xfId="6603" xr:uid="{00000000-0005-0000-0000-00001F030000}"/>
    <cellStyle name="20% - Accent5 9 2 2" xfId="23475" xr:uid="{12728DA7-C542-4FE2-A432-2F4664682092}"/>
    <cellStyle name="20% - Accent5 9 2 3" xfId="15041" xr:uid="{1BE88EF4-14A3-4704-8986-57FC5583C7AB}"/>
    <cellStyle name="20% - Accent5 9 3" xfId="19258" xr:uid="{B19519C1-A5F1-40B7-8CD3-BFE657E99929}"/>
    <cellStyle name="20% - Accent5 9 4" xfId="10824" xr:uid="{8A8131A9-33D9-4202-B39E-9EE8EF035AE9}"/>
    <cellStyle name="20% - Accent6" xfId="41" builtinId="50" customBuiltin="1"/>
    <cellStyle name="20% - Accent6 10" xfId="4545" xr:uid="{00000000-0005-0000-0000-000021030000}"/>
    <cellStyle name="20% - Accent6 10 2" xfId="21417" xr:uid="{8031C49C-04F1-4CA5-A2A8-EB80B6A0582C}"/>
    <cellStyle name="20% - Accent6 10 3" xfId="12983" xr:uid="{A3A93497-7F44-46B9-868B-79868840F34F}"/>
    <cellStyle name="20% - Accent6 11" xfId="17200" xr:uid="{2A0B1960-B2A4-43D3-8182-E2E05FDED29B}"/>
    <cellStyle name="20% - Accent6 12" xfId="8766" xr:uid="{74892098-280F-46E8-89DC-7623F8993413}"/>
    <cellStyle name="20% - Accent6 2" xfId="42" xr:uid="{00000000-0005-0000-0000-000022030000}"/>
    <cellStyle name="20% - Accent6 2 10" xfId="17201" xr:uid="{46F6B408-ED64-4170-96EF-1E09D6686D82}"/>
    <cellStyle name="20% - Accent6 2 11" xfId="8767" xr:uid="{64FDE5EC-8586-4A8B-A017-5BE8A8B5CA28}"/>
    <cellStyle name="20% - Accent6 2 2" xfId="43" xr:uid="{00000000-0005-0000-0000-000023030000}"/>
    <cellStyle name="20% - Accent6 2 2 10" xfId="8768" xr:uid="{D68617D4-D8B5-4D01-83D7-3732D077C2C1}"/>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23979" xr:uid="{5BFD8378-E8DA-46DC-B866-084E134FA0D1}"/>
    <cellStyle name="20% - Accent6 2 2 2 2 2 2 3" xfId="15545" xr:uid="{F437EAF3-B857-449A-8C6C-BB54BFCCD29A}"/>
    <cellStyle name="20% - Accent6 2 2 2 2 2 3" xfId="19762" xr:uid="{D8A6897A-AB1D-4B64-9941-D13C82E4538F}"/>
    <cellStyle name="20% - Accent6 2 2 2 2 2 4" xfId="11328" xr:uid="{0F1F4FC8-D07F-47BF-B0B1-F0E0CEDD5F11}"/>
    <cellStyle name="20% - Accent6 2 2 2 2 3" xfId="4962" xr:uid="{00000000-0005-0000-0000-000028030000}"/>
    <cellStyle name="20% - Accent6 2 2 2 2 3 2" xfId="21834" xr:uid="{F5F3F333-64E6-4CC4-8EA3-AB92DC68B76A}"/>
    <cellStyle name="20% - Accent6 2 2 2 2 3 3" xfId="13400" xr:uid="{3626C2D0-F74F-45F1-B83A-AE605CCB8C69}"/>
    <cellStyle name="20% - Accent6 2 2 2 2 4" xfId="17617" xr:uid="{80DD965C-2EF8-41F1-92F5-45D3F8D9D51C}"/>
    <cellStyle name="20% - Accent6 2 2 2 2 5" xfId="9183" xr:uid="{8ED861D9-6493-4BB9-87B4-340B8C017274}"/>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24392" xr:uid="{92A5F96F-9CB9-4603-9227-C97535CF8F30}"/>
    <cellStyle name="20% - Accent6 2 2 2 3 2 2 3" xfId="15958" xr:uid="{477EFD3C-8093-4CD9-873B-E20856A3BCCA}"/>
    <cellStyle name="20% - Accent6 2 2 2 3 2 3" xfId="20175" xr:uid="{8366726A-280E-48A6-AC45-2357E76554C6}"/>
    <cellStyle name="20% - Accent6 2 2 2 3 2 4" xfId="11741" xr:uid="{2676B799-51DF-493C-86E3-F0371EA3297C}"/>
    <cellStyle name="20% - Accent6 2 2 2 3 3" xfId="5375" xr:uid="{00000000-0005-0000-0000-00002C030000}"/>
    <cellStyle name="20% - Accent6 2 2 2 3 3 2" xfId="22247" xr:uid="{BA818A92-B86E-48E2-8F95-1415EFECD896}"/>
    <cellStyle name="20% - Accent6 2 2 2 3 3 3" xfId="13813" xr:uid="{3B56418F-A286-4614-9CBC-A069DD2B37C9}"/>
    <cellStyle name="20% - Accent6 2 2 2 3 4" xfId="18030" xr:uid="{59F90AE4-3213-4904-96B1-8BF80FF2D654}"/>
    <cellStyle name="20% - Accent6 2 2 2 3 5" xfId="9596" xr:uid="{29EB56B3-C590-4360-91B7-E2822BDC8758}"/>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24805" xr:uid="{0673D9E0-E9BD-4596-BA73-17B2132F841A}"/>
    <cellStyle name="20% - Accent6 2 2 2 4 2 2 3" xfId="16371" xr:uid="{84DFCAB7-9B8E-4DFE-857E-4B694BC5D33A}"/>
    <cellStyle name="20% - Accent6 2 2 2 4 2 3" xfId="20588" xr:uid="{D6F60194-8EA0-48BF-8AEC-FDD7B6111142}"/>
    <cellStyle name="20% - Accent6 2 2 2 4 2 4" xfId="12154" xr:uid="{C120EBCC-24E0-45D1-B8A7-517E46A04405}"/>
    <cellStyle name="20% - Accent6 2 2 2 4 3" xfId="5788" xr:uid="{00000000-0005-0000-0000-000030030000}"/>
    <cellStyle name="20% - Accent6 2 2 2 4 3 2" xfId="22660" xr:uid="{A5A71117-0BA6-4333-A26E-1BAFCE73AFAA}"/>
    <cellStyle name="20% - Accent6 2 2 2 4 3 3" xfId="14226" xr:uid="{09CA371D-13FA-4B82-8C3F-E74DB59809C6}"/>
    <cellStyle name="20% - Accent6 2 2 2 4 4" xfId="18443" xr:uid="{CD01761A-929B-467F-ABF2-692FF9F2A983}"/>
    <cellStyle name="20% - Accent6 2 2 2 4 5" xfId="10009" xr:uid="{2C7FF1B5-5459-435F-9588-1F3E2F7167C8}"/>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25218" xr:uid="{172CE9FA-09E3-417F-9800-9C8021EB8792}"/>
    <cellStyle name="20% - Accent6 2 2 2 5 2 2 3" xfId="16784" xr:uid="{83CE7018-A752-412B-8E91-320DED103F96}"/>
    <cellStyle name="20% - Accent6 2 2 2 5 2 3" xfId="21001" xr:uid="{470A118F-B11C-4BDD-B849-CD39E4C99937}"/>
    <cellStyle name="20% - Accent6 2 2 2 5 2 4" xfId="12567" xr:uid="{B221DFD1-8783-4C4A-BBC2-9D6D0207FE50}"/>
    <cellStyle name="20% - Accent6 2 2 2 5 3" xfId="6201" xr:uid="{00000000-0005-0000-0000-000034030000}"/>
    <cellStyle name="20% - Accent6 2 2 2 5 3 2" xfId="23073" xr:uid="{9A1BA7C9-A440-4E60-B0D9-2F81758115E6}"/>
    <cellStyle name="20% - Accent6 2 2 2 5 3 3" xfId="14639" xr:uid="{1DC55EA1-DFDC-41A4-A261-47DE4BBBF7A5}"/>
    <cellStyle name="20% - Accent6 2 2 2 5 4" xfId="18856" xr:uid="{62959473-A0B4-4991-BF8E-7CE34D9DE05A}"/>
    <cellStyle name="20% - Accent6 2 2 2 5 5" xfId="10422" xr:uid="{91D84BE2-5BAD-4A18-976C-8B93B94EFEE0}"/>
    <cellStyle name="20% - Accent6 2 2 2 6" xfId="2307" xr:uid="{00000000-0005-0000-0000-000035030000}"/>
    <cellStyle name="20% - Accent6 2 2 2 6 2" xfId="6614" xr:uid="{00000000-0005-0000-0000-000036030000}"/>
    <cellStyle name="20% - Accent6 2 2 2 6 2 2" xfId="23486" xr:uid="{56022C3A-9351-4308-80A9-3C16E9B57248}"/>
    <cellStyle name="20% - Accent6 2 2 2 6 2 3" xfId="15052" xr:uid="{F8B8E704-0142-4E8A-BAC2-DB0B785EC75F}"/>
    <cellStyle name="20% - Accent6 2 2 2 6 3" xfId="19269" xr:uid="{DE211477-5733-4DF6-90FF-9D3505BCD516}"/>
    <cellStyle name="20% - Accent6 2 2 2 6 4" xfId="10835" xr:uid="{5C7E0728-26E1-4209-8329-AD65C5F73C87}"/>
    <cellStyle name="20% - Accent6 2 2 2 7" xfId="4548" xr:uid="{00000000-0005-0000-0000-000037030000}"/>
    <cellStyle name="20% - Accent6 2 2 2 7 2" xfId="21420" xr:uid="{8E66D7FC-1BFA-4A0E-9440-52AEBBDAE6DB}"/>
    <cellStyle name="20% - Accent6 2 2 2 7 3" xfId="12986" xr:uid="{FC5C318C-FEBC-4F79-AB95-12BFD9B82F85}"/>
    <cellStyle name="20% - Accent6 2 2 2 8" xfId="17203" xr:uid="{848702EC-0377-43D7-B3F3-B839287E2870}"/>
    <cellStyle name="20% - Accent6 2 2 2 9" xfId="8769" xr:uid="{2CADBF60-F1C8-4704-905D-99BD4885222E}"/>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23978" xr:uid="{962B1F14-8CF2-40E0-8C85-50E03EF13B42}"/>
    <cellStyle name="20% - Accent6 2 2 3 2 2 3" xfId="15544" xr:uid="{3BC99540-5CF8-416E-A8BB-6037414C42DD}"/>
    <cellStyle name="20% - Accent6 2 2 3 2 3" xfId="19761" xr:uid="{85246C0F-5E90-4B9C-8D95-F88EE27DC876}"/>
    <cellStyle name="20% - Accent6 2 2 3 2 4" xfId="11327" xr:uid="{C04C3501-D753-4097-B05C-33EC8F408E6A}"/>
    <cellStyle name="20% - Accent6 2 2 3 3" xfId="4961" xr:uid="{00000000-0005-0000-0000-00003B030000}"/>
    <cellStyle name="20% - Accent6 2 2 3 3 2" xfId="21833" xr:uid="{56325D66-DC4B-4282-8679-38890654619C}"/>
    <cellStyle name="20% - Accent6 2 2 3 3 3" xfId="13399" xr:uid="{A1E0FD49-2871-45A1-A5F7-7E4110FE20E5}"/>
    <cellStyle name="20% - Accent6 2 2 3 4" xfId="17616" xr:uid="{60DA4879-372A-4879-8E75-D18E3FA2B137}"/>
    <cellStyle name="20% - Accent6 2 2 3 5" xfId="9182" xr:uid="{275DE4B9-7EF7-4987-A8C8-0320A7E85555}"/>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24391" xr:uid="{69907366-E642-4CB0-8586-6D62D707164C}"/>
    <cellStyle name="20% - Accent6 2 2 4 2 2 3" xfId="15957" xr:uid="{191889D0-9662-498E-80EE-AF175B287D90}"/>
    <cellStyle name="20% - Accent6 2 2 4 2 3" xfId="20174" xr:uid="{BA90D3D3-9054-4F31-BF78-6FD6DF57F26C}"/>
    <cellStyle name="20% - Accent6 2 2 4 2 4" xfId="11740" xr:uid="{B2D80AF6-BC4C-41CD-865E-5034C9D44E21}"/>
    <cellStyle name="20% - Accent6 2 2 4 3" xfId="5374" xr:uid="{00000000-0005-0000-0000-00003F030000}"/>
    <cellStyle name="20% - Accent6 2 2 4 3 2" xfId="22246" xr:uid="{D97BF853-BB2F-4944-B69A-DA5A6FAF458E}"/>
    <cellStyle name="20% - Accent6 2 2 4 3 3" xfId="13812" xr:uid="{F03D1CED-FC2E-4E60-BF8A-64C4F0742F32}"/>
    <cellStyle name="20% - Accent6 2 2 4 4" xfId="18029" xr:uid="{907BE9E8-E7DB-46C0-85C4-F3ABC8D2FCEC}"/>
    <cellStyle name="20% - Accent6 2 2 4 5" xfId="9595" xr:uid="{A603ED92-42C9-4D30-8196-F9C4173DC0C5}"/>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24804" xr:uid="{A63093CF-AB52-4F0B-8981-015AD1E6064C}"/>
    <cellStyle name="20% - Accent6 2 2 5 2 2 3" xfId="16370" xr:uid="{57290137-5D49-41B3-805C-F9A0DA1E6C0F}"/>
    <cellStyle name="20% - Accent6 2 2 5 2 3" xfId="20587" xr:uid="{C0F3D643-4916-4AE7-847A-CA386445E75D}"/>
    <cellStyle name="20% - Accent6 2 2 5 2 4" xfId="12153" xr:uid="{0B55A7E1-E23B-4C7A-A6C1-6D0A99A1262C}"/>
    <cellStyle name="20% - Accent6 2 2 5 3" xfId="5787" xr:uid="{00000000-0005-0000-0000-000043030000}"/>
    <cellStyle name="20% - Accent6 2 2 5 3 2" xfId="22659" xr:uid="{A2C640E9-D8A9-4650-89CF-363978E24809}"/>
    <cellStyle name="20% - Accent6 2 2 5 3 3" xfId="14225" xr:uid="{698B5913-9E44-4B5B-95F5-3632661370AE}"/>
    <cellStyle name="20% - Accent6 2 2 5 4" xfId="18442" xr:uid="{25D99DB5-F365-4B40-AAE5-16CEC87A1F7F}"/>
    <cellStyle name="20% - Accent6 2 2 5 5" xfId="10008" xr:uid="{DFDF316C-B327-4811-9BB4-8E5DDBFB33C5}"/>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25217" xr:uid="{4709538A-94D9-4F64-9675-629DDC764C81}"/>
    <cellStyle name="20% - Accent6 2 2 6 2 2 3" xfId="16783" xr:uid="{0DEBEE03-5F09-4D83-8402-A3CA3ED2F1BC}"/>
    <cellStyle name="20% - Accent6 2 2 6 2 3" xfId="21000" xr:uid="{20AA27A7-195B-48C3-B4CD-87BCC1E99173}"/>
    <cellStyle name="20% - Accent6 2 2 6 2 4" xfId="12566" xr:uid="{B9D871A7-70F8-4FA1-8BB6-182569DF2EC7}"/>
    <cellStyle name="20% - Accent6 2 2 6 3" xfId="6200" xr:uid="{00000000-0005-0000-0000-000047030000}"/>
    <cellStyle name="20% - Accent6 2 2 6 3 2" xfId="23072" xr:uid="{941851DE-E726-4871-AED6-A3DDC99A7964}"/>
    <cellStyle name="20% - Accent6 2 2 6 3 3" xfId="14638" xr:uid="{DED611E0-6804-4FAA-A0A5-61763460F217}"/>
    <cellStyle name="20% - Accent6 2 2 6 4" xfId="18855" xr:uid="{1758C6CE-FCC3-4ABC-A7AC-DED9C07D3CE5}"/>
    <cellStyle name="20% - Accent6 2 2 6 5" xfId="10421" xr:uid="{B9789267-5744-4A8F-B208-F72D87E09713}"/>
    <cellStyle name="20% - Accent6 2 2 7" xfId="2306" xr:uid="{00000000-0005-0000-0000-000048030000}"/>
    <cellStyle name="20% - Accent6 2 2 7 2" xfId="6613" xr:uid="{00000000-0005-0000-0000-000049030000}"/>
    <cellStyle name="20% - Accent6 2 2 7 2 2" xfId="23485" xr:uid="{32DEAB11-CE56-473E-9106-47C5A74F6A64}"/>
    <cellStyle name="20% - Accent6 2 2 7 2 3" xfId="15051" xr:uid="{7ECE74FF-0F2B-44A8-A0DC-CC78AEFDECC4}"/>
    <cellStyle name="20% - Accent6 2 2 7 3" xfId="19268" xr:uid="{08E825EF-737D-4A3F-8651-64F4CAED17DB}"/>
    <cellStyle name="20% - Accent6 2 2 7 4" xfId="10834" xr:uid="{624CB96B-AAE3-4368-A49B-1567FC21BC1E}"/>
    <cellStyle name="20% - Accent6 2 2 8" xfId="4547" xr:uid="{00000000-0005-0000-0000-00004A030000}"/>
    <cellStyle name="20% - Accent6 2 2 8 2" xfId="21419" xr:uid="{224FEA7F-DBED-4594-A336-AE19F1FDE9E3}"/>
    <cellStyle name="20% - Accent6 2 2 8 3" xfId="12985" xr:uid="{6E186973-12B8-4FA2-922D-AE7433204E07}"/>
    <cellStyle name="20% - Accent6 2 2 9" xfId="17202" xr:uid="{3B047C00-E4CB-4A84-9694-A92D17A0B505}"/>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23980" xr:uid="{0F231A61-330A-49E0-B107-E136E5AC5870}"/>
    <cellStyle name="20% - Accent6 2 3 2 2 2 3" xfId="15546" xr:uid="{CAB2C961-7205-47FF-AB14-F33442EC365F}"/>
    <cellStyle name="20% - Accent6 2 3 2 2 3" xfId="19763" xr:uid="{DBD830C5-597E-40CB-9DB2-55FCBC13F177}"/>
    <cellStyle name="20% - Accent6 2 3 2 2 4" xfId="11329" xr:uid="{0D28024D-2C7A-4450-A1B0-3D8A463C5431}"/>
    <cellStyle name="20% - Accent6 2 3 2 3" xfId="4963" xr:uid="{00000000-0005-0000-0000-00004F030000}"/>
    <cellStyle name="20% - Accent6 2 3 2 3 2" xfId="21835" xr:uid="{F3D89E5E-B7C4-413F-BFED-D2AAAD47FAAC}"/>
    <cellStyle name="20% - Accent6 2 3 2 3 3" xfId="13401" xr:uid="{9DF2759C-6645-4AA7-B4B3-260FDDD3C733}"/>
    <cellStyle name="20% - Accent6 2 3 2 4" xfId="17618" xr:uid="{1699AA1F-4C45-47BB-9677-D99EFAD38D2C}"/>
    <cellStyle name="20% - Accent6 2 3 2 5" xfId="9184" xr:uid="{7A12F7B5-C068-456B-97AF-A5B78E80C664}"/>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24393" xr:uid="{8B38AABF-8E8A-45BD-88DF-4F2B054D985E}"/>
    <cellStyle name="20% - Accent6 2 3 3 2 2 3" xfId="15959" xr:uid="{0CA18880-64DE-4069-BB12-35F7DB84531A}"/>
    <cellStyle name="20% - Accent6 2 3 3 2 3" xfId="20176" xr:uid="{49E4FCE4-C704-43BE-8CE1-BDE52AD6EEF2}"/>
    <cellStyle name="20% - Accent6 2 3 3 2 4" xfId="11742" xr:uid="{F9338D51-844A-4FC1-A786-DFC73C80FDB9}"/>
    <cellStyle name="20% - Accent6 2 3 3 3" xfId="5376" xr:uid="{00000000-0005-0000-0000-000053030000}"/>
    <cellStyle name="20% - Accent6 2 3 3 3 2" xfId="22248" xr:uid="{3BCD0550-D884-43BC-A1DB-60196024E753}"/>
    <cellStyle name="20% - Accent6 2 3 3 3 3" xfId="13814" xr:uid="{4225E502-B6ED-459A-9FF6-A52C5FCE17AD}"/>
    <cellStyle name="20% - Accent6 2 3 3 4" xfId="18031" xr:uid="{213533D2-3E6D-4ECD-BBC2-5DC1725CD16B}"/>
    <cellStyle name="20% - Accent6 2 3 3 5" xfId="9597" xr:uid="{BEC37E7C-40F2-4294-AECA-C27809D101F0}"/>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24806" xr:uid="{AEEF07DE-6625-4628-8879-45B6BD1CCB0D}"/>
    <cellStyle name="20% - Accent6 2 3 4 2 2 3" xfId="16372" xr:uid="{F52721EB-A229-4805-8FE6-998D52DDABFE}"/>
    <cellStyle name="20% - Accent6 2 3 4 2 3" xfId="20589" xr:uid="{A6D5CAD4-D417-4F10-8B94-3E11065ECEA8}"/>
    <cellStyle name="20% - Accent6 2 3 4 2 4" xfId="12155" xr:uid="{9598C426-790E-4157-9F6A-ABFD59860536}"/>
    <cellStyle name="20% - Accent6 2 3 4 3" xfId="5789" xr:uid="{00000000-0005-0000-0000-000057030000}"/>
    <cellStyle name="20% - Accent6 2 3 4 3 2" xfId="22661" xr:uid="{6CB904C6-3526-4CDB-AE5A-7C279F393588}"/>
    <cellStyle name="20% - Accent6 2 3 4 3 3" xfId="14227" xr:uid="{2198762F-86DF-4329-AE8A-734781E0DC72}"/>
    <cellStyle name="20% - Accent6 2 3 4 4" xfId="18444" xr:uid="{A7003F26-5B83-4ADC-B317-0D3CCB9B7FAB}"/>
    <cellStyle name="20% - Accent6 2 3 4 5" xfId="10010" xr:uid="{7316A009-911E-4614-8122-B8602608C311}"/>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25219" xr:uid="{62027322-2EDF-4258-B53A-FBA88A1877A9}"/>
    <cellStyle name="20% - Accent6 2 3 5 2 2 3" xfId="16785" xr:uid="{20E9DC0D-159D-4ECD-BF20-B34F6A5BA257}"/>
    <cellStyle name="20% - Accent6 2 3 5 2 3" xfId="21002" xr:uid="{C17027AB-3F42-43A8-A5D8-8C4E2B7E6DEB}"/>
    <cellStyle name="20% - Accent6 2 3 5 2 4" xfId="12568" xr:uid="{ED145DB8-9265-49CF-A367-22CF37733573}"/>
    <cellStyle name="20% - Accent6 2 3 5 3" xfId="6202" xr:uid="{00000000-0005-0000-0000-00005B030000}"/>
    <cellStyle name="20% - Accent6 2 3 5 3 2" xfId="23074" xr:uid="{ED10F75E-4547-4591-9A01-0FE6A3DCF998}"/>
    <cellStyle name="20% - Accent6 2 3 5 3 3" xfId="14640" xr:uid="{56371656-B8F4-4567-BF69-1471E51AD2EB}"/>
    <cellStyle name="20% - Accent6 2 3 5 4" xfId="18857" xr:uid="{CD887219-5C87-4259-BC98-7BEB31EA3ED0}"/>
    <cellStyle name="20% - Accent6 2 3 5 5" xfId="10423" xr:uid="{DDC191BC-F6DD-4436-BFD6-F6B4E9F1ED58}"/>
    <cellStyle name="20% - Accent6 2 3 6" xfId="2308" xr:uid="{00000000-0005-0000-0000-00005C030000}"/>
    <cellStyle name="20% - Accent6 2 3 6 2" xfId="6615" xr:uid="{00000000-0005-0000-0000-00005D030000}"/>
    <cellStyle name="20% - Accent6 2 3 6 2 2" xfId="23487" xr:uid="{B087BCD2-C33C-4FEF-AE82-5C9263EFFC24}"/>
    <cellStyle name="20% - Accent6 2 3 6 2 3" xfId="15053" xr:uid="{DD003AE2-1780-48CD-BBED-4B67DC045B45}"/>
    <cellStyle name="20% - Accent6 2 3 6 3" xfId="19270" xr:uid="{E9578659-B933-4888-9FEF-BF4D198DB6D3}"/>
    <cellStyle name="20% - Accent6 2 3 6 4" xfId="10836" xr:uid="{5AB3EACE-6FEF-4BF8-AF75-D66B56875BC5}"/>
    <cellStyle name="20% - Accent6 2 3 7" xfId="4549" xr:uid="{00000000-0005-0000-0000-00005E030000}"/>
    <cellStyle name="20% - Accent6 2 3 7 2" xfId="21421" xr:uid="{C30EFE0A-A7C2-4A3C-BEC1-E223C3BB327B}"/>
    <cellStyle name="20% - Accent6 2 3 7 3" xfId="12987" xr:uid="{231224F8-30D9-4580-BFC5-0B3765F5E3D9}"/>
    <cellStyle name="20% - Accent6 2 3 8" xfId="17204" xr:uid="{5330C4B8-B3ED-4C46-9C39-978B83741210}"/>
    <cellStyle name="20% - Accent6 2 3 9" xfId="8770" xr:uid="{E7783522-BE8D-42E4-B98B-2F3D1CE5B8A2}"/>
    <cellStyle name="20% - Accent6 2 4" xfId="611" xr:uid="{00000000-0005-0000-0000-00005F030000}"/>
    <cellStyle name="20% - Accent6 2 4 2" xfId="2882" xr:uid="{00000000-0005-0000-0000-000060030000}"/>
    <cellStyle name="20% - Accent6 2 4 2 2" xfId="7105" xr:uid="{00000000-0005-0000-0000-000061030000}"/>
    <cellStyle name="20% - Accent6 2 4 2 2 2" xfId="23977" xr:uid="{C13CF605-71A7-4AD4-8450-70C21CA048DE}"/>
    <cellStyle name="20% - Accent6 2 4 2 2 3" xfId="15543" xr:uid="{35495D57-792C-471F-B735-8061BF3A72B2}"/>
    <cellStyle name="20% - Accent6 2 4 2 3" xfId="19760" xr:uid="{C13B643A-4764-44A5-B654-2A7634F17D67}"/>
    <cellStyle name="20% - Accent6 2 4 2 4" xfId="11326" xr:uid="{DA8CA50B-A127-42BE-A34F-4612E4228F2B}"/>
    <cellStyle name="20% - Accent6 2 4 3" xfId="4960" xr:uid="{00000000-0005-0000-0000-000062030000}"/>
    <cellStyle name="20% - Accent6 2 4 3 2" xfId="21832" xr:uid="{CF09BFB6-BAB2-49E8-9DE0-179310700435}"/>
    <cellStyle name="20% - Accent6 2 4 3 3" xfId="13398" xr:uid="{8A3FE093-DC18-4751-93AE-C7DB70AF9CB0}"/>
    <cellStyle name="20% - Accent6 2 4 4" xfId="17615" xr:uid="{BB36EBE9-C3D6-472F-8DF0-54AA45341C09}"/>
    <cellStyle name="20% - Accent6 2 4 5" xfId="9181" xr:uid="{445C916F-F38C-411D-A43E-9B317EDD529E}"/>
    <cellStyle name="20% - Accent6 2 5" xfId="1064" xr:uid="{00000000-0005-0000-0000-000063030000}"/>
    <cellStyle name="20% - Accent6 2 5 2" xfId="3295" xr:uid="{00000000-0005-0000-0000-000064030000}"/>
    <cellStyle name="20% - Accent6 2 5 2 2" xfId="7518" xr:uid="{00000000-0005-0000-0000-000065030000}"/>
    <cellStyle name="20% - Accent6 2 5 2 2 2" xfId="24390" xr:uid="{883A18C2-BAEE-4B7F-9A76-E2DBBBC45E94}"/>
    <cellStyle name="20% - Accent6 2 5 2 2 3" xfId="15956" xr:uid="{5B027C6E-FBC2-4F1B-AA20-C38E9C64F833}"/>
    <cellStyle name="20% - Accent6 2 5 2 3" xfId="20173" xr:uid="{687E057F-6695-41FF-AB0C-D16EF938EBA4}"/>
    <cellStyle name="20% - Accent6 2 5 2 4" xfId="11739" xr:uid="{103E9BB2-2FB9-4273-BE44-3D45363D3C46}"/>
    <cellStyle name="20% - Accent6 2 5 3" xfId="5373" xr:uid="{00000000-0005-0000-0000-000066030000}"/>
    <cellStyle name="20% - Accent6 2 5 3 2" xfId="22245" xr:uid="{2EE8E6D5-0A65-4761-ADF9-20040C18567D}"/>
    <cellStyle name="20% - Accent6 2 5 3 3" xfId="13811" xr:uid="{19EE9CC2-AE5C-4E0D-A39C-1474E8ED4EF9}"/>
    <cellStyle name="20% - Accent6 2 5 4" xfId="18028" xr:uid="{61B89812-F815-4F97-A5E3-8C057C312918}"/>
    <cellStyle name="20% - Accent6 2 5 5" xfId="9594" xr:uid="{765ECB89-C3E3-4177-87B5-94798DB9D16C}"/>
    <cellStyle name="20% - Accent6 2 6" xfId="1478" xr:uid="{00000000-0005-0000-0000-000067030000}"/>
    <cellStyle name="20% - Accent6 2 6 2" xfId="3708" xr:uid="{00000000-0005-0000-0000-000068030000}"/>
    <cellStyle name="20% - Accent6 2 6 2 2" xfId="7931" xr:uid="{00000000-0005-0000-0000-000069030000}"/>
    <cellStyle name="20% - Accent6 2 6 2 2 2" xfId="24803" xr:uid="{3036277C-CFE7-426D-BF70-1C1C0D64E903}"/>
    <cellStyle name="20% - Accent6 2 6 2 2 3" xfId="16369" xr:uid="{01B995A1-1801-4030-85B2-298325C39DE2}"/>
    <cellStyle name="20% - Accent6 2 6 2 3" xfId="20586" xr:uid="{9FF11F2E-2356-426C-B7D6-BCD636531B37}"/>
    <cellStyle name="20% - Accent6 2 6 2 4" xfId="12152" xr:uid="{4A3233B6-875B-48F1-A918-740D3567E467}"/>
    <cellStyle name="20% - Accent6 2 6 3" xfId="5786" xr:uid="{00000000-0005-0000-0000-00006A030000}"/>
    <cellStyle name="20% - Accent6 2 6 3 2" xfId="22658" xr:uid="{DA2D5B51-7191-42FB-AD34-62198BF0FAF7}"/>
    <cellStyle name="20% - Accent6 2 6 3 3" xfId="14224" xr:uid="{66F9A80C-EF7A-443D-8E56-64D4C5ADE21F}"/>
    <cellStyle name="20% - Accent6 2 6 4" xfId="18441" xr:uid="{B8E72ABF-FA21-4900-98DC-44C891A869D4}"/>
    <cellStyle name="20% - Accent6 2 6 5" xfId="10007" xr:uid="{E103B3D6-B088-4685-B734-772EC18B8021}"/>
    <cellStyle name="20% - Accent6 2 7" xfId="1892" xr:uid="{00000000-0005-0000-0000-00006B030000}"/>
    <cellStyle name="20% - Accent6 2 7 2" xfId="4121" xr:uid="{00000000-0005-0000-0000-00006C030000}"/>
    <cellStyle name="20% - Accent6 2 7 2 2" xfId="8344" xr:uid="{00000000-0005-0000-0000-00006D030000}"/>
    <cellStyle name="20% - Accent6 2 7 2 2 2" xfId="25216" xr:uid="{346E499C-5317-4B98-89C5-14F6D0207834}"/>
    <cellStyle name="20% - Accent6 2 7 2 2 3" xfId="16782" xr:uid="{9F7D9021-E1F5-4C49-80D7-622D61CC58E2}"/>
    <cellStyle name="20% - Accent6 2 7 2 3" xfId="20999" xr:uid="{BE575528-E2BB-4C5A-A007-0ED9E7045467}"/>
    <cellStyle name="20% - Accent6 2 7 2 4" xfId="12565" xr:uid="{43BBE350-A8C6-4CCF-B784-58B4FE40E833}"/>
    <cellStyle name="20% - Accent6 2 7 3" xfId="6199" xr:uid="{00000000-0005-0000-0000-00006E030000}"/>
    <cellStyle name="20% - Accent6 2 7 3 2" xfId="23071" xr:uid="{0071C59A-E379-43CB-8FEE-DB4AAFF6E8D6}"/>
    <cellStyle name="20% - Accent6 2 7 3 3" xfId="14637" xr:uid="{460C5CEA-3255-4250-B4B3-3C8C8A41228F}"/>
    <cellStyle name="20% - Accent6 2 7 4" xfId="18854" xr:uid="{3154D935-CF07-4A1E-8FE2-AA6351C1C225}"/>
    <cellStyle name="20% - Accent6 2 7 5" xfId="10420" xr:uid="{F152FD81-D1E3-42A4-B29D-24D86F885733}"/>
    <cellStyle name="20% - Accent6 2 8" xfId="2305" xr:uid="{00000000-0005-0000-0000-00006F030000}"/>
    <cellStyle name="20% - Accent6 2 8 2" xfId="6612" xr:uid="{00000000-0005-0000-0000-000070030000}"/>
    <cellStyle name="20% - Accent6 2 8 2 2" xfId="23484" xr:uid="{9FD99155-B344-4DE9-AAFD-9B2808C7D591}"/>
    <cellStyle name="20% - Accent6 2 8 2 3" xfId="15050" xr:uid="{A956F8C0-3929-40D0-9B72-57A804C8F05E}"/>
    <cellStyle name="20% - Accent6 2 8 3" xfId="19267" xr:uid="{845C2385-B14B-47E2-9236-00C79D08BBC0}"/>
    <cellStyle name="20% - Accent6 2 8 4" xfId="10833" xr:uid="{4C2EE046-577C-484A-AC07-24F52F61AA7C}"/>
    <cellStyle name="20% - Accent6 2 9" xfId="4546" xr:uid="{00000000-0005-0000-0000-000071030000}"/>
    <cellStyle name="20% - Accent6 2 9 2" xfId="21418" xr:uid="{8EF172A7-5333-475A-ACAD-AC8DF9B83180}"/>
    <cellStyle name="20% - Accent6 2 9 3" xfId="12984" xr:uid="{A745BAB0-C3CA-4BBC-B75C-B482045DBC83}"/>
    <cellStyle name="20% - Accent6 3" xfId="46" xr:uid="{00000000-0005-0000-0000-000072030000}"/>
    <cellStyle name="20% - Accent6 3 10" xfId="8771" xr:uid="{DD2F0BC0-7202-49AD-8433-D352D71C690A}"/>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23982" xr:uid="{8709F12B-9EA5-4AE9-AB4A-ECC1590FEDE1}"/>
    <cellStyle name="20% - Accent6 3 2 2 2 2 3" xfId="15548" xr:uid="{43981ACD-A31F-4F59-A62D-1358A718577C}"/>
    <cellStyle name="20% - Accent6 3 2 2 2 3" xfId="19765" xr:uid="{FA5AAC28-4901-4948-96E4-00C34D57E527}"/>
    <cellStyle name="20% - Accent6 3 2 2 2 4" xfId="11331" xr:uid="{7BA0849E-A3B0-407B-B681-02721E97EEC4}"/>
    <cellStyle name="20% - Accent6 3 2 2 3" xfId="4965" xr:uid="{00000000-0005-0000-0000-000077030000}"/>
    <cellStyle name="20% - Accent6 3 2 2 3 2" xfId="21837" xr:uid="{CF7B0992-9667-4B76-A8DB-558E564594C5}"/>
    <cellStyle name="20% - Accent6 3 2 2 3 3" xfId="13403" xr:uid="{89C6BDB0-FBA0-43A7-A1CE-F9A5D6312CF2}"/>
    <cellStyle name="20% - Accent6 3 2 2 4" xfId="17620" xr:uid="{430D07D4-E18B-42E6-85D2-F8802BF41F7C}"/>
    <cellStyle name="20% - Accent6 3 2 2 5" xfId="9186" xr:uid="{0EA969FC-1380-45B2-854D-EE54055F6429}"/>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24395" xr:uid="{EF4ADB7C-7145-4CF2-971E-E837C4668409}"/>
    <cellStyle name="20% - Accent6 3 2 3 2 2 3" xfId="15961" xr:uid="{95051B28-D710-4381-A77A-E2DD9BD79478}"/>
    <cellStyle name="20% - Accent6 3 2 3 2 3" xfId="20178" xr:uid="{A0A6BB10-7497-4C73-A8CA-140AE7426CF4}"/>
    <cellStyle name="20% - Accent6 3 2 3 2 4" xfId="11744" xr:uid="{5AD6CD13-F155-4378-967B-AB50913DDFF3}"/>
    <cellStyle name="20% - Accent6 3 2 3 3" xfId="5378" xr:uid="{00000000-0005-0000-0000-00007B030000}"/>
    <cellStyle name="20% - Accent6 3 2 3 3 2" xfId="22250" xr:uid="{7D0EA92C-8AC7-4B0B-9033-C0CD7DFA4DAF}"/>
    <cellStyle name="20% - Accent6 3 2 3 3 3" xfId="13816" xr:uid="{D7C86695-5D9E-4C15-95F1-2B22FF9AD34E}"/>
    <cellStyle name="20% - Accent6 3 2 3 4" xfId="18033" xr:uid="{D8CEEA34-9F11-4D03-BF53-928CA94B8EC9}"/>
    <cellStyle name="20% - Accent6 3 2 3 5" xfId="9599" xr:uid="{599D02BD-C10B-483C-9CF5-C9B09DA30951}"/>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24808" xr:uid="{E71D79DF-437F-4AB8-9521-FBFD214A213E}"/>
    <cellStyle name="20% - Accent6 3 2 4 2 2 3" xfId="16374" xr:uid="{73A63FFF-1E76-48E0-8F7E-7BB322C9833B}"/>
    <cellStyle name="20% - Accent6 3 2 4 2 3" xfId="20591" xr:uid="{D162C3B1-E0F5-4721-977A-7354DF854B3F}"/>
    <cellStyle name="20% - Accent6 3 2 4 2 4" xfId="12157" xr:uid="{95525C76-3F4C-47E4-A447-BDECDDE2EACD}"/>
    <cellStyle name="20% - Accent6 3 2 4 3" xfId="5791" xr:uid="{00000000-0005-0000-0000-00007F030000}"/>
    <cellStyle name="20% - Accent6 3 2 4 3 2" xfId="22663" xr:uid="{57A88C7A-D280-4F32-96C3-B99BD68D999B}"/>
    <cellStyle name="20% - Accent6 3 2 4 3 3" xfId="14229" xr:uid="{85324246-DD9D-49D7-9F96-48D6DADA225C}"/>
    <cellStyle name="20% - Accent6 3 2 4 4" xfId="18446" xr:uid="{DE7B1CDA-35DD-47B7-B58E-6A8D5811FE21}"/>
    <cellStyle name="20% - Accent6 3 2 4 5" xfId="10012" xr:uid="{9CCD0819-D9B9-4FF7-8467-043E2DA5202B}"/>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25221" xr:uid="{313E3D87-94D6-4272-AA36-A7463EAAB086}"/>
    <cellStyle name="20% - Accent6 3 2 5 2 2 3" xfId="16787" xr:uid="{6375F578-9EF7-43EB-B307-79CE8F3908B7}"/>
    <cellStyle name="20% - Accent6 3 2 5 2 3" xfId="21004" xr:uid="{C64A6483-B688-4E96-A9A1-C242978FEA53}"/>
    <cellStyle name="20% - Accent6 3 2 5 2 4" xfId="12570" xr:uid="{31999FE8-D42F-406D-9795-8F413F0A7811}"/>
    <cellStyle name="20% - Accent6 3 2 5 3" xfId="6204" xr:uid="{00000000-0005-0000-0000-000083030000}"/>
    <cellStyle name="20% - Accent6 3 2 5 3 2" xfId="23076" xr:uid="{EA1DA655-AE39-43C7-BA78-4236E8CF6951}"/>
    <cellStyle name="20% - Accent6 3 2 5 3 3" xfId="14642" xr:uid="{6F3AE008-8D83-40EC-A057-65EAEA27A055}"/>
    <cellStyle name="20% - Accent6 3 2 5 4" xfId="18859" xr:uid="{5453D939-EA5C-4B4F-91CD-81471359F56F}"/>
    <cellStyle name="20% - Accent6 3 2 5 5" xfId="10425" xr:uid="{29A37713-16E9-4364-B7C1-EF8D4DDA3FE1}"/>
    <cellStyle name="20% - Accent6 3 2 6" xfId="2310" xr:uid="{00000000-0005-0000-0000-000084030000}"/>
    <cellStyle name="20% - Accent6 3 2 6 2" xfId="6617" xr:uid="{00000000-0005-0000-0000-000085030000}"/>
    <cellStyle name="20% - Accent6 3 2 6 2 2" xfId="23489" xr:uid="{AF3C5A53-3700-4B67-98FB-160D012C7615}"/>
    <cellStyle name="20% - Accent6 3 2 6 2 3" xfId="15055" xr:uid="{E752436B-3F19-47B6-84CE-42E019B1E64A}"/>
    <cellStyle name="20% - Accent6 3 2 6 3" xfId="19272" xr:uid="{0F36A192-5DA4-43ED-A756-17C8711704B8}"/>
    <cellStyle name="20% - Accent6 3 2 6 4" xfId="10838" xr:uid="{FAD9ECCC-CF01-464A-BED1-3379E9D693DF}"/>
    <cellStyle name="20% - Accent6 3 2 7" xfId="4551" xr:uid="{00000000-0005-0000-0000-000086030000}"/>
    <cellStyle name="20% - Accent6 3 2 7 2" xfId="21423" xr:uid="{67998B8E-0E4D-4109-97B5-39D6AE95441B}"/>
    <cellStyle name="20% - Accent6 3 2 7 3" xfId="12989" xr:uid="{EC5E915F-9458-4D34-8713-1598E4EBBFA4}"/>
    <cellStyle name="20% - Accent6 3 2 8" xfId="17206" xr:uid="{09B90ED0-200C-43F0-9B98-DD37F6F20F80}"/>
    <cellStyle name="20% - Accent6 3 2 9" xfId="8772" xr:uid="{921DE974-0CA3-4B81-869D-AE2648D29C41}"/>
    <cellStyle name="20% - Accent6 3 3" xfId="615" xr:uid="{00000000-0005-0000-0000-000087030000}"/>
    <cellStyle name="20% - Accent6 3 3 2" xfId="2886" xr:uid="{00000000-0005-0000-0000-000088030000}"/>
    <cellStyle name="20% - Accent6 3 3 2 2" xfId="7109" xr:uid="{00000000-0005-0000-0000-000089030000}"/>
    <cellStyle name="20% - Accent6 3 3 2 2 2" xfId="23981" xr:uid="{45F642CE-A1F0-4815-8A44-5243013326F1}"/>
    <cellStyle name="20% - Accent6 3 3 2 2 3" xfId="15547" xr:uid="{374C46BD-AD8A-4790-A9D9-AF125CDF0BE4}"/>
    <cellStyle name="20% - Accent6 3 3 2 3" xfId="19764" xr:uid="{C134CCA0-3944-4484-AE15-73B1A76A89F6}"/>
    <cellStyle name="20% - Accent6 3 3 2 4" xfId="11330" xr:uid="{2D710A1A-DBB4-4536-AC74-BA694357978B}"/>
    <cellStyle name="20% - Accent6 3 3 3" xfId="4964" xr:uid="{00000000-0005-0000-0000-00008A030000}"/>
    <cellStyle name="20% - Accent6 3 3 3 2" xfId="21836" xr:uid="{BC563413-06C1-4123-8CA1-53D86E2C1A51}"/>
    <cellStyle name="20% - Accent6 3 3 3 3" xfId="13402" xr:uid="{2CCBCB61-10CE-464A-8F6F-5DB7B073CF85}"/>
    <cellStyle name="20% - Accent6 3 3 4" xfId="17619" xr:uid="{BF3A54AE-A6F9-4765-A0CB-A179D8896E0F}"/>
    <cellStyle name="20% - Accent6 3 3 5" xfId="9185" xr:uid="{6B51D430-0ED6-4892-ABC9-06AD939CBDAB}"/>
    <cellStyle name="20% - Accent6 3 4" xfId="1068" xr:uid="{00000000-0005-0000-0000-00008B030000}"/>
    <cellStyle name="20% - Accent6 3 4 2" xfId="3299" xr:uid="{00000000-0005-0000-0000-00008C030000}"/>
    <cellStyle name="20% - Accent6 3 4 2 2" xfId="7522" xr:uid="{00000000-0005-0000-0000-00008D030000}"/>
    <cellStyle name="20% - Accent6 3 4 2 2 2" xfId="24394" xr:uid="{DB587178-2128-4D4F-8B30-8C573C5A31B3}"/>
    <cellStyle name="20% - Accent6 3 4 2 2 3" xfId="15960" xr:uid="{3D811BE2-A44A-481F-A90C-C3F5E2D9B54E}"/>
    <cellStyle name="20% - Accent6 3 4 2 3" xfId="20177" xr:uid="{46F589BF-F2B4-48CD-A02D-D0E13BC90643}"/>
    <cellStyle name="20% - Accent6 3 4 2 4" xfId="11743" xr:uid="{C1223478-99F2-4DDB-86E1-17BD474DAF32}"/>
    <cellStyle name="20% - Accent6 3 4 3" xfId="5377" xr:uid="{00000000-0005-0000-0000-00008E030000}"/>
    <cellStyle name="20% - Accent6 3 4 3 2" xfId="22249" xr:uid="{5D8F65E4-8307-4C1A-90A0-5D5F016E117E}"/>
    <cellStyle name="20% - Accent6 3 4 3 3" xfId="13815" xr:uid="{3817169D-4824-4D99-A0E6-A9C36A8C585C}"/>
    <cellStyle name="20% - Accent6 3 4 4" xfId="18032" xr:uid="{4EDBB2E0-228A-49E2-ACC4-D5AC703CD220}"/>
    <cellStyle name="20% - Accent6 3 4 5" xfId="9598" xr:uid="{259C435F-E834-4955-9145-30A5AA62F9DC}"/>
    <cellStyle name="20% - Accent6 3 5" xfId="1482" xr:uid="{00000000-0005-0000-0000-00008F030000}"/>
    <cellStyle name="20% - Accent6 3 5 2" xfId="3712" xr:uid="{00000000-0005-0000-0000-000090030000}"/>
    <cellStyle name="20% - Accent6 3 5 2 2" xfId="7935" xr:uid="{00000000-0005-0000-0000-000091030000}"/>
    <cellStyle name="20% - Accent6 3 5 2 2 2" xfId="24807" xr:uid="{ADDD84A7-44EE-4B26-9EF9-F79B39C6317B}"/>
    <cellStyle name="20% - Accent6 3 5 2 2 3" xfId="16373" xr:uid="{8255903E-72DB-4D1D-B631-7D7C56A99253}"/>
    <cellStyle name="20% - Accent6 3 5 2 3" xfId="20590" xr:uid="{A296174E-43B0-448C-AB60-E5C28FF1E851}"/>
    <cellStyle name="20% - Accent6 3 5 2 4" xfId="12156" xr:uid="{0747D4A1-2F8E-4089-80B1-0AFA4217B1C9}"/>
    <cellStyle name="20% - Accent6 3 5 3" xfId="5790" xr:uid="{00000000-0005-0000-0000-000092030000}"/>
    <cellStyle name="20% - Accent6 3 5 3 2" xfId="22662" xr:uid="{E9694DD6-29B1-4210-9368-DAA318093270}"/>
    <cellStyle name="20% - Accent6 3 5 3 3" xfId="14228" xr:uid="{0DD5DA8F-0BD9-410F-8AFF-B66CB61828AE}"/>
    <cellStyle name="20% - Accent6 3 5 4" xfId="18445" xr:uid="{C0771942-623F-4933-A23A-039EFD6B0ABB}"/>
    <cellStyle name="20% - Accent6 3 5 5" xfId="10011" xr:uid="{E1C2FC90-55FD-4234-8084-36DC91181187}"/>
    <cellStyle name="20% - Accent6 3 6" xfId="1896" xr:uid="{00000000-0005-0000-0000-000093030000}"/>
    <cellStyle name="20% - Accent6 3 6 2" xfId="4125" xr:uid="{00000000-0005-0000-0000-000094030000}"/>
    <cellStyle name="20% - Accent6 3 6 2 2" xfId="8348" xr:uid="{00000000-0005-0000-0000-000095030000}"/>
    <cellStyle name="20% - Accent6 3 6 2 2 2" xfId="25220" xr:uid="{47734901-B876-4452-8F5E-85A2379A84B2}"/>
    <cellStyle name="20% - Accent6 3 6 2 2 3" xfId="16786" xr:uid="{9DCDE00E-75A4-484A-AE72-99FBBC94D22F}"/>
    <cellStyle name="20% - Accent6 3 6 2 3" xfId="21003" xr:uid="{D92FF015-EB96-4963-8532-BA4808D2D7EE}"/>
    <cellStyle name="20% - Accent6 3 6 2 4" xfId="12569" xr:uid="{AA015DBD-F5E8-4DE3-879E-58D4F7330076}"/>
    <cellStyle name="20% - Accent6 3 6 3" xfId="6203" xr:uid="{00000000-0005-0000-0000-000096030000}"/>
    <cellStyle name="20% - Accent6 3 6 3 2" xfId="23075" xr:uid="{CE130CC5-5939-41B3-A2B0-E756CB53E3AB}"/>
    <cellStyle name="20% - Accent6 3 6 3 3" xfId="14641" xr:uid="{099571B0-58EB-4C28-B8BD-679F89A72D4B}"/>
    <cellStyle name="20% - Accent6 3 6 4" xfId="18858" xr:uid="{3ED62754-4931-4298-82CA-8913BD514EF6}"/>
    <cellStyle name="20% - Accent6 3 6 5" xfId="10424" xr:uid="{3D53E876-BE74-455B-843A-1BE40A7D1591}"/>
    <cellStyle name="20% - Accent6 3 7" xfId="2309" xr:uid="{00000000-0005-0000-0000-000097030000}"/>
    <cellStyle name="20% - Accent6 3 7 2" xfId="6616" xr:uid="{00000000-0005-0000-0000-000098030000}"/>
    <cellStyle name="20% - Accent6 3 7 2 2" xfId="23488" xr:uid="{6B5D9747-1E4A-4978-9F91-558FBF5C1E66}"/>
    <cellStyle name="20% - Accent6 3 7 2 3" xfId="15054" xr:uid="{1F7EF315-05DD-4139-8618-BD5F8A4C0E65}"/>
    <cellStyle name="20% - Accent6 3 7 3" xfId="19271" xr:uid="{849B6D64-18C0-479A-BD41-8DDE5CF3F783}"/>
    <cellStyle name="20% - Accent6 3 7 4" xfId="10837" xr:uid="{442C9304-3E26-4D44-AD38-EAF01E4B11AD}"/>
    <cellStyle name="20% - Accent6 3 8" xfId="4550" xr:uid="{00000000-0005-0000-0000-000099030000}"/>
    <cellStyle name="20% - Accent6 3 8 2" xfId="21422" xr:uid="{3C80C98F-1374-4A2E-BC67-6C0E75567613}"/>
    <cellStyle name="20% - Accent6 3 8 3" xfId="12988" xr:uid="{05F51931-F68D-408B-AA41-43CD30EC341B}"/>
    <cellStyle name="20% - Accent6 3 9" xfId="17205" xr:uid="{A530017D-114D-4753-83B8-C02B87E3D96F}"/>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23983" xr:uid="{463BF5E8-D578-4290-8CA3-E08D6E8A4CD5}"/>
    <cellStyle name="20% - Accent6 4 2 2 2 3" xfId="15549" xr:uid="{0D181822-2C74-49ED-B5D3-E3D8EC3E790A}"/>
    <cellStyle name="20% - Accent6 4 2 2 3" xfId="19766" xr:uid="{031B2C81-D1A6-44FA-AB41-D715C09C72EA}"/>
    <cellStyle name="20% - Accent6 4 2 2 4" xfId="11332" xr:uid="{855ADDA5-5D0F-4BAC-A0A0-52A9AA28B757}"/>
    <cellStyle name="20% - Accent6 4 2 3" xfId="4966" xr:uid="{00000000-0005-0000-0000-00009E030000}"/>
    <cellStyle name="20% - Accent6 4 2 3 2" xfId="21838" xr:uid="{C51F7ECA-BA74-444C-BC2D-FE784D972FAA}"/>
    <cellStyle name="20% - Accent6 4 2 3 3" xfId="13404" xr:uid="{84DFAD05-08FE-4D35-920C-A2957E0DB252}"/>
    <cellStyle name="20% - Accent6 4 2 4" xfId="17621" xr:uid="{1B6AC725-FF90-454F-A4B8-4511CAA1465C}"/>
    <cellStyle name="20% - Accent6 4 2 5" xfId="9187" xr:uid="{288A1FD7-1BFF-4AB2-BF8E-9C35D3E868F1}"/>
    <cellStyle name="20% - Accent6 4 3" xfId="1070" xr:uid="{00000000-0005-0000-0000-00009F030000}"/>
    <cellStyle name="20% - Accent6 4 3 2" xfId="3301" xr:uid="{00000000-0005-0000-0000-0000A0030000}"/>
    <cellStyle name="20% - Accent6 4 3 2 2" xfId="7524" xr:uid="{00000000-0005-0000-0000-0000A1030000}"/>
    <cellStyle name="20% - Accent6 4 3 2 2 2" xfId="24396" xr:uid="{BD4421D6-9B78-4D98-822C-7847A0D9F9E7}"/>
    <cellStyle name="20% - Accent6 4 3 2 2 3" xfId="15962" xr:uid="{D6D24988-57FF-4030-9F06-1E3CC88CBC9B}"/>
    <cellStyle name="20% - Accent6 4 3 2 3" xfId="20179" xr:uid="{8EC8416E-D962-44E8-82BF-6B9B574F259F}"/>
    <cellStyle name="20% - Accent6 4 3 2 4" xfId="11745" xr:uid="{D4133A39-8247-4B88-A274-0C97209701A0}"/>
    <cellStyle name="20% - Accent6 4 3 3" xfId="5379" xr:uid="{00000000-0005-0000-0000-0000A2030000}"/>
    <cellStyle name="20% - Accent6 4 3 3 2" xfId="22251" xr:uid="{8768F608-13BB-48E2-AED7-6D4C712528F8}"/>
    <cellStyle name="20% - Accent6 4 3 3 3" xfId="13817" xr:uid="{6C3DA184-4620-42C2-B1AD-E05DF603A782}"/>
    <cellStyle name="20% - Accent6 4 3 4" xfId="18034" xr:uid="{9662A977-0C7F-451B-A030-FE8E7803F711}"/>
    <cellStyle name="20% - Accent6 4 3 5" xfId="9600" xr:uid="{A799BBB7-922D-4765-9408-36586598B28E}"/>
    <cellStyle name="20% - Accent6 4 4" xfId="1484" xr:uid="{00000000-0005-0000-0000-0000A3030000}"/>
    <cellStyle name="20% - Accent6 4 4 2" xfId="3714" xr:uid="{00000000-0005-0000-0000-0000A4030000}"/>
    <cellStyle name="20% - Accent6 4 4 2 2" xfId="7937" xr:uid="{00000000-0005-0000-0000-0000A5030000}"/>
    <cellStyle name="20% - Accent6 4 4 2 2 2" xfId="24809" xr:uid="{AD6E5760-906A-4BC7-8587-32C017FF168D}"/>
    <cellStyle name="20% - Accent6 4 4 2 2 3" xfId="16375" xr:uid="{DE366F1C-C52A-4FE8-9DAD-E77BEF54610C}"/>
    <cellStyle name="20% - Accent6 4 4 2 3" xfId="20592" xr:uid="{B9FF8829-09D0-47F4-8DE0-337B68AD876F}"/>
    <cellStyle name="20% - Accent6 4 4 2 4" xfId="12158" xr:uid="{958093F0-7B1E-493E-8400-E8849006EB27}"/>
    <cellStyle name="20% - Accent6 4 4 3" xfId="5792" xr:uid="{00000000-0005-0000-0000-0000A6030000}"/>
    <cellStyle name="20% - Accent6 4 4 3 2" xfId="22664" xr:uid="{59B563B6-56CF-4FE2-BC4C-395BA8CDFD2A}"/>
    <cellStyle name="20% - Accent6 4 4 3 3" xfId="14230" xr:uid="{99557EAD-5B01-41EC-8E56-E71B00CFFDB2}"/>
    <cellStyle name="20% - Accent6 4 4 4" xfId="18447" xr:uid="{451E3F1A-D5CA-414F-942E-4F4542032260}"/>
    <cellStyle name="20% - Accent6 4 4 5" xfId="10013" xr:uid="{FE0E7702-E8E2-4EBE-8073-46049F0317E9}"/>
    <cellStyle name="20% - Accent6 4 5" xfId="1898" xr:uid="{00000000-0005-0000-0000-0000A7030000}"/>
    <cellStyle name="20% - Accent6 4 5 2" xfId="4127" xr:uid="{00000000-0005-0000-0000-0000A8030000}"/>
    <cellStyle name="20% - Accent6 4 5 2 2" xfId="8350" xr:uid="{00000000-0005-0000-0000-0000A9030000}"/>
    <cellStyle name="20% - Accent6 4 5 2 2 2" xfId="25222" xr:uid="{384A1B4A-C849-487C-B5EE-7817A91AC89E}"/>
    <cellStyle name="20% - Accent6 4 5 2 2 3" xfId="16788" xr:uid="{860DF518-E354-4E61-8A76-16D4A4B436F7}"/>
    <cellStyle name="20% - Accent6 4 5 2 3" xfId="21005" xr:uid="{40DF0833-8A15-431A-83DF-644028185499}"/>
    <cellStyle name="20% - Accent6 4 5 2 4" xfId="12571" xr:uid="{F9E30DA8-D10B-419F-A780-C2C53D782B79}"/>
    <cellStyle name="20% - Accent6 4 5 3" xfId="6205" xr:uid="{00000000-0005-0000-0000-0000AA030000}"/>
    <cellStyle name="20% - Accent6 4 5 3 2" xfId="23077" xr:uid="{49565EDA-C519-4DF6-8203-7DC28FBD6247}"/>
    <cellStyle name="20% - Accent6 4 5 3 3" xfId="14643" xr:uid="{2D28CCC5-78D8-4629-BBDC-934FE60AF578}"/>
    <cellStyle name="20% - Accent6 4 5 4" xfId="18860" xr:uid="{D29EDF3C-AB9F-4D04-8DC9-C315005CEECE}"/>
    <cellStyle name="20% - Accent6 4 5 5" xfId="10426" xr:uid="{BBAD26B2-0E87-4D72-B1F4-0A4885736AFC}"/>
    <cellStyle name="20% - Accent6 4 6" xfId="2311" xr:uid="{00000000-0005-0000-0000-0000AB030000}"/>
    <cellStyle name="20% - Accent6 4 6 2" xfId="6618" xr:uid="{00000000-0005-0000-0000-0000AC030000}"/>
    <cellStyle name="20% - Accent6 4 6 2 2" xfId="23490" xr:uid="{2FAA7D84-3D1A-4BD5-824E-A30D002C4801}"/>
    <cellStyle name="20% - Accent6 4 6 2 3" xfId="15056" xr:uid="{94F0428E-A552-487F-9321-50B3E7612EB9}"/>
    <cellStyle name="20% - Accent6 4 6 3" xfId="19273" xr:uid="{DF37B857-FAE6-4D7E-B7D9-9839CD180090}"/>
    <cellStyle name="20% - Accent6 4 6 4" xfId="10839" xr:uid="{085F9CFF-D95D-4A63-B494-110B07640204}"/>
    <cellStyle name="20% - Accent6 4 7" xfId="4552" xr:uid="{00000000-0005-0000-0000-0000AD030000}"/>
    <cellStyle name="20% - Accent6 4 7 2" xfId="21424" xr:uid="{D08E4947-F20A-4287-A307-B1559E94BF28}"/>
    <cellStyle name="20% - Accent6 4 7 3" xfId="12990" xr:uid="{74B3CB48-B156-4E83-9A87-3EB9F1D7C53D}"/>
    <cellStyle name="20% - Accent6 4 8" xfId="17207" xr:uid="{13A48BF1-4BDE-4923-91B9-18406668C7D9}"/>
    <cellStyle name="20% - Accent6 4 9" xfId="8773" xr:uid="{F18EE689-4F96-4F1D-96E9-A976BBE84739}"/>
    <cellStyle name="20% - Accent6 5" xfId="610" xr:uid="{00000000-0005-0000-0000-0000AE030000}"/>
    <cellStyle name="20% - Accent6 5 2" xfId="2881" xr:uid="{00000000-0005-0000-0000-0000AF030000}"/>
    <cellStyle name="20% - Accent6 5 2 2" xfId="7104" xr:uid="{00000000-0005-0000-0000-0000B0030000}"/>
    <cellStyle name="20% - Accent6 5 2 2 2" xfId="23976" xr:uid="{4F052814-3457-41B6-9592-B1D64B68A5E4}"/>
    <cellStyle name="20% - Accent6 5 2 2 3" xfId="15542" xr:uid="{472DE2CE-9F8F-40E4-BF34-BA2F5FCB93C3}"/>
    <cellStyle name="20% - Accent6 5 2 3" xfId="19759" xr:uid="{203D70B0-BF3F-4014-87FB-48BCEE8024DC}"/>
    <cellStyle name="20% - Accent6 5 2 4" xfId="11325" xr:uid="{73291173-64A4-433B-B4FE-7A5A6002F400}"/>
    <cellStyle name="20% - Accent6 5 3" xfId="4959" xr:uid="{00000000-0005-0000-0000-0000B1030000}"/>
    <cellStyle name="20% - Accent6 5 3 2" xfId="21831" xr:uid="{25534314-9A00-401D-A841-DC5CD13E2705}"/>
    <cellStyle name="20% - Accent6 5 3 3" xfId="13397" xr:uid="{7BE05BCA-1D0A-467D-9334-945D8E39A8C0}"/>
    <cellStyle name="20% - Accent6 5 4" xfId="17614" xr:uid="{51271A20-A02F-4074-A09E-076096D5BCCA}"/>
    <cellStyle name="20% - Accent6 5 5" xfId="9180" xr:uid="{0D31D838-C500-4FFE-916A-651D7A35A6FA}"/>
    <cellStyle name="20% - Accent6 6" xfId="1063" xr:uid="{00000000-0005-0000-0000-0000B2030000}"/>
    <cellStyle name="20% - Accent6 6 2" xfId="3294" xr:uid="{00000000-0005-0000-0000-0000B3030000}"/>
    <cellStyle name="20% - Accent6 6 2 2" xfId="7517" xr:uid="{00000000-0005-0000-0000-0000B4030000}"/>
    <cellStyle name="20% - Accent6 6 2 2 2" xfId="24389" xr:uid="{19EA35FD-EFE7-48C1-937E-0DBF6A456CB7}"/>
    <cellStyle name="20% - Accent6 6 2 2 3" xfId="15955" xr:uid="{51270161-46F5-452F-A2E8-19D03F66B95F}"/>
    <cellStyle name="20% - Accent6 6 2 3" xfId="20172" xr:uid="{5FAE9865-E127-4865-AFAC-D43FFEFD9FAF}"/>
    <cellStyle name="20% - Accent6 6 2 4" xfId="11738" xr:uid="{EBE31CC3-6BC2-4CF2-B2BD-48526CE80FC6}"/>
    <cellStyle name="20% - Accent6 6 3" xfId="5372" xr:uid="{00000000-0005-0000-0000-0000B5030000}"/>
    <cellStyle name="20% - Accent6 6 3 2" xfId="22244" xr:uid="{6D2F8A93-A0D4-4649-B58E-8D5FA38E84F7}"/>
    <cellStyle name="20% - Accent6 6 3 3" xfId="13810" xr:uid="{27260924-27E4-4BED-8565-152D78B96506}"/>
    <cellStyle name="20% - Accent6 6 4" xfId="18027" xr:uid="{1F9EAE2A-3489-41E3-878D-ED9623709971}"/>
    <cellStyle name="20% - Accent6 6 5" xfId="9593" xr:uid="{DE359773-39C2-4B2E-95DE-63818B81BC37}"/>
    <cellStyle name="20% - Accent6 7" xfId="1477" xr:uid="{00000000-0005-0000-0000-0000B6030000}"/>
    <cellStyle name="20% - Accent6 7 2" xfId="3707" xr:uid="{00000000-0005-0000-0000-0000B7030000}"/>
    <cellStyle name="20% - Accent6 7 2 2" xfId="7930" xr:uid="{00000000-0005-0000-0000-0000B8030000}"/>
    <cellStyle name="20% - Accent6 7 2 2 2" xfId="24802" xr:uid="{EF73AC7B-ED49-4566-A6D3-9A9EAE01002F}"/>
    <cellStyle name="20% - Accent6 7 2 2 3" xfId="16368" xr:uid="{5827BD0E-4CAE-456B-A9C0-1F83BB7356F8}"/>
    <cellStyle name="20% - Accent6 7 2 3" xfId="20585" xr:uid="{BAD78E1F-5D0B-4700-9086-E024E51BEFDD}"/>
    <cellStyle name="20% - Accent6 7 2 4" xfId="12151" xr:uid="{7FCAD500-C859-46DD-8BD7-8FB4180D0FB4}"/>
    <cellStyle name="20% - Accent6 7 3" xfId="5785" xr:uid="{00000000-0005-0000-0000-0000B9030000}"/>
    <cellStyle name="20% - Accent6 7 3 2" xfId="22657" xr:uid="{4B7AC1C5-5732-4078-B6D6-58214AB2CC92}"/>
    <cellStyle name="20% - Accent6 7 3 3" xfId="14223" xr:uid="{E78C74D6-4D33-4294-81A1-D153201B5490}"/>
    <cellStyle name="20% - Accent6 7 4" xfId="18440" xr:uid="{2E9B9284-115E-4E10-AC10-9C3739AA07FB}"/>
    <cellStyle name="20% - Accent6 7 5" xfId="10006" xr:uid="{B18AE797-45B1-4A3E-98A6-6D98117AB8CE}"/>
    <cellStyle name="20% - Accent6 8" xfId="1891" xr:uid="{00000000-0005-0000-0000-0000BA030000}"/>
    <cellStyle name="20% - Accent6 8 2" xfId="4120" xr:uid="{00000000-0005-0000-0000-0000BB030000}"/>
    <cellStyle name="20% - Accent6 8 2 2" xfId="8343" xr:uid="{00000000-0005-0000-0000-0000BC030000}"/>
    <cellStyle name="20% - Accent6 8 2 2 2" xfId="25215" xr:uid="{B97BC72F-EBBC-4A52-A142-CDA59C0B0286}"/>
    <cellStyle name="20% - Accent6 8 2 2 3" xfId="16781" xr:uid="{6AE10A11-4B29-4693-B4E5-300FD7398204}"/>
    <cellStyle name="20% - Accent6 8 2 3" xfId="20998" xr:uid="{0966476D-125B-4DEA-9978-F7DC4D1D9A30}"/>
    <cellStyle name="20% - Accent6 8 2 4" xfId="12564" xr:uid="{4DFA621C-613A-42F5-912C-91FA02A9772E}"/>
    <cellStyle name="20% - Accent6 8 3" xfId="6198" xr:uid="{00000000-0005-0000-0000-0000BD030000}"/>
    <cellStyle name="20% - Accent6 8 3 2" xfId="23070" xr:uid="{B0DA18D5-BE42-445A-9499-35D809C270D4}"/>
    <cellStyle name="20% - Accent6 8 3 3" xfId="14636" xr:uid="{28235A69-0C3B-47CC-BCEE-C95604FCE7C6}"/>
    <cellStyle name="20% - Accent6 8 4" xfId="18853" xr:uid="{990E2801-9BB6-4858-8B07-AC99E231A0BD}"/>
    <cellStyle name="20% - Accent6 8 5" xfId="10419" xr:uid="{365EAFAB-D3FE-4A08-91C6-36DECEFCF07A}"/>
    <cellStyle name="20% - Accent6 9" xfId="2304" xr:uid="{00000000-0005-0000-0000-0000BE030000}"/>
    <cellStyle name="20% - Accent6 9 2" xfId="6611" xr:uid="{00000000-0005-0000-0000-0000BF030000}"/>
    <cellStyle name="20% - Accent6 9 2 2" xfId="23483" xr:uid="{A382C201-BF3E-4D12-A22A-00F2F0F32C1A}"/>
    <cellStyle name="20% - Accent6 9 2 3" xfId="15049" xr:uid="{4D81EBA2-7904-4D3F-B326-941E3A7E9F39}"/>
    <cellStyle name="20% - Accent6 9 3" xfId="19266" xr:uid="{34599961-8316-49E6-8CBA-61D669B6CD3E}"/>
    <cellStyle name="20% - Accent6 9 4" xfId="10832" xr:uid="{EAC10ACC-BE1B-4FAB-9878-2783D5766CA6}"/>
    <cellStyle name="40% - Accent1" xfId="49" builtinId="31" customBuiltin="1"/>
    <cellStyle name="40% - Accent1 10" xfId="4553" xr:uid="{00000000-0005-0000-0000-0000C1030000}"/>
    <cellStyle name="40% - Accent1 10 2" xfId="21425" xr:uid="{EB8F26D4-37A0-4435-97B1-F19E69281C54}"/>
    <cellStyle name="40% - Accent1 10 3" xfId="12991" xr:uid="{614990C8-AE57-46F3-868F-29D7D23A44F0}"/>
    <cellStyle name="40% - Accent1 11" xfId="17208" xr:uid="{70A7E5A8-8DF5-45CA-911D-E9E0A7C3D80F}"/>
    <cellStyle name="40% - Accent1 12" xfId="8774" xr:uid="{48F6D763-1482-4A0A-BC0A-D10812D16CB3}"/>
    <cellStyle name="40% - Accent1 2" xfId="50" xr:uid="{00000000-0005-0000-0000-0000C2030000}"/>
    <cellStyle name="40% - Accent1 2 10" xfId="17209" xr:uid="{DA375957-BB20-4369-9E87-7E2CAA8DA2A4}"/>
    <cellStyle name="40% - Accent1 2 11" xfId="8775" xr:uid="{24567E97-1372-4A89-A299-D1A949125267}"/>
    <cellStyle name="40% - Accent1 2 2" xfId="51" xr:uid="{00000000-0005-0000-0000-0000C3030000}"/>
    <cellStyle name="40% - Accent1 2 2 10" xfId="8776" xr:uid="{22031980-D203-4BDB-848B-8B1FBCFECC86}"/>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23987" xr:uid="{C9A162A4-A47D-411B-952E-EEAF3F99ABBE}"/>
    <cellStyle name="40% - Accent1 2 2 2 2 2 2 3" xfId="15553" xr:uid="{3C9996B7-DB1A-4F17-9952-03AD897AC42F}"/>
    <cellStyle name="40% - Accent1 2 2 2 2 2 3" xfId="19770" xr:uid="{879A55FF-C22A-4AEA-9711-F53944D87E12}"/>
    <cellStyle name="40% - Accent1 2 2 2 2 2 4" xfId="11336" xr:uid="{43DD3311-3860-45B7-9FEC-19F7D47BB513}"/>
    <cellStyle name="40% - Accent1 2 2 2 2 3" xfId="4970" xr:uid="{00000000-0005-0000-0000-0000C8030000}"/>
    <cellStyle name="40% - Accent1 2 2 2 2 3 2" xfId="21842" xr:uid="{F3BDD828-AD1D-4C1E-B329-A65788CD8074}"/>
    <cellStyle name="40% - Accent1 2 2 2 2 3 3" xfId="13408" xr:uid="{7C5DB35E-03B7-4E8A-B948-FEB533CABA7B}"/>
    <cellStyle name="40% - Accent1 2 2 2 2 4" xfId="17625" xr:uid="{0B3E8CB8-842B-4FC4-9F94-18D168349DEC}"/>
    <cellStyle name="40% - Accent1 2 2 2 2 5" xfId="9191" xr:uid="{4DD17BDB-5BA2-4732-B8D3-A3CDBAA581E6}"/>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24400" xr:uid="{204E4928-FF03-40B5-A551-037FA0FDB3F5}"/>
    <cellStyle name="40% - Accent1 2 2 2 3 2 2 3" xfId="15966" xr:uid="{0378CA78-16B6-45D0-A802-6C885D7415A4}"/>
    <cellStyle name="40% - Accent1 2 2 2 3 2 3" xfId="20183" xr:uid="{FE004896-E833-40B3-B229-051577F5CEDA}"/>
    <cellStyle name="40% - Accent1 2 2 2 3 2 4" xfId="11749" xr:uid="{FBE07450-E102-4102-86BF-552F37F569B5}"/>
    <cellStyle name="40% - Accent1 2 2 2 3 3" xfId="5383" xr:uid="{00000000-0005-0000-0000-0000CC030000}"/>
    <cellStyle name="40% - Accent1 2 2 2 3 3 2" xfId="22255" xr:uid="{0F09D997-5A15-48B5-BF59-F7E8EC2B2DBE}"/>
    <cellStyle name="40% - Accent1 2 2 2 3 3 3" xfId="13821" xr:uid="{5A2EF21E-7B93-4EC4-8294-B9B8829084B7}"/>
    <cellStyle name="40% - Accent1 2 2 2 3 4" xfId="18038" xr:uid="{0DE20833-DF37-4F40-AEAB-373696DFA406}"/>
    <cellStyle name="40% - Accent1 2 2 2 3 5" xfId="9604" xr:uid="{6591F458-3867-4C98-B97A-7740928309C4}"/>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24813" xr:uid="{27E490E3-FF31-4CDF-A1AE-22C0F74F76F9}"/>
    <cellStyle name="40% - Accent1 2 2 2 4 2 2 3" xfId="16379" xr:uid="{65AE9EFC-3F65-4F21-B834-0EDA829DE45F}"/>
    <cellStyle name="40% - Accent1 2 2 2 4 2 3" xfId="20596" xr:uid="{183F2F95-1BCA-426B-89F5-94361D9B3E80}"/>
    <cellStyle name="40% - Accent1 2 2 2 4 2 4" xfId="12162" xr:uid="{4A79A985-5A46-4266-83C5-0B395AF36412}"/>
    <cellStyle name="40% - Accent1 2 2 2 4 3" xfId="5796" xr:uid="{00000000-0005-0000-0000-0000D0030000}"/>
    <cellStyle name="40% - Accent1 2 2 2 4 3 2" xfId="22668" xr:uid="{29E041FA-0745-4E94-A315-82F95730FB37}"/>
    <cellStyle name="40% - Accent1 2 2 2 4 3 3" xfId="14234" xr:uid="{BC63146E-A9EA-40B7-B05E-3656730B527F}"/>
    <cellStyle name="40% - Accent1 2 2 2 4 4" xfId="18451" xr:uid="{E18B84A8-6B19-4DFE-A260-FC6BC70E8570}"/>
    <cellStyle name="40% - Accent1 2 2 2 4 5" xfId="10017" xr:uid="{885A75E1-3041-4E81-8453-EB2D1434B3B2}"/>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25226" xr:uid="{123446EC-51C9-45D6-9C94-0999C6A34043}"/>
    <cellStyle name="40% - Accent1 2 2 2 5 2 2 3" xfId="16792" xr:uid="{642E2B6B-063A-4C1A-9A33-173CC71106E8}"/>
    <cellStyle name="40% - Accent1 2 2 2 5 2 3" xfId="21009" xr:uid="{D5D6088C-51F1-4BC7-B417-3D05C12AEBE9}"/>
    <cellStyle name="40% - Accent1 2 2 2 5 2 4" xfId="12575" xr:uid="{57E731AA-C515-48E9-A64D-9722D6F5FCF6}"/>
    <cellStyle name="40% - Accent1 2 2 2 5 3" xfId="6209" xr:uid="{00000000-0005-0000-0000-0000D4030000}"/>
    <cellStyle name="40% - Accent1 2 2 2 5 3 2" xfId="23081" xr:uid="{95505E1E-3A72-47A1-A194-A37C7EEEADD8}"/>
    <cellStyle name="40% - Accent1 2 2 2 5 3 3" xfId="14647" xr:uid="{C736CFBF-7304-4EAC-895B-32A0DA44C7C1}"/>
    <cellStyle name="40% - Accent1 2 2 2 5 4" xfId="18864" xr:uid="{483D5985-5271-4292-8811-1B0062BFFFCD}"/>
    <cellStyle name="40% - Accent1 2 2 2 5 5" xfId="10430" xr:uid="{C3330C37-D718-447B-8E64-AA96A62D05DC}"/>
    <cellStyle name="40% - Accent1 2 2 2 6" xfId="2315" xr:uid="{00000000-0005-0000-0000-0000D5030000}"/>
    <cellStyle name="40% - Accent1 2 2 2 6 2" xfId="6622" xr:uid="{00000000-0005-0000-0000-0000D6030000}"/>
    <cellStyle name="40% - Accent1 2 2 2 6 2 2" xfId="23494" xr:uid="{24E14A85-D1C4-471F-857C-3CCFDFB17BF5}"/>
    <cellStyle name="40% - Accent1 2 2 2 6 2 3" xfId="15060" xr:uid="{FBBF63A6-7DAA-4255-BD50-20BCB2715513}"/>
    <cellStyle name="40% - Accent1 2 2 2 6 3" xfId="19277" xr:uid="{754D9826-A5BD-4A4B-A27B-D4241649EC12}"/>
    <cellStyle name="40% - Accent1 2 2 2 6 4" xfId="10843" xr:uid="{58835D6F-FDC8-4713-95F1-F312AD2B8645}"/>
    <cellStyle name="40% - Accent1 2 2 2 7" xfId="4556" xr:uid="{00000000-0005-0000-0000-0000D7030000}"/>
    <cellStyle name="40% - Accent1 2 2 2 7 2" xfId="21428" xr:uid="{3CF38BE3-1BAA-4B45-8923-D4BC2A836762}"/>
    <cellStyle name="40% - Accent1 2 2 2 7 3" xfId="12994" xr:uid="{043D428E-E95B-4224-8E95-ED669686E0D7}"/>
    <cellStyle name="40% - Accent1 2 2 2 8" xfId="17211" xr:uid="{A9182577-B871-44BD-84F8-436869FFF3F6}"/>
    <cellStyle name="40% - Accent1 2 2 2 9" xfId="8777" xr:uid="{90C67E26-7A69-4BF7-BA05-B480C776FD68}"/>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23986" xr:uid="{B2E08AF0-13D0-4BB5-86DF-029ECE497658}"/>
    <cellStyle name="40% - Accent1 2 2 3 2 2 3" xfId="15552" xr:uid="{295FEC10-912B-4ECF-A3BF-0E732EE84F00}"/>
    <cellStyle name="40% - Accent1 2 2 3 2 3" xfId="19769" xr:uid="{142D7F38-1098-45D7-A9EE-54BBD374FD7B}"/>
    <cellStyle name="40% - Accent1 2 2 3 2 4" xfId="11335" xr:uid="{6827687F-6FC2-4B25-9A49-B2A4E8B0EE7A}"/>
    <cellStyle name="40% - Accent1 2 2 3 3" xfId="4969" xr:uid="{00000000-0005-0000-0000-0000DB030000}"/>
    <cellStyle name="40% - Accent1 2 2 3 3 2" xfId="21841" xr:uid="{CF6E282D-6D3D-4D44-A9E1-FCAB6354D36E}"/>
    <cellStyle name="40% - Accent1 2 2 3 3 3" xfId="13407" xr:uid="{5C5972A4-703F-4691-84E3-6BF84420400A}"/>
    <cellStyle name="40% - Accent1 2 2 3 4" xfId="17624" xr:uid="{683A53E2-B28D-48C8-AB59-1292E77BBB85}"/>
    <cellStyle name="40% - Accent1 2 2 3 5" xfId="9190" xr:uid="{88C208A0-FD6A-4CF4-95BE-686E35AF687E}"/>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24399" xr:uid="{E2CABC4D-9894-4DDA-A310-9B1B3298EC13}"/>
    <cellStyle name="40% - Accent1 2 2 4 2 2 3" xfId="15965" xr:uid="{08F34234-242E-40E1-8628-232609B80DA3}"/>
    <cellStyle name="40% - Accent1 2 2 4 2 3" xfId="20182" xr:uid="{72724BE8-FE0B-4135-B469-265A31ED46AD}"/>
    <cellStyle name="40% - Accent1 2 2 4 2 4" xfId="11748" xr:uid="{362E362B-BC77-4FE0-826A-260FA9B6F3CE}"/>
    <cellStyle name="40% - Accent1 2 2 4 3" xfId="5382" xr:uid="{00000000-0005-0000-0000-0000DF030000}"/>
    <cellStyle name="40% - Accent1 2 2 4 3 2" xfId="22254" xr:uid="{2BDA487F-7C55-4D9D-96FF-82DE192B708F}"/>
    <cellStyle name="40% - Accent1 2 2 4 3 3" xfId="13820" xr:uid="{6877044E-5694-4F4C-98F7-0EE9A59FFCEA}"/>
    <cellStyle name="40% - Accent1 2 2 4 4" xfId="18037" xr:uid="{F9A6C743-DC04-4C95-91C2-5A3A2486C13F}"/>
    <cellStyle name="40% - Accent1 2 2 4 5" xfId="9603" xr:uid="{034EA8F5-F0A8-4370-AD00-521E81F250B6}"/>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24812" xr:uid="{776FD175-E826-486A-9AE7-598A881360EA}"/>
    <cellStyle name="40% - Accent1 2 2 5 2 2 3" xfId="16378" xr:uid="{013BF06A-20C5-4368-8D1A-80F518D7BC72}"/>
    <cellStyle name="40% - Accent1 2 2 5 2 3" xfId="20595" xr:uid="{60375BA8-236F-4A70-ACB9-0714F235BF3D}"/>
    <cellStyle name="40% - Accent1 2 2 5 2 4" xfId="12161" xr:uid="{96C1CF1A-B299-40A9-879E-B5FB235480BF}"/>
    <cellStyle name="40% - Accent1 2 2 5 3" xfId="5795" xr:uid="{00000000-0005-0000-0000-0000E3030000}"/>
    <cellStyle name="40% - Accent1 2 2 5 3 2" xfId="22667" xr:uid="{D8B8A918-DA4C-496C-A403-87A9EDD1BCF0}"/>
    <cellStyle name="40% - Accent1 2 2 5 3 3" xfId="14233" xr:uid="{3E1D380B-BC99-4AAB-964C-50298F5A655F}"/>
    <cellStyle name="40% - Accent1 2 2 5 4" xfId="18450" xr:uid="{D4B5CFAA-8BC5-4B3E-A9E6-18147757AE00}"/>
    <cellStyle name="40% - Accent1 2 2 5 5" xfId="10016" xr:uid="{3F7735E1-37BD-485D-BDA9-ABBC72A16CBA}"/>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25225" xr:uid="{1AE410D3-7860-4B57-9619-ED04CC490DD0}"/>
    <cellStyle name="40% - Accent1 2 2 6 2 2 3" xfId="16791" xr:uid="{349379F1-3F1D-49C4-9298-390D3B87C3C4}"/>
    <cellStyle name="40% - Accent1 2 2 6 2 3" xfId="21008" xr:uid="{B41D8803-DAA1-4614-8DF0-EE8083C5453A}"/>
    <cellStyle name="40% - Accent1 2 2 6 2 4" xfId="12574" xr:uid="{64E14A6F-A4E1-4F33-8319-4ECE03FD56F1}"/>
    <cellStyle name="40% - Accent1 2 2 6 3" xfId="6208" xr:uid="{00000000-0005-0000-0000-0000E7030000}"/>
    <cellStyle name="40% - Accent1 2 2 6 3 2" xfId="23080" xr:uid="{249678B0-7D36-44D8-AA9B-2EA66B7B8889}"/>
    <cellStyle name="40% - Accent1 2 2 6 3 3" xfId="14646" xr:uid="{E3BA5339-9D10-4A3E-AE7A-90F3B498BB18}"/>
    <cellStyle name="40% - Accent1 2 2 6 4" xfId="18863" xr:uid="{3FDAE5AB-55F4-437D-93D7-4DD2EF297A4F}"/>
    <cellStyle name="40% - Accent1 2 2 6 5" xfId="10429" xr:uid="{8B329136-EC71-41A9-B283-892903E63EE9}"/>
    <cellStyle name="40% - Accent1 2 2 7" xfId="2314" xr:uid="{00000000-0005-0000-0000-0000E8030000}"/>
    <cellStyle name="40% - Accent1 2 2 7 2" xfId="6621" xr:uid="{00000000-0005-0000-0000-0000E9030000}"/>
    <cellStyle name="40% - Accent1 2 2 7 2 2" xfId="23493" xr:uid="{70177532-AEB6-4886-81ED-B4BACAD2E5E7}"/>
    <cellStyle name="40% - Accent1 2 2 7 2 3" xfId="15059" xr:uid="{9F3AB6AB-A457-4AE5-A86B-4796D21B5442}"/>
    <cellStyle name="40% - Accent1 2 2 7 3" xfId="19276" xr:uid="{18DD7680-A13A-476E-A5CF-87BD300BAEC3}"/>
    <cellStyle name="40% - Accent1 2 2 7 4" xfId="10842" xr:uid="{5F4FFCAF-BC62-46DA-AEFE-AD1CA0A8E006}"/>
    <cellStyle name="40% - Accent1 2 2 8" xfId="4555" xr:uid="{00000000-0005-0000-0000-0000EA030000}"/>
    <cellStyle name="40% - Accent1 2 2 8 2" xfId="21427" xr:uid="{066D5466-1F4D-40DA-A2F3-3F391031E759}"/>
    <cellStyle name="40% - Accent1 2 2 8 3" xfId="12993" xr:uid="{EFC7BC42-053A-4318-9576-6B865CE273CE}"/>
    <cellStyle name="40% - Accent1 2 2 9" xfId="17210" xr:uid="{09C52281-C2EE-4253-9D21-867A704F422D}"/>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23988" xr:uid="{EC86B32D-514D-40B0-AB82-8FB0F335E363}"/>
    <cellStyle name="40% - Accent1 2 3 2 2 2 3" xfId="15554" xr:uid="{11EEE5C7-8381-4132-9ACF-382AF28914B3}"/>
    <cellStyle name="40% - Accent1 2 3 2 2 3" xfId="19771" xr:uid="{C4DCCFA4-7591-4014-9731-DEEFAF96CC7F}"/>
    <cellStyle name="40% - Accent1 2 3 2 2 4" xfId="11337" xr:uid="{EBBA8E5B-8585-47C9-BD3D-CF1A0AD3567A}"/>
    <cellStyle name="40% - Accent1 2 3 2 3" xfId="4971" xr:uid="{00000000-0005-0000-0000-0000EF030000}"/>
    <cellStyle name="40% - Accent1 2 3 2 3 2" xfId="21843" xr:uid="{0C5891A6-DC96-4EE5-B193-3D2FBEBC5891}"/>
    <cellStyle name="40% - Accent1 2 3 2 3 3" xfId="13409" xr:uid="{EC0BEF69-9C1E-4262-BA8B-801126630A62}"/>
    <cellStyle name="40% - Accent1 2 3 2 4" xfId="17626" xr:uid="{94DBFB01-1D3E-4AF3-85B2-FEB7D0626A4E}"/>
    <cellStyle name="40% - Accent1 2 3 2 5" xfId="9192" xr:uid="{5FD3F466-3F25-49B9-BA6B-673D5ED44068}"/>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24401" xr:uid="{5429F4BD-C1E7-4E99-A0D8-E298D814DEC3}"/>
    <cellStyle name="40% - Accent1 2 3 3 2 2 3" xfId="15967" xr:uid="{0DB76836-7CF5-4C62-B8CB-616DE9656D1D}"/>
    <cellStyle name="40% - Accent1 2 3 3 2 3" xfId="20184" xr:uid="{E380CEB1-9BDC-4F6D-9DBC-5346B6078755}"/>
    <cellStyle name="40% - Accent1 2 3 3 2 4" xfId="11750" xr:uid="{95C47AE4-30DA-4833-91A2-D22A922BE240}"/>
    <cellStyle name="40% - Accent1 2 3 3 3" xfId="5384" xr:uid="{00000000-0005-0000-0000-0000F3030000}"/>
    <cellStyle name="40% - Accent1 2 3 3 3 2" xfId="22256" xr:uid="{1B39ECED-BA9B-499D-939F-7ABE06932431}"/>
    <cellStyle name="40% - Accent1 2 3 3 3 3" xfId="13822" xr:uid="{7E0CED6D-7B73-4E63-9695-229F6B2E4DD6}"/>
    <cellStyle name="40% - Accent1 2 3 3 4" xfId="18039" xr:uid="{ED50F432-5A90-4A8E-A6EE-0600A065F89E}"/>
    <cellStyle name="40% - Accent1 2 3 3 5" xfId="9605" xr:uid="{7D900E8A-D0CA-481F-963F-939AC040BE81}"/>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24814" xr:uid="{AC087AE2-CA7E-49B9-9640-5AD8880790BF}"/>
    <cellStyle name="40% - Accent1 2 3 4 2 2 3" xfId="16380" xr:uid="{8D911471-5A33-4AC8-AFE3-743D4DC17842}"/>
    <cellStyle name="40% - Accent1 2 3 4 2 3" xfId="20597" xr:uid="{68856E89-90C2-4DDD-B734-41D15967A005}"/>
    <cellStyle name="40% - Accent1 2 3 4 2 4" xfId="12163" xr:uid="{F853EEBF-9EB5-4FE9-914E-6ED6237D5B80}"/>
    <cellStyle name="40% - Accent1 2 3 4 3" xfId="5797" xr:uid="{00000000-0005-0000-0000-0000F7030000}"/>
    <cellStyle name="40% - Accent1 2 3 4 3 2" xfId="22669" xr:uid="{CA7F8AE3-13EC-481F-9A44-D19756A7D5F7}"/>
    <cellStyle name="40% - Accent1 2 3 4 3 3" xfId="14235" xr:uid="{FEB1E6E8-11E5-4852-9D7B-785AD0739B3F}"/>
    <cellStyle name="40% - Accent1 2 3 4 4" xfId="18452" xr:uid="{EE76A487-83AA-477E-A53C-E8893396B764}"/>
    <cellStyle name="40% - Accent1 2 3 4 5" xfId="10018" xr:uid="{55996006-037B-4267-9CAB-8C309F784061}"/>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25227" xr:uid="{6FA5C654-89F5-404F-9CF1-3BC562D70877}"/>
    <cellStyle name="40% - Accent1 2 3 5 2 2 3" xfId="16793" xr:uid="{8CD63446-C17A-47D4-BE55-62CCD55530F2}"/>
    <cellStyle name="40% - Accent1 2 3 5 2 3" xfId="21010" xr:uid="{E694B8F6-1252-4B62-998F-9269C22B1648}"/>
    <cellStyle name="40% - Accent1 2 3 5 2 4" xfId="12576" xr:uid="{E5452B09-822B-4BAD-A45C-8429F735EE7F}"/>
    <cellStyle name="40% - Accent1 2 3 5 3" xfId="6210" xr:uid="{00000000-0005-0000-0000-0000FB030000}"/>
    <cellStyle name="40% - Accent1 2 3 5 3 2" xfId="23082" xr:uid="{0CCFBD13-FF51-4429-BC70-7B81C041F5BE}"/>
    <cellStyle name="40% - Accent1 2 3 5 3 3" xfId="14648" xr:uid="{845E595F-3C36-4F33-92A0-6101881B077A}"/>
    <cellStyle name="40% - Accent1 2 3 5 4" xfId="18865" xr:uid="{5A8509B9-CE3A-4FA7-AA1D-D378F9E35054}"/>
    <cellStyle name="40% - Accent1 2 3 5 5" xfId="10431" xr:uid="{0F5661A5-2B7A-4A7A-859B-0CDB8424067C}"/>
    <cellStyle name="40% - Accent1 2 3 6" xfId="2316" xr:uid="{00000000-0005-0000-0000-0000FC030000}"/>
    <cellStyle name="40% - Accent1 2 3 6 2" xfId="6623" xr:uid="{00000000-0005-0000-0000-0000FD030000}"/>
    <cellStyle name="40% - Accent1 2 3 6 2 2" xfId="23495" xr:uid="{1CB8B95D-43F3-45C7-B149-2E63C04B3194}"/>
    <cellStyle name="40% - Accent1 2 3 6 2 3" xfId="15061" xr:uid="{545D02D2-3A62-49CE-BF6C-AAE4C2B707AA}"/>
    <cellStyle name="40% - Accent1 2 3 6 3" xfId="19278" xr:uid="{8AE28F19-0805-415F-9006-0AA3D7E4CC95}"/>
    <cellStyle name="40% - Accent1 2 3 6 4" xfId="10844" xr:uid="{D6496431-95D4-45AD-B5A4-C6C2B549F82C}"/>
    <cellStyle name="40% - Accent1 2 3 7" xfId="4557" xr:uid="{00000000-0005-0000-0000-0000FE030000}"/>
    <cellStyle name="40% - Accent1 2 3 7 2" xfId="21429" xr:uid="{99DCE8D6-E65E-48B4-9362-62A9D14D4775}"/>
    <cellStyle name="40% - Accent1 2 3 7 3" xfId="12995" xr:uid="{2191B4F0-552C-44B5-90C0-7B405FFB4EE2}"/>
    <cellStyle name="40% - Accent1 2 3 8" xfId="17212" xr:uid="{05C35F57-1760-446F-9BBD-37885F5D8286}"/>
    <cellStyle name="40% - Accent1 2 3 9" xfId="8778" xr:uid="{EE52DD11-0509-4B8F-A3D7-54A3154EA649}"/>
    <cellStyle name="40% - Accent1 2 4" xfId="619" xr:uid="{00000000-0005-0000-0000-0000FF030000}"/>
    <cellStyle name="40% - Accent1 2 4 2" xfId="2890" xr:uid="{00000000-0005-0000-0000-000000040000}"/>
    <cellStyle name="40% - Accent1 2 4 2 2" xfId="7113" xr:uid="{00000000-0005-0000-0000-000001040000}"/>
    <cellStyle name="40% - Accent1 2 4 2 2 2" xfId="23985" xr:uid="{A9C437DF-4B58-4734-917B-C623BC727E9E}"/>
    <cellStyle name="40% - Accent1 2 4 2 2 3" xfId="15551" xr:uid="{CE889BC7-566C-4928-85B1-672160CA858B}"/>
    <cellStyle name="40% - Accent1 2 4 2 3" xfId="19768" xr:uid="{D02F6D87-C653-427F-B86C-379DD45D678B}"/>
    <cellStyle name="40% - Accent1 2 4 2 4" xfId="11334" xr:uid="{EAD50CED-7156-4CA8-8D77-262C9FF7AFDC}"/>
    <cellStyle name="40% - Accent1 2 4 3" xfId="4968" xr:uid="{00000000-0005-0000-0000-000002040000}"/>
    <cellStyle name="40% - Accent1 2 4 3 2" xfId="21840" xr:uid="{8C93C0F0-08BC-41C2-B1AA-E463DE37CAED}"/>
    <cellStyle name="40% - Accent1 2 4 3 3" xfId="13406" xr:uid="{8EDB3A06-5F74-40A2-9FBA-593F036D2363}"/>
    <cellStyle name="40% - Accent1 2 4 4" xfId="17623" xr:uid="{C5BBB3CD-AC80-49C3-BF6E-823B5CE24B32}"/>
    <cellStyle name="40% - Accent1 2 4 5" xfId="9189" xr:uid="{021592AB-568A-4FD5-96E0-79219719D257}"/>
    <cellStyle name="40% - Accent1 2 5" xfId="1072" xr:uid="{00000000-0005-0000-0000-000003040000}"/>
    <cellStyle name="40% - Accent1 2 5 2" xfId="3303" xr:uid="{00000000-0005-0000-0000-000004040000}"/>
    <cellStyle name="40% - Accent1 2 5 2 2" xfId="7526" xr:uid="{00000000-0005-0000-0000-000005040000}"/>
    <cellStyle name="40% - Accent1 2 5 2 2 2" xfId="24398" xr:uid="{D2C19803-44A4-42A5-B399-66D8A8C6BCE5}"/>
    <cellStyle name="40% - Accent1 2 5 2 2 3" xfId="15964" xr:uid="{9408AE6F-0646-438D-B040-D3FF881A99E1}"/>
    <cellStyle name="40% - Accent1 2 5 2 3" xfId="20181" xr:uid="{A74C7F18-22B7-4E6A-A12F-991C76A09BC9}"/>
    <cellStyle name="40% - Accent1 2 5 2 4" xfId="11747" xr:uid="{282018E1-D623-4314-9F29-B34BF9395D9F}"/>
    <cellStyle name="40% - Accent1 2 5 3" xfId="5381" xr:uid="{00000000-0005-0000-0000-000006040000}"/>
    <cellStyle name="40% - Accent1 2 5 3 2" xfId="22253" xr:uid="{0DC3A8EB-A0D9-4BAC-BD7A-575B8D554FFA}"/>
    <cellStyle name="40% - Accent1 2 5 3 3" xfId="13819" xr:uid="{764F6931-117B-43FD-AF43-2DB91E7C5DFD}"/>
    <cellStyle name="40% - Accent1 2 5 4" xfId="18036" xr:uid="{B56734FE-8266-465F-878F-5FB6DF3DAA39}"/>
    <cellStyle name="40% - Accent1 2 5 5" xfId="9602" xr:uid="{715807BA-7CDC-4341-89E7-2E5416753C04}"/>
    <cellStyle name="40% - Accent1 2 6" xfId="1486" xr:uid="{00000000-0005-0000-0000-000007040000}"/>
    <cellStyle name="40% - Accent1 2 6 2" xfId="3716" xr:uid="{00000000-0005-0000-0000-000008040000}"/>
    <cellStyle name="40% - Accent1 2 6 2 2" xfId="7939" xr:uid="{00000000-0005-0000-0000-000009040000}"/>
    <cellStyle name="40% - Accent1 2 6 2 2 2" xfId="24811" xr:uid="{9D402A7D-F727-473D-A94F-5132681DA2F8}"/>
    <cellStyle name="40% - Accent1 2 6 2 2 3" xfId="16377" xr:uid="{0DD6AB23-5225-468B-8FBA-1825D2229919}"/>
    <cellStyle name="40% - Accent1 2 6 2 3" xfId="20594" xr:uid="{1B858A3D-302D-4DA9-8EA7-177324F4C4C9}"/>
    <cellStyle name="40% - Accent1 2 6 2 4" xfId="12160" xr:uid="{3AB81EDE-5922-4670-94DF-E028B848860C}"/>
    <cellStyle name="40% - Accent1 2 6 3" xfId="5794" xr:uid="{00000000-0005-0000-0000-00000A040000}"/>
    <cellStyle name="40% - Accent1 2 6 3 2" xfId="22666" xr:uid="{9B11171F-7057-43C4-A467-6C89181059DF}"/>
    <cellStyle name="40% - Accent1 2 6 3 3" xfId="14232" xr:uid="{84802CED-A648-4B54-90D4-1406841942C6}"/>
    <cellStyle name="40% - Accent1 2 6 4" xfId="18449" xr:uid="{FEB328AE-1DD4-477A-A2E7-1019BD347EC0}"/>
    <cellStyle name="40% - Accent1 2 6 5" xfId="10015" xr:uid="{62DF2C95-8482-49EA-8808-87F95F6E4B90}"/>
    <cellStyle name="40% - Accent1 2 7" xfId="1900" xr:uid="{00000000-0005-0000-0000-00000B040000}"/>
    <cellStyle name="40% - Accent1 2 7 2" xfId="4129" xr:uid="{00000000-0005-0000-0000-00000C040000}"/>
    <cellStyle name="40% - Accent1 2 7 2 2" xfId="8352" xr:uid="{00000000-0005-0000-0000-00000D040000}"/>
    <cellStyle name="40% - Accent1 2 7 2 2 2" xfId="25224" xr:uid="{E5ACFA35-52F2-4244-8DAE-5A975EBF57D7}"/>
    <cellStyle name="40% - Accent1 2 7 2 2 3" xfId="16790" xr:uid="{9F3C1741-DEF7-42DE-9C8C-345A98343AB7}"/>
    <cellStyle name="40% - Accent1 2 7 2 3" xfId="21007" xr:uid="{F9619BA8-1403-4DD3-BFA3-500748D3AB28}"/>
    <cellStyle name="40% - Accent1 2 7 2 4" xfId="12573" xr:uid="{34B39113-4502-4593-A704-D142157E51DF}"/>
    <cellStyle name="40% - Accent1 2 7 3" xfId="6207" xr:uid="{00000000-0005-0000-0000-00000E040000}"/>
    <cellStyle name="40% - Accent1 2 7 3 2" xfId="23079" xr:uid="{7A300A13-1F66-43AA-8BA8-2552BDEB7685}"/>
    <cellStyle name="40% - Accent1 2 7 3 3" xfId="14645" xr:uid="{E2B5894D-AEA2-420A-8834-F5F2D1B80A68}"/>
    <cellStyle name="40% - Accent1 2 7 4" xfId="18862" xr:uid="{D9DCA2A4-F2AD-4D12-AF59-0B495A2C8A22}"/>
    <cellStyle name="40% - Accent1 2 7 5" xfId="10428" xr:uid="{6FC70100-125F-40C8-8871-6F072B868137}"/>
    <cellStyle name="40% - Accent1 2 8" xfId="2313" xr:uid="{00000000-0005-0000-0000-00000F040000}"/>
    <cellStyle name="40% - Accent1 2 8 2" xfId="6620" xr:uid="{00000000-0005-0000-0000-000010040000}"/>
    <cellStyle name="40% - Accent1 2 8 2 2" xfId="23492" xr:uid="{0FAF5445-0A78-494E-AD0F-1A5C7630B58E}"/>
    <cellStyle name="40% - Accent1 2 8 2 3" xfId="15058" xr:uid="{8132A947-E45D-454C-AAF6-B8C4530DF6AA}"/>
    <cellStyle name="40% - Accent1 2 8 3" xfId="19275" xr:uid="{C29D4715-0D79-4F1D-9300-A6FB33701795}"/>
    <cellStyle name="40% - Accent1 2 8 4" xfId="10841" xr:uid="{89BD3244-69C2-4A6A-A6F2-287E1F73E758}"/>
    <cellStyle name="40% - Accent1 2 9" xfId="4554" xr:uid="{00000000-0005-0000-0000-000011040000}"/>
    <cellStyle name="40% - Accent1 2 9 2" xfId="21426" xr:uid="{60C4B76C-9079-49A3-A6D2-21E0ED3B6A72}"/>
    <cellStyle name="40% - Accent1 2 9 3" xfId="12992" xr:uid="{9E9CE7B0-9877-43C9-A630-41CA08FD89FE}"/>
    <cellStyle name="40% - Accent1 3" xfId="54" xr:uid="{00000000-0005-0000-0000-000012040000}"/>
    <cellStyle name="40% - Accent1 3 10" xfId="8779" xr:uid="{0A86AF07-7C94-431F-9400-0BBD3548DEBD}"/>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23990" xr:uid="{BDC145A2-6E4E-4490-B402-2C56F8518528}"/>
    <cellStyle name="40% - Accent1 3 2 2 2 2 3" xfId="15556" xr:uid="{7FB85E80-3FC6-4D43-836A-58B5C09E603E}"/>
    <cellStyle name="40% - Accent1 3 2 2 2 3" xfId="19773" xr:uid="{874B0DAA-9F1B-423A-B326-4F907BC8283E}"/>
    <cellStyle name="40% - Accent1 3 2 2 2 4" xfId="11339" xr:uid="{2AD27B42-CA6E-4B1D-9BE5-9CE66B90FB5F}"/>
    <cellStyle name="40% - Accent1 3 2 2 3" xfId="4973" xr:uid="{00000000-0005-0000-0000-000017040000}"/>
    <cellStyle name="40% - Accent1 3 2 2 3 2" xfId="21845" xr:uid="{4ECB5B5A-87DD-4708-8682-CD7F99CD114D}"/>
    <cellStyle name="40% - Accent1 3 2 2 3 3" xfId="13411" xr:uid="{608B0A72-F0DE-4978-9862-5320F5E99357}"/>
    <cellStyle name="40% - Accent1 3 2 2 4" xfId="17628" xr:uid="{C54B4C78-A4FD-41B2-BD81-12272387FB79}"/>
    <cellStyle name="40% - Accent1 3 2 2 5" xfId="9194" xr:uid="{E6736BE6-5172-47D8-9684-95BBC535FD46}"/>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24403" xr:uid="{48B17389-CBF9-44A4-877E-DE57A0AA039D}"/>
    <cellStyle name="40% - Accent1 3 2 3 2 2 3" xfId="15969" xr:uid="{A274B161-1E80-4C0C-B7A9-822E237A35A0}"/>
    <cellStyle name="40% - Accent1 3 2 3 2 3" xfId="20186" xr:uid="{7A88D4DA-BC19-4737-8998-4D9BF89B4944}"/>
    <cellStyle name="40% - Accent1 3 2 3 2 4" xfId="11752" xr:uid="{40C001E1-C874-4B94-8C6F-D67B2223162A}"/>
    <cellStyle name="40% - Accent1 3 2 3 3" xfId="5386" xr:uid="{00000000-0005-0000-0000-00001B040000}"/>
    <cellStyle name="40% - Accent1 3 2 3 3 2" xfId="22258" xr:uid="{76E90DCC-77E1-411C-8D99-F414D7667A7B}"/>
    <cellStyle name="40% - Accent1 3 2 3 3 3" xfId="13824" xr:uid="{BB938E7D-6EE9-40FB-8048-56DFF1B33E37}"/>
    <cellStyle name="40% - Accent1 3 2 3 4" xfId="18041" xr:uid="{211C5A23-71D0-4D63-96D2-97FDA25F7A86}"/>
    <cellStyle name="40% - Accent1 3 2 3 5" xfId="9607" xr:uid="{DDE31952-6104-4FD8-B74A-DB27D5416BBC}"/>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24816" xr:uid="{35C105EE-32D6-45BD-AEB1-1421180828BB}"/>
    <cellStyle name="40% - Accent1 3 2 4 2 2 3" xfId="16382" xr:uid="{CCAB7F11-632E-40F5-9FDD-A787A7E7D64D}"/>
    <cellStyle name="40% - Accent1 3 2 4 2 3" xfId="20599" xr:uid="{AE046875-1D6C-4BF1-A415-5F0E31F6A497}"/>
    <cellStyle name="40% - Accent1 3 2 4 2 4" xfId="12165" xr:uid="{D3F3E76E-C343-418E-9EAB-4F6DE5B36615}"/>
    <cellStyle name="40% - Accent1 3 2 4 3" xfId="5799" xr:uid="{00000000-0005-0000-0000-00001F040000}"/>
    <cellStyle name="40% - Accent1 3 2 4 3 2" xfId="22671" xr:uid="{11E00A8E-94FC-4D30-B710-2BA8540B8A0B}"/>
    <cellStyle name="40% - Accent1 3 2 4 3 3" xfId="14237" xr:uid="{8F2C5898-5497-414E-9917-B03A46E99A81}"/>
    <cellStyle name="40% - Accent1 3 2 4 4" xfId="18454" xr:uid="{C5E8D3EE-96FB-45CE-82FB-230C3C077FD2}"/>
    <cellStyle name="40% - Accent1 3 2 4 5" xfId="10020" xr:uid="{E4466B44-4EC6-4FF8-AAE3-1536F617F42F}"/>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25229" xr:uid="{26C1AD4F-432E-484B-8010-2B975EF4E2B6}"/>
    <cellStyle name="40% - Accent1 3 2 5 2 2 3" xfId="16795" xr:uid="{AFE72BBF-3414-4AE0-BB03-DA815174284B}"/>
    <cellStyle name="40% - Accent1 3 2 5 2 3" xfId="21012" xr:uid="{97C48026-850A-4FAC-9DCB-B54AA57340C7}"/>
    <cellStyle name="40% - Accent1 3 2 5 2 4" xfId="12578" xr:uid="{E15E8FE0-D83E-4176-851E-A051C0B97EA9}"/>
    <cellStyle name="40% - Accent1 3 2 5 3" xfId="6212" xr:uid="{00000000-0005-0000-0000-000023040000}"/>
    <cellStyle name="40% - Accent1 3 2 5 3 2" xfId="23084" xr:uid="{BFAB060A-9AA6-47D4-A1EA-3D7FF25CC05E}"/>
    <cellStyle name="40% - Accent1 3 2 5 3 3" xfId="14650" xr:uid="{F3EED180-9438-4F84-91B8-D904F8E81869}"/>
    <cellStyle name="40% - Accent1 3 2 5 4" xfId="18867" xr:uid="{26704756-6987-4956-B4D2-F49EA840CC00}"/>
    <cellStyle name="40% - Accent1 3 2 5 5" xfId="10433" xr:uid="{0674EB19-5333-47CE-80B5-5C6E7E7BB233}"/>
    <cellStyle name="40% - Accent1 3 2 6" xfId="2318" xr:uid="{00000000-0005-0000-0000-000024040000}"/>
    <cellStyle name="40% - Accent1 3 2 6 2" xfId="6625" xr:uid="{00000000-0005-0000-0000-000025040000}"/>
    <cellStyle name="40% - Accent1 3 2 6 2 2" xfId="23497" xr:uid="{CD6BE0C1-929A-4348-AF51-021A6D0EA7B4}"/>
    <cellStyle name="40% - Accent1 3 2 6 2 3" xfId="15063" xr:uid="{B2F2A7DF-FC9D-4EAB-91EB-0CFFD18610C3}"/>
    <cellStyle name="40% - Accent1 3 2 6 3" xfId="19280" xr:uid="{CF5B5DA1-B08C-47A2-A02C-F21C1A8248E1}"/>
    <cellStyle name="40% - Accent1 3 2 6 4" xfId="10846" xr:uid="{0A3F9E58-31C9-41EB-B998-DDAF15037C49}"/>
    <cellStyle name="40% - Accent1 3 2 7" xfId="4559" xr:uid="{00000000-0005-0000-0000-000026040000}"/>
    <cellStyle name="40% - Accent1 3 2 7 2" xfId="21431" xr:uid="{D98C5894-4C9C-4099-BEAB-D927D4E5D0A4}"/>
    <cellStyle name="40% - Accent1 3 2 7 3" xfId="12997" xr:uid="{2BFAE64D-1AC6-4477-BF1A-2505D25E06F6}"/>
    <cellStyle name="40% - Accent1 3 2 8" xfId="17214" xr:uid="{2340052C-6162-4382-B781-09F236E78F9C}"/>
    <cellStyle name="40% - Accent1 3 2 9" xfId="8780" xr:uid="{DE58E809-CA0A-4564-B3C1-E269902A66E3}"/>
    <cellStyle name="40% - Accent1 3 3" xfId="623" xr:uid="{00000000-0005-0000-0000-000027040000}"/>
    <cellStyle name="40% - Accent1 3 3 2" xfId="2894" xr:uid="{00000000-0005-0000-0000-000028040000}"/>
    <cellStyle name="40% - Accent1 3 3 2 2" xfId="7117" xr:uid="{00000000-0005-0000-0000-000029040000}"/>
    <cellStyle name="40% - Accent1 3 3 2 2 2" xfId="23989" xr:uid="{809562C9-ADBA-4301-9945-3340DFCFF7E7}"/>
    <cellStyle name="40% - Accent1 3 3 2 2 3" xfId="15555" xr:uid="{0F01B450-6CF0-451B-A3C6-BA6B582935FB}"/>
    <cellStyle name="40% - Accent1 3 3 2 3" xfId="19772" xr:uid="{8DE0577F-DB6C-43AB-8D36-4D2918AF7E89}"/>
    <cellStyle name="40% - Accent1 3 3 2 4" xfId="11338" xr:uid="{033EF1ED-E527-4A90-A29A-3532D94BA1A3}"/>
    <cellStyle name="40% - Accent1 3 3 3" xfId="4972" xr:uid="{00000000-0005-0000-0000-00002A040000}"/>
    <cellStyle name="40% - Accent1 3 3 3 2" xfId="21844" xr:uid="{DF1F41C1-5D5E-4297-A9E1-E38D51D4C914}"/>
    <cellStyle name="40% - Accent1 3 3 3 3" xfId="13410" xr:uid="{FB1CC995-D6CA-4E7C-8F3B-D7B6813505E6}"/>
    <cellStyle name="40% - Accent1 3 3 4" xfId="17627" xr:uid="{93ACE418-C530-4DF3-8F93-CB4AEC718548}"/>
    <cellStyle name="40% - Accent1 3 3 5" xfId="9193" xr:uid="{45055134-4583-4E6B-9947-B3CD9C456DC5}"/>
    <cellStyle name="40% - Accent1 3 4" xfId="1076" xr:uid="{00000000-0005-0000-0000-00002B040000}"/>
    <cellStyle name="40% - Accent1 3 4 2" xfId="3307" xr:uid="{00000000-0005-0000-0000-00002C040000}"/>
    <cellStyle name="40% - Accent1 3 4 2 2" xfId="7530" xr:uid="{00000000-0005-0000-0000-00002D040000}"/>
    <cellStyle name="40% - Accent1 3 4 2 2 2" xfId="24402" xr:uid="{DC47FAF3-BA95-4136-BEB6-A66C4A01C1D6}"/>
    <cellStyle name="40% - Accent1 3 4 2 2 3" xfId="15968" xr:uid="{17B45336-06C6-48BF-BA7C-6F12A2D29B0F}"/>
    <cellStyle name="40% - Accent1 3 4 2 3" xfId="20185" xr:uid="{5682834E-9105-4E76-AF8F-8BA9E6E456C5}"/>
    <cellStyle name="40% - Accent1 3 4 2 4" xfId="11751" xr:uid="{880A5105-A021-4753-A1AF-F21F0973B98C}"/>
    <cellStyle name="40% - Accent1 3 4 3" xfId="5385" xr:uid="{00000000-0005-0000-0000-00002E040000}"/>
    <cellStyle name="40% - Accent1 3 4 3 2" xfId="22257" xr:uid="{46FE9AEC-6FB7-4657-8DBF-E99CA30F435C}"/>
    <cellStyle name="40% - Accent1 3 4 3 3" xfId="13823" xr:uid="{3E651832-62E0-4EBE-B4EB-754FF14691FF}"/>
    <cellStyle name="40% - Accent1 3 4 4" xfId="18040" xr:uid="{96AA9E6D-C850-455E-ACA2-690AD970DA7A}"/>
    <cellStyle name="40% - Accent1 3 4 5" xfId="9606" xr:uid="{2EBDEF7B-937A-4BFE-A68C-C9DDD8250B97}"/>
    <cellStyle name="40% - Accent1 3 5" xfId="1490" xr:uid="{00000000-0005-0000-0000-00002F040000}"/>
    <cellStyle name="40% - Accent1 3 5 2" xfId="3720" xr:uid="{00000000-0005-0000-0000-000030040000}"/>
    <cellStyle name="40% - Accent1 3 5 2 2" xfId="7943" xr:uid="{00000000-0005-0000-0000-000031040000}"/>
    <cellStyle name="40% - Accent1 3 5 2 2 2" xfId="24815" xr:uid="{7E50F0EB-3F61-4DD9-A930-B29F4ABF3F94}"/>
    <cellStyle name="40% - Accent1 3 5 2 2 3" xfId="16381" xr:uid="{6CCF038C-D504-4070-B93E-D64409301EC3}"/>
    <cellStyle name="40% - Accent1 3 5 2 3" xfId="20598" xr:uid="{4ED6C4C5-405A-42D2-8BEB-1AF9EDD44F66}"/>
    <cellStyle name="40% - Accent1 3 5 2 4" xfId="12164" xr:uid="{46F20503-77DF-450C-BB2E-1AF5794613DC}"/>
    <cellStyle name="40% - Accent1 3 5 3" xfId="5798" xr:uid="{00000000-0005-0000-0000-000032040000}"/>
    <cellStyle name="40% - Accent1 3 5 3 2" xfId="22670" xr:uid="{81ACE89D-915F-473C-90E9-DD47A4FC6A8A}"/>
    <cellStyle name="40% - Accent1 3 5 3 3" xfId="14236" xr:uid="{5F855B5B-7CCE-4F61-A384-2BBD3A6CA667}"/>
    <cellStyle name="40% - Accent1 3 5 4" xfId="18453" xr:uid="{D628AEDF-464B-40D5-A215-6FD3D00C3AED}"/>
    <cellStyle name="40% - Accent1 3 5 5" xfId="10019" xr:uid="{87D851B0-1146-4410-B437-0564D4F97D11}"/>
    <cellStyle name="40% - Accent1 3 6" xfId="1904" xr:uid="{00000000-0005-0000-0000-000033040000}"/>
    <cellStyle name="40% - Accent1 3 6 2" xfId="4133" xr:uid="{00000000-0005-0000-0000-000034040000}"/>
    <cellStyle name="40% - Accent1 3 6 2 2" xfId="8356" xr:uid="{00000000-0005-0000-0000-000035040000}"/>
    <cellStyle name="40% - Accent1 3 6 2 2 2" xfId="25228" xr:uid="{B453D11B-EC7B-418B-B8A9-62FBDD00F4B8}"/>
    <cellStyle name="40% - Accent1 3 6 2 2 3" xfId="16794" xr:uid="{3701EEE3-0746-4210-87C5-8F51D07C2505}"/>
    <cellStyle name="40% - Accent1 3 6 2 3" xfId="21011" xr:uid="{4F3BFF25-3061-4A68-8715-897C59A35792}"/>
    <cellStyle name="40% - Accent1 3 6 2 4" xfId="12577" xr:uid="{B2F97D47-57B7-4149-8A7F-30408ABDBA51}"/>
    <cellStyle name="40% - Accent1 3 6 3" xfId="6211" xr:uid="{00000000-0005-0000-0000-000036040000}"/>
    <cellStyle name="40% - Accent1 3 6 3 2" xfId="23083" xr:uid="{2A183A92-8976-4FB5-A7AC-2ACF25186865}"/>
    <cellStyle name="40% - Accent1 3 6 3 3" xfId="14649" xr:uid="{0A2CB877-2F1F-4716-8A9D-ED69A5B025A7}"/>
    <cellStyle name="40% - Accent1 3 6 4" xfId="18866" xr:uid="{F01C60D7-01F9-4E6F-9B03-174A0A66E0D9}"/>
    <cellStyle name="40% - Accent1 3 6 5" xfId="10432" xr:uid="{04D092BE-CEA7-4C2F-AB61-F603A12ACC12}"/>
    <cellStyle name="40% - Accent1 3 7" xfId="2317" xr:uid="{00000000-0005-0000-0000-000037040000}"/>
    <cellStyle name="40% - Accent1 3 7 2" xfId="6624" xr:uid="{00000000-0005-0000-0000-000038040000}"/>
    <cellStyle name="40% - Accent1 3 7 2 2" xfId="23496" xr:uid="{D88D28B5-FC69-4E55-9CE5-188D180E749A}"/>
    <cellStyle name="40% - Accent1 3 7 2 3" xfId="15062" xr:uid="{50CEBF8E-A16C-4C76-8B2A-72979A23C051}"/>
    <cellStyle name="40% - Accent1 3 7 3" xfId="19279" xr:uid="{90A69222-E20D-4438-9785-70949C67D860}"/>
    <cellStyle name="40% - Accent1 3 7 4" xfId="10845" xr:uid="{C039E095-7CDB-4967-95DA-737B249F990B}"/>
    <cellStyle name="40% - Accent1 3 8" xfId="4558" xr:uid="{00000000-0005-0000-0000-000039040000}"/>
    <cellStyle name="40% - Accent1 3 8 2" xfId="21430" xr:uid="{B01A5950-6EA2-40ED-885E-C39F784FF71C}"/>
    <cellStyle name="40% - Accent1 3 8 3" xfId="12996" xr:uid="{C264EB3F-3206-4955-A17C-BB9847ED9CD0}"/>
    <cellStyle name="40% - Accent1 3 9" xfId="17213" xr:uid="{8AAD4A86-842A-4148-B48C-959DA714F8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23991" xr:uid="{33C034BD-7855-4937-8DF6-072AE10BE471}"/>
    <cellStyle name="40% - Accent1 4 2 2 2 3" xfId="15557" xr:uid="{C3613F06-4410-41B3-891F-17B89C75AFDC}"/>
    <cellStyle name="40% - Accent1 4 2 2 3" xfId="19774" xr:uid="{F9F6906C-EB96-4188-A760-1E361E7B81C8}"/>
    <cellStyle name="40% - Accent1 4 2 2 4" xfId="11340" xr:uid="{1232C27A-F487-4059-ABA9-8926D5C9C4EC}"/>
    <cellStyle name="40% - Accent1 4 2 3" xfId="4974" xr:uid="{00000000-0005-0000-0000-00003E040000}"/>
    <cellStyle name="40% - Accent1 4 2 3 2" xfId="21846" xr:uid="{C3CB6A1E-2A93-40D4-A538-2B56D023EC55}"/>
    <cellStyle name="40% - Accent1 4 2 3 3" xfId="13412" xr:uid="{7B439BB3-833A-435F-AA76-5CE40162C4C9}"/>
    <cellStyle name="40% - Accent1 4 2 4" xfId="17629" xr:uid="{3DD93AE2-5282-4CDB-926C-C984AB3254EF}"/>
    <cellStyle name="40% - Accent1 4 2 5" xfId="9195" xr:uid="{165C933D-7A90-47F1-A836-2E90DFA0D901}"/>
    <cellStyle name="40% - Accent1 4 3" xfId="1078" xr:uid="{00000000-0005-0000-0000-00003F040000}"/>
    <cellStyle name="40% - Accent1 4 3 2" xfId="3309" xr:uid="{00000000-0005-0000-0000-000040040000}"/>
    <cellStyle name="40% - Accent1 4 3 2 2" xfId="7532" xr:uid="{00000000-0005-0000-0000-000041040000}"/>
    <cellStyle name="40% - Accent1 4 3 2 2 2" xfId="24404" xr:uid="{E38F3DC9-7A59-4347-99D7-EEABA0ACC76A}"/>
    <cellStyle name="40% - Accent1 4 3 2 2 3" xfId="15970" xr:uid="{65A93E2C-0E35-4F7F-9310-DE73561CA4D6}"/>
    <cellStyle name="40% - Accent1 4 3 2 3" xfId="20187" xr:uid="{0DDBCD5A-F7EF-4501-8AF1-8E36996E66F1}"/>
    <cellStyle name="40% - Accent1 4 3 2 4" xfId="11753" xr:uid="{4A464945-EE55-4508-870D-4AB0B6643E0C}"/>
    <cellStyle name="40% - Accent1 4 3 3" xfId="5387" xr:uid="{00000000-0005-0000-0000-000042040000}"/>
    <cellStyle name="40% - Accent1 4 3 3 2" xfId="22259" xr:uid="{14948BA0-B9DC-4BAC-B444-6BFFC7979F33}"/>
    <cellStyle name="40% - Accent1 4 3 3 3" xfId="13825" xr:uid="{DA8BA80C-ABA8-4107-9D73-522FFD8F41A9}"/>
    <cellStyle name="40% - Accent1 4 3 4" xfId="18042" xr:uid="{5B5CC716-4CC1-4B38-AFB2-4757131DD18C}"/>
    <cellStyle name="40% - Accent1 4 3 5" xfId="9608" xr:uid="{3E3C1EBB-B74B-4490-8A70-262E14936738}"/>
    <cellStyle name="40% - Accent1 4 4" xfId="1492" xr:uid="{00000000-0005-0000-0000-000043040000}"/>
    <cellStyle name="40% - Accent1 4 4 2" xfId="3722" xr:uid="{00000000-0005-0000-0000-000044040000}"/>
    <cellStyle name="40% - Accent1 4 4 2 2" xfId="7945" xr:uid="{00000000-0005-0000-0000-000045040000}"/>
    <cellStyle name="40% - Accent1 4 4 2 2 2" xfId="24817" xr:uid="{72BFA0E8-41A2-4435-8E82-1B6223B01B34}"/>
    <cellStyle name="40% - Accent1 4 4 2 2 3" xfId="16383" xr:uid="{3987C763-5E2A-42FB-A298-23DD1DADA8F2}"/>
    <cellStyle name="40% - Accent1 4 4 2 3" xfId="20600" xr:uid="{1C499D01-9133-4004-8E1C-C3DDAE0BA37A}"/>
    <cellStyle name="40% - Accent1 4 4 2 4" xfId="12166" xr:uid="{D20E7C91-D95B-4ADB-A785-A4D0458C55E8}"/>
    <cellStyle name="40% - Accent1 4 4 3" xfId="5800" xr:uid="{00000000-0005-0000-0000-000046040000}"/>
    <cellStyle name="40% - Accent1 4 4 3 2" xfId="22672" xr:uid="{1B890C28-EB51-4D69-ABE7-F9C6CED8DB0A}"/>
    <cellStyle name="40% - Accent1 4 4 3 3" xfId="14238" xr:uid="{AEAAD9C1-8CDB-4115-84C3-DF1867734B03}"/>
    <cellStyle name="40% - Accent1 4 4 4" xfId="18455" xr:uid="{EB784FD3-55A9-4269-8DF7-F39C10CB4C62}"/>
    <cellStyle name="40% - Accent1 4 4 5" xfId="10021" xr:uid="{7119AFBF-F3B3-4BAE-BDAC-28286ADCD4A9}"/>
    <cellStyle name="40% - Accent1 4 5" xfId="1906" xr:uid="{00000000-0005-0000-0000-000047040000}"/>
    <cellStyle name="40% - Accent1 4 5 2" xfId="4135" xr:uid="{00000000-0005-0000-0000-000048040000}"/>
    <cellStyle name="40% - Accent1 4 5 2 2" xfId="8358" xr:uid="{00000000-0005-0000-0000-000049040000}"/>
    <cellStyle name="40% - Accent1 4 5 2 2 2" xfId="25230" xr:uid="{CE302C74-309E-4026-97CA-AAF1A52AE236}"/>
    <cellStyle name="40% - Accent1 4 5 2 2 3" xfId="16796" xr:uid="{8E59A63A-F60A-4A0B-927B-360430F86E7B}"/>
    <cellStyle name="40% - Accent1 4 5 2 3" xfId="21013" xr:uid="{6B77EC11-D8DF-48B9-867B-D77EB8F3FC7D}"/>
    <cellStyle name="40% - Accent1 4 5 2 4" xfId="12579" xr:uid="{98D6CA61-E504-4C9D-975A-CB883D15709C}"/>
    <cellStyle name="40% - Accent1 4 5 3" xfId="6213" xr:uid="{00000000-0005-0000-0000-00004A040000}"/>
    <cellStyle name="40% - Accent1 4 5 3 2" xfId="23085" xr:uid="{7091BA05-12E2-43B1-84E4-49A2678ED4E3}"/>
    <cellStyle name="40% - Accent1 4 5 3 3" xfId="14651" xr:uid="{78235F72-7978-4169-9C18-901DAFD6D23B}"/>
    <cellStyle name="40% - Accent1 4 5 4" xfId="18868" xr:uid="{EEF76379-F860-4951-8631-7D41E1593C9D}"/>
    <cellStyle name="40% - Accent1 4 5 5" xfId="10434" xr:uid="{0CAEA28A-72E5-4EA9-A022-9B1ABA55CC2A}"/>
    <cellStyle name="40% - Accent1 4 6" xfId="2319" xr:uid="{00000000-0005-0000-0000-00004B040000}"/>
    <cellStyle name="40% - Accent1 4 6 2" xfId="6626" xr:uid="{00000000-0005-0000-0000-00004C040000}"/>
    <cellStyle name="40% - Accent1 4 6 2 2" xfId="23498" xr:uid="{772EE76D-BA6D-42AC-A32E-B8147889831A}"/>
    <cellStyle name="40% - Accent1 4 6 2 3" xfId="15064" xr:uid="{8BE36D84-AF40-44B5-9CED-17BBBCF28923}"/>
    <cellStyle name="40% - Accent1 4 6 3" xfId="19281" xr:uid="{0FB4936B-E74B-4B2B-A90B-1D0A5677E225}"/>
    <cellStyle name="40% - Accent1 4 6 4" xfId="10847" xr:uid="{54BFD97E-91EE-4268-90D6-D61E71428237}"/>
    <cellStyle name="40% - Accent1 4 7" xfId="4560" xr:uid="{00000000-0005-0000-0000-00004D040000}"/>
    <cellStyle name="40% - Accent1 4 7 2" xfId="21432" xr:uid="{DF300EB6-809A-4363-9E43-6E240B73A3AE}"/>
    <cellStyle name="40% - Accent1 4 7 3" xfId="12998" xr:uid="{257CDCD3-7802-4279-A2AB-B4FB88023916}"/>
    <cellStyle name="40% - Accent1 4 8" xfId="17215" xr:uid="{3C8E401F-28C0-4C34-BE9A-2236876CCD0C}"/>
    <cellStyle name="40% - Accent1 4 9" xfId="8781" xr:uid="{8D89AC22-1EDC-4169-83C4-CE89CE43432B}"/>
    <cellStyle name="40% - Accent1 5" xfId="618" xr:uid="{00000000-0005-0000-0000-00004E040000}"/>
    <cellStyle name="40% - Accent1 5 2" xfId="2889" xr:uid="{00000000-0005-0000-0000-00004F040000}"/>
    <cellStyle name="40% - Accent1 5 2 2" xfId="7112" xr:uid="{00000000-0005-0000-0000-000050040000}"/>
    <cellStyle name="40% - Accent1 5 2 2 2" xfId="23984" xr:uid="{5ED24FED-822A-4863-BF72-05A23DB45E9C}"/>
    <cellStyle name="40% - Accent1 5 2 2 3" xfId="15550" xr:uid="{B638F0EB-4D98-4221-AD94-0859F80F15E6}"/>
    <cellStyle name="40% - Accent1 5 2 3" xfId="19767" xr:uid="{3FF130E5-2D78-4F2A-B98D-A616228C999E}"/>
    <cellStyle name="40% - Accent1 5 2 4" xfId="11333" xr:uid="{E1AB2B84-737D-4E2F-8176-7380BCED5602}"/>
    <cellStyle name="40% - Accent1 5 3" xfId="4967" xr:uid="{00000000-0005-0000-0000-000051040000}"/>
    <cellStyle name="40% - Accent1 5 3 2" xfId="21839" xr:uid="{BE22DE40-3BDF-4421-B381-7C7599B5FF17}"/>
    <cellStyle name="40% - Accent1 5 3 3" xfId="13405" xr:uid="{AC96B2AD-B16C-47D4-93E1-5119327BFBA4}"/>
    <cellStyle name="40% - Accent1 5 4" xfId="17622" xr:uid="{C0DB2942-4435-407C-A64C-A265ADFE3987}"/>
    <cellStyle name="40% - Accent1 5 5" xfId="9188" xr:uid="{A9CC8622-A068-424C-995A-10589695C02A}"/>
    <cellStyle name="40% - Accent1 6" xfId="1071" xr:uid="{00000000-0005-0000-0000-000052040000}"/>
    <cellStyle name="40% - Accent1 6 2" xfId="3302" xr:uid="{00000000-0005-0000-0000-000053040000}"/>
    <cellStyle name="40% - Accent1 6 2 2" xfId="7525" xr:uid="{00000000-0005-0000-0000-000054040000}"/>
    <cellStyle name="40% - Accent1 6 2 2 2" xfId="24397" xr:uid="{E1F31D1A-6DC0-4448-AD15-AD4249A8CF16}"/>
    <cellStyle name="40% - Accent1 6 2 2 3" xfId="15963" xr:uid="{CD902FA1-C12D-43E1-9E3C-6E29E3DBC9F4}"/>
    <cellStyle name="40% - Accent1 6 2 3" xfId="20180" xr:uid="{D8EE6D8F-83F4-41A2-A647-4A0E9F6823C1}"/>
    <cellStyle name="40% - Accent1 6 2 4" xfId="11746" xr:uid="{595FB894-5F1C-4A92-90C7-0EA414C99F11}"/>
    <cellStyle name="40% - Accent1 6 3" xfId="5380" xr:uid="{00000000-0005-0000-0000-000055040000}"/>
    <cellStyle name="40% - Accent1 6 3 2" xfId="22252" xr:uid="{EFCCE13F-451A-449D-A7E2-5AC26137BBE3}"/>
    <cellStyle name="40% - Accent1 6 3 3" xfId="13818" xr:uid="{907B12FE-BA65-4391-ADE6-49F16112E043}"/>
    <cellStyle name="40% - Accent1 6 4" xfId="18035" xr:uid="{92B02D85-FC56-4FD3-B17A-229F29D935E7}"/>
    <cellStyle name="40% - Accent1 6 5" xfId="9601" xr:uid="{F4086E37-D792-4911-8FCA-3CA7CE5A9734}"/>
    <cellStyle name="40% - Accent1 7" xfId="1485" xr:uid="{00000000-0005-0000-0000-000056040000}"/>
    <cellStyle name="40% - Accent1 7 2" xfId="3715" xr:uid="{00000000-0005-0000-0000-000057040000}"/>
    <cellStyle name="40% - Accent1 7 2 2" xfId="7938" xr:uid="{00000000-0005-0000-0000-000058040000}"/>
    <cellStyle name="40% - Accent1 7 2 2 2" xfId="24810" xr:uid="{000D8267-840C-4A51-9FA4-ABF884BFE9C5}"/>
    <cellStyle name="40% - Accent1 7 2 2 3" xfId="16376" xr:uid="{2F451028-E715-4823-9E74-F5D94B9123A1}"/>
    <cellStyle name="40% - Accent1 7 2 3" xfId="20593" xr:uid="{733B394C-40B9-4DB3-9595-25550921250B}"/>
    <cellStyle name="40% - Accent1 7 2 4" xfId="12159" xr:uid="{E3933910-0C88-4B51-9519-A401E8CA0C3E}"/>
    <cellStyle name="40% - Accent1 7 3" xfId="5793" xr:uid="{00000000-0005-0000-0000-000059040000}"/>
    <cellStyle name="40% - Accent1 7 3 2" xfId="22665" xr:uid="{08F09EA7-8714-4FDB-9221-CEE90ECBAF04}"/>
    <cellStyle name="40% - Accent1 7 3 3" xfId="14231" xr:uid="{A46F5A86-D939-47F4-A68C-191FD9F1F1AD}"/>
    <cellStyle name="40% - Accent1 7 4" xfId="18448" xr:uid="{E1C43992-2AD0-4E27-9D66-FD53EA7DFD65}"/>
    <cellStyle name="40% - Accent1 7 5" xfId="10014" xr:uid="{339CB8FE-B13D-4D51-9280-DCAB9304102C}"/>
    <cellStyle name="40% - Accent1 8" xfId="1899" xr:uid="{00000000-0005-0000-0000-00005A040000}"/>
    <cellStyle name="40% - Accent1 8 2" xfId="4128" xr:uid="{00000000-0005-0000-0000-00005B040000}"/>
    <cellStyle name="40% - Accent1 8 2 2" xfId="8351" xr:uid="{00000000-0005-0000-0000-00005C040000}"/>
    <cellStyle name="40% - Accent1 8 2 2 2" xfId="25223" xr:uid="{85283BBE-4116-4FEB-9D29-6422577FDCD6}"/>
    <cellStyle name="40% - Accent1 8 2 2 3" xfId="16789" xr:uid="{DB6978D9-F09E-4D37-82AF-EBFE721A3FDF}"/>
    <cellStyle name="40% - Accent1 8 2 3" xfId="21006" xr:uid="{2568DFCB-7738-4A62-BAC0-3AD87BA383F8}"/>
    <cellStyle name="40% - Accent1 8 2 4" xfId="12572" xr:uid="{3CE189D9-2CC4-4F45-A462-387D3BC30CAF}"/>
    <cellStyle name="40% - Accent1 8 3" xfId="6206" xr:uid="{00000000-0005-0000-0000-00005D040000}"/>
    <cellStyle name="40% - Accent1 8 3 2" xfId="23078" xr:uid="{E04FC011-5E95-4245-ADCA-D6E61132F4DC}"/>
    <cellStyle name="40% - Accent1 8 3 3" xfId="14644" xr:uid="{B9B03446-9881-46CB-952F-89ABFC000FF7}"/>
    <cellStyle name="40% - Accent1 8 4" xfId="18861" xr:uid="{FD4E38C5-3A0B-409C-8D2F-7AA055AC891B}"/>
    <cellStyle name="40% - Accent1 8 5" xfId="10427" xr:uid="{EE44B916-5609-4069-8B56-71265DF2EB78}"/>
    <cellStyle name="40% - Accent1 9" xfId="2312" xr:uid="{00000000-0005-0000-0000-00005E040000}"/>
    <cellStyle name="40% - Accent1 9 2" xfId="6619" xr:uid="{00000000-0005-0000-0000-00005F040000}"/>
    <cellStyle name="40% - Accent1 9 2 2" xfId="23491" xr:uid="{A6AF38BD-B947-4BF6-ABAA-12A3A05E0719}"/>
    <cellStyle name="40% - Accent1 9 2 3" xfId="15057" xr:uid="{91994139-6267-4CAA-BBA2-561685949AEE}"/>
    <cellStyle name="40% - Accent1 9 3" xfId="19274" xr:uid="{BE5827C6-97C9-4A26-A832-BCD0F185DB09}"/>
    <cellStyle name="40% - Accent1 9 4" xfId="10840" xr:uid="{A733B0D0-5BC6-43CD-A0A1-EBED9CB73EDA}"/>
    <cellStyle name="40% - Accent2" xfId="57" builtinId="35" customBuiltin="1"/>
    <cellStyle name="40% - Accent2 10" xfId="4561" xr:uid="{00000000-0005-0000-0000-000061040000}"/>
    <cellStyle name="40% - Accent2 10 2" xfId="21433" xr:uid="{AF48A091-9B09-41A8-904B-1CC91306B18C}"/>
    <cellStyle name="40% - Accent2 10 3" xfId="12999" xr:uid="{5D790519-8D0D-42D7-9F17-7ABE75DC5ABE}"/>
    <cellStyle name="40% - Accent2 11" xfId="17216" xr:uid="{DA586B23-F771-4C7D-AABB-33BC57CF4427}"/>
    <cellStyle name="40% - Accent2 12" xfId="8782" xr:uid="{A7E5D374-2A0C-45AC-98BC-7B57C123205C}"/>
    <cellStyle name="40% - Accent2 2" xfId="58" xr:uid="{00000000-0005-0000-0000-000062040000}"/>
    <cellStyle name="40% - Accent2 2 10" xfId="17217" xr:uid="{160820E5-A1C2-4CDE-97C3-D4BB6D5081BD}"/>
    <cellStyle name="40% - Accent2 2 11" xfId="8783" xr:uid="{C1784B76-EA56-4215-A34D-D5BD64556691}"/>
    <cellStyle name="40% - Accent2 2 2" xfId="59" xr:uid="{00000000-0005-0000-0000-000063040000}"/>
    <cellStyle name="40% - Accent2 2 2 10" xfId="8784" xr:uid="{FE1D5A5D-6D00-4FFF-A57B-6645358B5E23}"/>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23995" xr:uid="{E238E737-644A-40C2-AC83-90C24602D240}"/>
    <cellStyle name="40% - Accent2 2 2 2 2 2 2 3" xfId="15561" xr:uid="{9D83CD8D-9E7C-40C2-95E9-8B00AAC5B332}"/>
    <cellStyle name="40% - Accent2 2 2 2 2 2 3" xfId="19778" xr:uid="{C4439A2F-A206-40FD-81DA-5A096A886DEC}"/>
    <cellStyle name="40% - Accent2 2 2 2 2 2 4" xfId="11344" xr:uid="{5F14922F-83AA-45B2-9268-D9B0051EC0FE}"/>
    <cellStyle name="40% - Accent2 2 2 2 2 3" xfId="4978" xr:uid="{00000000-0005-0000-0000-000068040000}"/>
    <cellStyle name="40% - Accent2 2 2 2 2 3 2" xfId="21850" xr:uid="{52F76E6C-2978-4203-A58A-794C8E97133D}"/>
    <cellStyle name="40% - Accent2 2 2 2 2 3 3" xfId="13416" xr:uid="{267C6AA0-E53B-4D17-B051-C44F9A0C92DA}"/>
    <cellStyle name="40% - Accent2 2 2 2 2 4" xfId="17633" xr:uid="{EF0059CA-5DEC-475B-9D95-265BD16757F9}"/>
    <cellStyle name="40% - Accent2 2 2 2 2 5" xfId="9199" xr:uid="{AC050A4F-45D8-4772-A719-294FBBC2F77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24408" xr:uid="{A3F5F967-96EB-4852-81B8-C5B646E7EE84}"/>
    <cellStyle name="40% - Accent2 2 2 2 3 2 2 3" xfId="15974" xr:uid="{9B5E1586-899B-40F5-B867-6162A125E03A}"/>
    <cellStyle name="40% - Accent2 2 2 2 3 2 3" xfId="20191" xr:uid="{D640E1F9-0648-48BA-9C35-A763F5CFEF6A}"/>
    <cellStyle name="40% - Accent2 2 2 2 3 2 4" xfId="11757" xr:uid="{7E1AB9A0-9A89-406D-9849-0752C99E3027}"/>
    <cellStyle name="40% - Accent2 2 2 2 3 3" xfId="5391" xr:uid="{00000000-0005-0000-0000-00006C040000}"/>
    <cellStyle name="40% - Accent2 2 2 2 3 3 2" xfId="22263" xr:uid="{101F38CC-B7AB-408E-A61E-F7F2C04F859A}"/>
    <cellStyle name="40% - Accent2 2 2 2 3 3 3" xfId="13829" xr:uid="{0EB79A87-7130-4100-AB23-61FAA2D5ECD7}"/>
    <cellStyle name="40% - Accent2 2 2 2 3 4" xfId="18046" xr:uid="{9F735DF2-7BB6-4391-B4C7-D8B9B5538EFA}"/>
    <cellStyle name="40% - Accent2 2 2 2 3 5" xfId="9612" xr:uid="{827A0D8A-9DE5-4AE4-ACA5-28FC2222105F}"/>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24821" xr:uid="{EE522EC4-FA40-4803-92BE-CDDD7280A38F}"/>
    <cellStyle name="40% - Accent2 2 2 2 4 2 2 3" xfId="16387" xr:uid="{742B2CD0-ECB3-48D3-937C-6E9F8B0586EB}"/>
    <cellStyle name="40% - Accent2 2 2 2 4 2 3" xfId="20604" xr:uid="{82F6D0D0-01EE-495B-BEB5-3A2498A3D86E}"/>
    <cellStyle name="40% - Accent2 2 2 2 4 2 4" xfId="12170" xr:uid="{860D7DF9-E4CA-4795-A694-6ED5624B8D3D}"/>
    <cellStyle name="40% - Accent2 2 2 2 4 3" xfId="5804" xr:uid="{00000000-0005-0000-0000-000070040000}"/>
    <cellStyle name="40% - Accent2 2 2 2 4 3 2" xfId="22676" xr:uid="{5A6263BD-471B-48ED-A732-D741673DF9C6}"/>
    <cellStyle name="40% - Accent2 2 2 2 4 3 3" xfId="14242" xr:uid="{F872EB25-A682-43FF-86DE-5E0510F8D11F}"/>
    <cellStyle name="40% - Accent2 2 2 2 4 4" xfId="18459" xr:uid="{A2908570-B15A-43D3-9A8A-9837E96E0F12}"/>
    <cellStyle name="40% - Accent2 2 2 2 4 5" xfId="10025" xr:uid="{438AE39F-FFF1-4578-A0E6-6C600005E079}"/>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25234" xr:uid="{358607E8-BDDD-4709-964D-3E5822FDC6C8}"/>
    <cellStyle name="40% - Accent2 2 2 2 5 2 2 3" xfId="16800" xr:uid="{05E96F24-8817-4382-8A16-E2540F61C152}"/>
    <cellStyle name="40% - Accent2 2 2 2 5 2 3" xfId="21017" xr:uid="{FEB8F153-5E61-40D8-AAA4-5E6F9E3565C2}"/>
    <cellStyle name="40% - Accent2 2 2 2 5 2 4" xfId="12583" xr:uid="{496C755A-7A27-4880-AE98-151A83729E4F}"/>
    <cellStyle name="40% - Accent2 2 2 2 5 3" xfId="6217" xr:uid="{00000000-0005-0000-0000-000074040000}"/>
    <cellStyle name="40% - Accent2 2 2 2 5 3 2" xfId="23089" xr:uid="{1E0E8F87-51CF-40C6-8DD1-8FEE9726B464}"/>
    <cellStyle name="40% - Accent2 2 2 2 5 3 3" xfId="14655" xr:uid="{BF47BA31-04EF-4E3F-9170-662127AFFABB}"/>
    <cellStyle name="40% - Accent2 2 2 2 5 4" xfId="18872" xr:uid="{05CFFB11-FAF0-4E1A-B813-96EE0B93F217}"/>
    <cellStyle name="40% - Accent2 2 2 2 5 5" xfId="10438" xr:uid="{5ECA9ABA-F89B-43F0-9CFB-B4D8AA25384E}"/>
    <cellStyle name="40% - Accent2 2 2 2 6" xfId="2323" xr:uid="{00000000-0005-0000-0000-000075040000}"/>
    <cellStyle name="40% - Accent2 2 2 2 6 2" xfId="6630" xr:uid="{00000000-0005-0000-0000-000076040000}"/>
    <cellStyle name="40% - Accent2 2 2 2 6 2 2" xfId="23502" xr:uid="{A750EE1B-C671-4283-A5B0-FCCE5552740D}"/>
    <cellStyle name="40% - Accent2 2 2 2 6 2 3" xfId="15068" xr:uid="{E1EFC883-FDFE-419B-8455-AE83BE862E52}"/>
    <cellStyle name="40% - Accent2 2 2 2 6 3" xfId="19285" xr:uid="{116C5208-9942-4EE2-9219-5A4736844A74}"/>
    <cellStyle name="40% - Accent2 2 2 2 6 4" xfId="10851" xr:uid="{C8D40B16-DD86-4870-A28D-20AAE4160FBD}"/>
    <cellStyle name="40% - Accent2 2 2 2 7" xfId="4564" xr:uid="{00000000-0005-0000-0000-000077040000}"/>
    <cellStyle name="40% - Accent2 2 2 2 7 2" xfId="21436" xr:uid="{CA24857A-7036-44D6-AE0B-AA80A87AA1BB}"/>
    <cellStyle name="40% - Accent2 2 2 2 7 3" xfId="13002" xr:uid="{78DE1966-12B5-42A1-A8F8-E33FECF50971}"/>
    <cellStyle name="40% - Accent2 2 2 2 8" xfId="17219" xr:uid="{AB34545A-8950-46B1-AA28-29910F816CB7}"/>
    <cellStyle name="40% - Accent2 2 2 2 9" xfId="8785" xr:uid="{C0A43019-4A46-4C5D-A3FA-EB898B228FB2}"/>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23994" xr:uid="{D325D68F-B971-4269-9398-F4A06667AA8B}"/>
    <cellStyle name="40% - Accent2 2 2 3 2 2 3" xfId="15560" xr:uid="{686B92AD-D465-43B0-9AD4-9E045CBE6716}"/>
    <cellStyle name="40% - Accent2 2 2 3 2 3" xfId="19777" xr:uid="{52BB97DE-3E8B-4B3A-A078-F6974F3D8E42}"/>
    <cellStyle name="40% - Accent2 2 2 3 2 4" xfId="11343" xr:uid="{7FA20C7D-7C2D-46E4-BC12-B4D00D8A0FA5}"/>
    <cellStyle name="40% - Accent2 2 2 3 3" xfId="4977" xr:uid="{00000000-0005-0000-0000-00007B040000}"/>
    <cellStyle name="40% - Accent2 2 2 3 3 2" xfId="21849" xr:uid="{856DDCD1-9ABC-4C1C-A652-954181968014}"/>
    <cellStyle name="40% - Accent2 2 2 3 3 3" xfId="13415" xr:uid="{CCAF74CD-BF41-433F-93F4-CD671180D71A}"/>
    <cellStyle name="40% - Accent2 2 2 3 4" xfId="17632" xr:uid="{B674EEE3-019A-4697-8FE2-801F67BCBCB2}"/>
    <cellStyle name="40% - Accent2 2 2 3 5" xfId="9198" xr:uid="{CA1058E9-8B69-434D-B9FA-120BF8B14066}"/>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24407" xr:uid="{B99C6FF4-4249-48E9-A236-FF6556155C6F}"/>
    <cellStyle name="40% - Accent2 2 2 4 2 2 3" xfId="15973" xr:uid="{9CCE1ABD-3FF3-4974-A95B-0ECBAC0AFFC9}"/>
    <cellStyle name="40% - Accent2 2 2 4 2 3" xfId="20190" xr:uid="{E74F2495-0412-4835-8226-62D4C95CDE11}"/>
    <cellStyle name="40% - Accent2 2 2 4 2 4" xfId="11756" xr:uid="{F2F6DE15-A483-4C76-BF26-8AAB511985AD}"/>
    <cellStyle name="40% - Accent2 2 2 4 3" xfId="5390" xr:uid="{00000000-0005-0000-0000-00007F040000}"/>
    <cellStyle name="40% - Accent2 2 2 4 3 2" xfId="22262" xr:uid="{ED787B45-57E7-4753-B30E-5925F1E7DC81}"/>
    <cellStyle name="40% - Accent2 2 2 4 3 3" xfId="13828" xr:uid="{FA6574B3-CDC5-4A3D-9C9B-07A95BBBCE92}"/>
    <cellStyle name="40% - Accent2 2 2 4 4" xfId="18045" xr:uid="{FD405639-1D70-424F-905C-C4F5036D37D8}"/>
    <cellStyle name="40% - Accent2 2 2 4 5" xfId="9611" xr:uid="{24A4BDA3-56B1-4325-B86C-285438DF2D46}"/>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24820" xr:uid="{1718A4FE-3AB7-4F78-A9F2-D465480790D8}"/>
    <cellStyle name="40% - Accent2 2 2 5 2 2 3" xfId="16386" xr:uid="{4D991FC4-6FC3-442B-B880-1C1926F79C7A}"/>
    <cellStyle name="40% - Accent2 2 2 5 2 3" xfId="20603" xr:uid="{7CBD1B1B-247B-4FD6-88A3-1AAD59AF7D0B}"/>
    <cellStyle name="40% - Accent2 2 2 5 2 4" xfId="12169" xr:uid="{2942B931-AF40-4BA7-A2C5-7317E4340B0F}"/>
    <cellStyle name="40% - Accent2 2 2 5 3" xfId="5803" xr:uid="{00000000-0005-0000-0000-000083040000}"/>
    <cellStyle name="40% - Accent2 2 2 5 3 2" xfId="22675" xr:uid="{D47F35C2-1E15-4C09-835C-8C2192492522}"/>
    <cellStyle name="40% - Accent2 2 2 5 3 3" xfId="14241" xr:uid="{097505C1-A07B-43C8-88DA-C571037A3E56}"/>
    <cellStyle name="40% - Accent2 2 2 5 4" xfId="18458" xr:uid="{FC15B9E3-F797-4839-95D4-D3238F5DE22D}"/>
    <cellStyle name="40% - Accent2 2 2 5 5" xfId="10024" xr:uid="{B0AC1970-54F4-4F2E-AD47-6E74F8C9DAAC}"/>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25233" xr:uid="{B49696BF-A60A-42D3-832D-1EBA1C2D6F0A}"/>
    <cellStyle name="40% - Accent2 2 2 6 2 2 3" xfId="16799" xr:uid="{D21B728B-3A39-4CF7-802C-809EFEE036B3}"/>
    <cellStyle name="40% - Accent2 2 2 6 2 3" xfId="21016" xr:uid="{B5B79123-13E4-435C-BA9F-714C6170B15E}"/>
    <cellStyle name="40% - Accent2 2 2 6 2 4" xfId="12582" xr:uid="{8D61E7BE-4830-4775-97F4-4156DF3B574A}"/>
    <cellStyle name="40% - Accent2 2 2 6 3" xfId="6216" xr:uid="{00000000-0005-0000-0000-000087040000}"/>
    <cellStyle name="40% - Accent2 2 2 6 3 2" xfId="23088" xr:uid="{16C78FC2-206D-4CAF-AC46-A4AB38A9F375}"/>
    <cellStyle name="40% - Accent2 2 2 6 3 3" xfId="14654" xr:uid="{909A83BF-93B4-4BB1-AB77-DA629A46B539}"/>
    <cellStyle name="40% - Accent2 2 2 6 4" xfId="18871" xr:uid="{BCD24727-20CC-4E05-B038-A180A6511F8C}"/>
    <cellStyle name="40% - Accent2 2 2 6 5" xfId="10437" xr:uid="{4B0AFDE0-5E93-477E-81E1-5197D720584F}"/>
    <cellStyle name="40% - Accent2 2 2 7" xfId="2322" xr:uid="{00000000-0005-0000-0000-000088040000}"/>
    <cellStyle name="40% - Accent2 2 2 7 2" xfId="6629" xr:uid="{00000000-0005-0000-0000-000089040000}"/>
    <cellStyle name="40% - Accent2 2 2 7 2 2" xfId="23501" xr:uid="{CF83B49B-4D53-4950-9B70-769BB96E3F45}"/>
    <cellStyle name="40% - Accent2 2 2 7 2 3" xfId="15067" xr:uid="{32EF9697-B1F2-4F3B-A565-C608CF38E1F3}"/>
    <cellStyle name="40% - Accent2 2 2 7 3" xfId="19284" xr:uid="{9A9176CD-7053-4560-AA3E-1443C74D848B}"/>
    <cellStyle name="40% - Accent2 2 2 7 4" xfId="10850" xr:uid="{7FEA05D3-EDF0-48EF-830E-149FF12B19A2}"/>
    <cellStyle name="40% - Accent2 2 2 8" xfId="4563" xr:uid="{00000000-0005-0000-0000-00008A040000}"/>
    <cellStyle name="40% - Accent2 2 2 8 2" xfId="21435" xr:uid="{DC41C07A-0658-4640-AF00-957C7F141D7A}"/>
    <cellStyle name="40% - Accent2 2 2 8 3" xfId="13001" xr:uid="{43234C0C-81A7-48C1-8D33-10F3F89CD992}"/>
    <cellStyle name="40% - Accent2 2 2 9" xfId="17218" xr:uid="{197D284D-043D-41F9-B9F1-40119EB447F1}"/>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23996" xr:uid="{9BCE592C-5798-4957-9979-92AC26D7867C}"/>
    <cellStyle name="40% - Accent2 2 3 2 2 2 3" xfId="15562" xr:uid="{D47A7FAE-745F-4EFE-B9B4-A109E4D99DBE}"/>
    <cellStyle name="40% - Accent2 2 3 2 2 3" xfId="19779" xr:uid="{97B71128-061C-4B40-805A-EEE17C165CEC}"/>
    <cellStyle name="40% - Accent2 2 3 2 2 4" xfId="11345" xr:uid="{E4051D5E-89EA-4638-80FB-7D1172125FAE}"/>
    <cellStyle name="40% - Accent2 2 3 2 3" xfId="4979" xr:uid="{00000000-0005-0000-0000-00008F040000}"/>
    <cellStyle name="40% - Accent2 2 3 2 3 2" xfId="21851" xr:uid="{04A29A7F-845D-4344-AFC6-134514C2CC15}"/>
    <cellStyle name="40% - Accent2 2 3 2 3 3" xfId="13417" xr:uid="{5EFD3BB7-8455-409C-A380-F9DCCC1578EC}"/>
    <cellStyle name="40% - Accent2 2 3 2 4" xfId="17634" xr:uid="{D104BBA5-8658-4878-BB2F-57DE4E77B8D0}"/>
    <cellStyle name="40% - Accent2 2 3 2 5" xfId="9200" xr:uid="{EB1098C1-A82C-43C1-917B-7237311BF0C1}"/>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24409" xr:uid="{A3B7B246-1F8E-4DE3-8504-165537DFCEF2}"/>
    <cellStyle name="40% - Accent2 2 3 3 2 2 3" xfId="15975" xr:uid="{03FADC23-5198-4005-B332-BFA237374C10}"/>
    <cellStyle name="40% - Accent2 2 3 3 2 3" xfId="20192" xr:uid="{73812F2B-EF64-40E1-92BA-B1C0BBEDEA48}"/>
    <cellStyle name="40% - Accent2 2 3 3 2 4" xfId="11758" xr:uid="{9831ADB4-BEBE-4515-9AB0-40E3AE34B3BD}"/>
    <cellStyle name="40% - Accent2 2 3 3 3" xfId="5392" xr:uid="{00000000-0005-0000-0000-000093040000}"/>
    <cellStyle name="40% - Accent2 2 3 3 3 2" xfId="22264" xr:uid="{334A8B42-E219-4E7C-8C3C-BBC4479F30F4}"/>
    <cellStyle name="40% - Accent2 2 3 3 3 3" xfId="13830" xr:uid="{1F913C5D-8939-46E2-950B-CAE17F95EA14}"/>
    <cellStyle name="40% - Accent2 2 3 3 4" xfId="18047" xr:uid="{D0299A9A-1A24-42E3-BAA7-ACB5531AD72B}"/>
    <cellStyle name="40% - Accent2 2 3 3 5" xfId="9613" xr:uid="{9BE57AD9-0B58-4167-90EF-475BA0487BFC}"/>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24822" xr:uid="{3D1E3592-9719-4442-BAE4-7CC6365A9026}"/>
    <cellStyle name="40% - Accent2 2 3 4 2 2 3" xfId="16388" xr:uid="{68046676-B2FA-4523-BE73-FDFFA6B09B22}"/>
    <cellStyle name="40% - Accent2 2 3 4 2 3" xfId="20605" xr:uid="{709F197A-6A77-46D0-BEE3-D2468D52EE60}"/>
    <cellStyle name="40% - Accent2 2 3 4 2 4" xfId="12171" xr:uid="{6FB2A7BF-6685-45DC-9C8F-3FFBF1317623}"/>
    <cellStyle name="40% - Accent2 2 3 4 3" xfId="5805" xr:uid="{00000000-0005-0000-0000-000097040000}"/>
    <cellStyle name="40% - Accent2 2 3 4 3 2" xfId="22677" xr:uid="{7491E8D6-6753-4D1A-88CC-C713EAA47636}"/>
    <cellStyle name="40% - Accent2 2 3 4 3 3" xfId="14243" xr:uid="{FDA105B6-AFC0-4230-932B-89C8B3D7EC53}"/>
    <cellStyle name="40% - Accent2 2 3 4 4" xfId="18460" xr:uid="{DD81E781-DF3C-4136-965C-DC025B7319AB}"/>
    <cellStyle name="40% - Accent2 2 3 4 5" xfId="10026" xr:uid="{3A8A62F7-1822-48EB-B7D5-A96C62C4677A}"/>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25235" xr:uid="{1B9666F2-A7BF-4D0A-A25E-2B0C3A6CE448}"/>
    <cellStyle name="40% - Accent2 2 3 5 2 2 3" xfId="16801" xr:uid="{6BF8B0CF-B181-46E2-8BFF-37C0400F6EBC}"/>
    <cellStyle name="40% - Accent2 2 3 5 2 3" xfId="21018" xr:uid="{E9DD16ED-54FD-4E5C-BFDF-7C0EFD2B93C5}"/>
    <cellStyle name="40% - Accent2 2 3 5 2 4" xfId="12584" xr:uid="{E7DA9D72-09EB-426B-9327-04C91A080D35}"/>
    <cellStyle name="40% - Accent2 2 3 5 3" xfId="6218" xr:uid="{00000000-0005-0000-0000-00009B040000}"/>
    <cellStyle name="40% - Accent2 2 3 5 3 2" xfId="23090" xr:uid="{5051422C-4147-469B-B69D-2C3F1D3C67E6}"/>
    <cellStyle name="40% - Accent2 2 3 5 3 3" xfId="14656" xr:uid="{23A48A6F-6AE2-4998-8B6F-D5BF2E45436A}"/>
    <cellStyle name="40% - Accent2 2 3 5 4" xfId="18873" xr:uid="{84635EDC-8C88-4905-9A1E-8CA6A0960BCF}"/>
    <cellStyle name="40% - Accent2 2 3 5 5" xfId="10439" xr:uid="{17A2F6DE-D736-42D8-8EBD-C748F83764C2}"/>
    <cellStyle name="40% - Accent2 2 3 6" xfId="2324" xr:uid="{00000000-0005-0000-0000-00009C040000}"/>
    <cellStyle name="40% - Accent2 2 3 6 2" xfId="6631" xr:uid="{00000000-0005-0000-0000-00009D040000}"/>
    <cellStyle name="40% - Accent2 2 3 6 2 2" xfId="23503" xr:uid="{2FCA15DE-BAC5-4EBF-8B51-C98BB8819F55}"/>
    <cellStyle name="40% - Accent2 2 3 6 2 3" xfId="15069" xr:uid="{74870555-8538-4E60-902C-108AC30D7925}"/>
    <cellStyle name="40% - Accent2 2 3 6 3" xfId="19286" xr:uid="{9CAF3EDB-FBB6-4533-9D08-26C341D5FC37}"/>
    <cellStyle name="40% - Accent2 2 3 6 4" xfId="10852" xr:uid="{1339D497-44DF-4671-A38F-537500EDDE03}"/>
    <cellStyle name="40% - Accent2 2 3 7" xfId="4565" xr:uid="{00000000-0005-0000-0000-00009E040000}"/>
    <cellStyle name="40% - Accent2 2 3 7 2" xfId="21437" xr:uid="{01C9A6C8-DDC8-4352-BE2E-EFFC2CA21F30}"/>
    <cellStyle name="40% - Accent2 2 3 7 3" xfId="13003" xr:uid="{0E1585CA-D1E4-40BE-8154-E7A37E990A26}"/>
    <cellStyle name="40% - Accent2 2 3 8" xfId="17220" xr:uid="{9C98ECE1-4A2E-463A-B296-D98FA2CD1ED0}"/>
    <cellStyle name="40% - Accent2 2 3 9" xfId="8786" xr:uid="{88D6A3FD-26A1-4D98-990C-528B2EBEB62B}"/>
    <cellStyle name="40% - Accent2 2 4" xfId="627" xr:uid="{00000000-0005-0000-0000-00009F040000}"/>
    <cellStyle name="40% - Accent2 2 4 2" xfId="2898" xr:uid="{00000000-0005-0000-0000-0000A0040000}"/>
    <cellStyle name="40% - Accent2 2 4 2 2" xfId="7121" xr:uid="{00000000-0005-0000-0000-0000A1040000}"/>
    <cellStyle name="40% - Accent2 2 4 2 2 2" xfId="23993" xr:uid="{15277EBA-02BC-4C7F-8488-845E1BE466EB}"/>
    <cellStyle name="40% - Accent2 2 4 2 2 3" xfId="15559" xr:uid="{4C2ADFC9-69EE-478E-99C7-AC770CCDC03F}"/>
    <cellStyle name="40% - Accent2 2 4 2 3" xfId="19776" xr:uid="{1E1E3E69-B3BF-42E3-8090-03C1AE245893}"/>
    <cellStyle name="40% - Accent2 2 4 2 4" xfId="11342" xr:uid="{C7178DDD-8959-47D7-92C0-41D225798BA9}"/>
    <cellStyle name="40% - Accent2 2 4 3" xfId="4976" xr:uid="{00000000-0005-0000-0000-0000A2040000}"/>
    <cellStyle name="40% - Accent2 2 4 3 2" xfId="21848" xr:uid="{71F46A1E-CA99-4DB9-909E-079C50CDFC60}"/>
    <cellStyle name="40% - Accent2 2 4 3 3" xfId="13414" xr:uid="{6A888E1F-F8E3-48B5-B317-F22DCA29CB46}"/>
    <cellStyle name="40% - Accent2 2 4 4" xfId="17631" xr:uid="{925A0425-6FBA-4110-99DD-115C8992F1A9}"/>
    <cellStyle name="40% - Accent2 2 4 5" xfId="9197" xr:uid="{30594A1D-3A60-4F82-898B-8EDC2C238EB1}"/>
    <cellStyle name="40% - Accent2 2 5" xfId="1080" xr:uid="{00000000-0005-0000-0000-0000A3040000}"/>
    <cellStyle name="40% - Accent2 2 5 2" xfId="3311" xr:uid="{00000000-0005-0000-0000-0000A4040000}"/>
    <cellStyle name="40% - Accent2 2 5 2 2" xfId="7534" xr:uid="{00000000-0005-0000-0000-0000A5040000}"/>
    <cellStyle name="40% - Accent2 2 5 2 2 2" xfId="24406" xr:uid="{E35C9AD0-972B-4F24-B960-346D44951A40}"/>
    <cellStyle name="40% - Accent2 2 5 2 2 3" xfId="15972" xr:uid="{3B5E2C25-6756-4E21-9B7C-C7A12BAC7248}"/>
    <cellStyle name="40% - Accent2 2 5 2 3" xfId="20189" xr:uid="{B666B705-2F8E-4FB6-92E0-906DB2A1AB22}"/>
    <cellStyle name="40% - Accent2 2 5 2 4" xfId="11755" xr:uid="{6968410F-31AB-4095-A1A9-756E6FF00F01}"/>
    <cellStyle name="40% - Accent2 2 5 3" xfId="5389" xr:uid="{00000000-0005-0000-0000-0000A6040000}"/>
    <cellStyle name="40% - Accent2 2 5 3 2" xfId="22261" xr:uid="{426878D1-BAE7-4D39-8235-A7BACD926E8F}"/>
    <cellStyle name="40% - Accent2 2 5 3 3" xfId="13827" xr:uid="{F8FED0C7-5C7C-4102-806B-802D9A987C40}"/>
    <cellStyle name="40% - Accent2 2 5 4" xfId="18044" xr:uid="{9233A198-D14A-4B43-A88E-1A4D39015E53}"/>
    <cellStyle name="40% - Accent2 2 5 5" xfId="9610" xr:uid="{59E4DBC0-CC2E-4DFE-983C-5585ABA1FBD1}"/>
    <cellStyle name="40% - Accent2 2 6" xfId="1494" xr:uid="{00000000-0005-0000-0000-0000A7040000}"/>
    <cellStyle name="40% - Accent2 2 6 2" xfId="3724" xr:uid="{00000000-0005-0000-0000-0000A8040000}"/>
    <cellStyle name="40% - Accent2 2 6 2 2" xfId="7947" xr:uid="{00000000-0005-0000-0000-0000A9040000}"/>
    <cellStyle name="40% - Accent2 2 6 2 2 2" xfId="24819" xr:uid="{7B59F3E6-0BEB-47D4-BB5F-BE2C3BEDF552}"/>
    <cellStyle name="40% - Accent2 2 6 2 2 3" xfId="16385" xr:uid="{5085EB17-4BFD-4218-AF9D-82A214D69838}"/>
    <cellStyle name="40% - Accent2 2 6 2 3" xfId="20602" xr:uid="{28F1A037-3EF4-4060-B7D7-C59681EE7137}"/>
    <cellStyle name="40% - Accent2 2 6 2 4" xfId="12168" xr:uid="{793B2324-3DD0-4720-BA0B-AE41415D3DC4}"/>
    <cellStyle name="40% - Accent2 2 6 3" xfId="5802" xr:uid="{00000000-0005-0000-0000-0000AA040000}"/>
    <cellStyle name="40% - Accent2 2 6 3 2" xfId="22674" xr:uid="{61AA7735-6D62-44A7-A3D2-85559341A170}"/>
    <cellStyle name="40% - Accent2 2 6 3 3" xfId="14240" xr:uid="{EA9FF11D-C9F2-4FF7-9E05-EEB167A1DDCC}"/>
    <cellStyle name="40% - Accent2 2 6 4" xfId="18457" xr:uid="{14A3A472-055F-4D70-93EA-A7AE5FA16505}"/>
    <cellStyle name="40% - Accent2 2 6 5" xfId="10023" xr:uid="{4DECFCC2-AB5C-447D-943F-3A41E2329A41}"/>
    <cellStyle name="40% - Accent2 2 7" xfId="1908" xr:uid="{00000000-0005-0000-0000-0000AB040000}"/>
    <cellStyle name="40% - Accent2 2 7 2" xfId="4137" xr:uid="{00000000-0005-0000-0000-0000AC040000}"/>
    <cellStyle name="40% - Accent2 2 7 2 2" xfId="8360" xr:uid="{00000000-0005-0000-0000-0000AD040000}"/>
    <cellStyle name="40% - Accent2 2 7 2 2 2" xfId="25232" xr:uid="{4F2F60CA-5412-4DDE-9243-3153F6C98AA5}"/>
    <cellStyle name="40% - Accent2 2 7 2 2 3" xfId="16798" xr:uid="{83E8970D-71B9-45DF-953E-3259B142AE18}"/>
    <cellStyle name="40% - Accent2 2 7 2 3" xfId="21015" xr:uid="{C59489DE-6F0D-4186-B1CF-C3A56A56BD47}"/>
    <cellStyle name="40% - Accent2 2 7 2 4" xfId="12581" xr:uid="{703AEC47-25BB-4462-8A8B-ABBEFE8774D4}"/>
    <cellStyle name="40% - Accent2 2 7 3" xfId="6215" xr:uid="{00000000-0005-0000-0000-0000AE040000}"/>
    <cellStyle name="40% - Accent2 2 7 3 2" xfId="23087" xr:uid="{52D99061-A425-432F-BDF0-FA2145FBB1B5}"/>
    <cellStyle name="40% - Accent2 2 7 3 3" xfId="14653" xr:uid="{6ED4EEEE-6CD9-47BC-8846-B5295BCF8E94}"/>
    <cellStyle name="40% - Accent2 2 7 4" xfId="18870" xr:uid="{1BB9B3D9-19CE-415D-B486-17F2E473259B}"/>
    <cellStyle name="40% - Accent2 2 7 5" xfId="10436" xr:uid="{C56AFED4-8917-4180-A58F-34C96A36EAE0}"/>
    <cellStyle name="40% - Accent2 2 8" xfId="2321" xr:uid="{00000000-0005-0000-0000-0000AF040000}"/>
    <cellStyle name="40% - Accent2 2 8 2" xfId="6628" xr:uid="{00000000-0005-0000-0000-0000B0040000}"/>
    <cellStyle name="40% - Accent2 2 8 2 2" xfId="23500" xr:uid="{B1D936F5-3B5B-422C-A028-F08FBAEE67C2}"/>
    <cellStyle name="40% - Accent2 2 8 2 3" xfId="15066" xr:uid="{513FF536-9649-4AF5-A072-CFDD8026B9DA}"/>
    <cellStyle name="40% - Accent2 2 8 3" xfId="19283" xr:uid="{282D68F0-8A76-467A-84B5-6F6C11BC901A}"/>
    <cellStyle name="40% - Accent2 2 8 4" xfId="10849" xr:uid="{01C65F90-4B46-4941-9C10-46E016BA93DD}"/>
    <cellStyle name="40% - Accent2 2 9" xfId="4562" xr:uid="{00000000-0005-0000-0000-0000B1040000}"/>
    <cellStyle name="40% - Accent2 2 9 2" xfId="21434" xr:uid="{D1B03081-7902-453B-88BD-68E8C615D983}"/>
    <cellStyle name="40% - Accent2 2 9 3" xfId="13000" xr:uid="{858996FC-CD4A-457E-85BA-A31812A030A0}"/>
    <cellStyle name="40% - Accent2 3" xfId="62" xr:uid="{00000000-0005-0000-0000-0000B2040000}"/>
    <cellStyle name="40% - Accent2 3 10" xfId="8787" xr:uid="{01E375AD-3B95-4479-B9B1-7FCCD2889DB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23998" xr:uid="{B37F86E4-24A5-495D-94E3-FB0574F96785}"/>
    <cellStyle name="40% - Accent2 3 2 2 2 2 3" xfId="15564" xr:uid="{4A0A5F71-6382-47DA-AA44-68FEDF278AC9}"/>
    <cellStyle name="40% - Accent2 3 2 2 2 3" xfId="19781" xr:uid="{606039A1-08D3-4BDA-AA5F-C8FA66D7642E}"/>
    <cellStyle name="40% - Accent2 3 2 2 2 4" xfId="11347" xr:uid="{C40DEEC8-8174-4786-8A00-1154DED784BE}"/>
    <cellStyle name="40% - Accent2 3 2 2 3" xfId="4981" xr:uid="{00000000-0005-0000-0000-0000B7040000}"/>
    <cellStyle name="40% - Accent2 3 2 2 3 2" xfId="21853" xr:uid="{1025B70C-8BE3-4A66-B73C-B452F39679A8}"/>
    <cellStyle name="40% - Accent2 3 2 2 3 3" xfId="13419" xr:uid="{52AEBFB3-46AF-4338-8BD5-B8D40E50E3CF}"/>
    <cellStyle name="40% - Accent2 3 2 2 4" xfId="17636" xr:uid="{110EFCD3-5A10-40BA-A34F-83F0B524A121}"/>
    <cellStyle name="40% - Accent2 3 2 2 5" xfId="9202" xr:uid="{870CA09B-DE7E-4EE6-8EB7-5B9DA7A82009}"/>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24411" xr:uid="{7A68067A-0847-4A95-BBFA-AD5E8C3F488E}"/>
    <cellStyle name="40% - Accent2 3 2 3 2 2 3" xfId="15977" xr:uid="{7D82B42F-98BE-4A78-8EA7-7179775B0ED9}"/>
    <cellStyle name="40% - Accent2 3 2 3 2 3" xfId="20194" xr:uid="{A70CA89A-7BF5-441B-90CC-739DDC11A98E}"/>
    <cellStyle name="40% - Accent2 3 2 3 2 4" xfId="11760" xr:uid="{FA26305A-6C67-48AD-B671-5E05772F78B4}"/>
    <cellStyle name="40% - Accent2 3 2 3 3" xfId="5394" xr:uid="{00000000-0005-0000-0000-0000BB040000}"/>
    <cellStyle name="40% - Accent2 3 2 3 3 2" xfId="22266" xr:uid="{CECC1412-AF32-4B3E-AE55-7EE004EB123D}"/>
    <cellStyle name="40% - Accent2 3 2 3 3 3" xfId="13832" xr:uid="{D799A25B-0E32-4B67-BA53-171149AD3156}"/>
    <cellStyle name="40% - Accent2 3 2 3 4" xfId="18049" xr:uid="{ABD40767-9D6B-4D1F-9C31-2F4EAE8D4232}"/>
    <cellStyle name="40% - Accent2 3 2 3 5" xfId="9615" xr:uid="{518A80E7-83C4-4E9B-BFF8-2B34887923BA}"/>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24824" xr:uid="{A221368E-9745-4358-8A61-CB4270E85735}"/>
    <cellStyle name="40% - Accent2 3 2 4 2 2 3" xfId="16390" xr:uid="{CA0B7817-0DF2-4E7E-897E-85AF28E7A11E}"/>
    <cellStyle name="40% - Accent2 3 2 4 2 3" xfId="20607" xr:uid="{9CED7027-8FAA-4C55-83A9-E1F52195B559}"/>
    <cellStyle name="40% - Accent2 3 2 4 2 4" xfId="12173" xr:uid="{F0D6CA39-64D0-444C-B250-90E596974311}"/>
    <cellStyle name="40% - Accent2 3 2 4 3" xfId="5807" xr:uid="{00000000-0005-0000-0000-0000BF040000}"/>
    <cellStyle name="40% - Accent2 3 2 4 3 2" xfId="22679" xr:uid="{DD1B8488-3F59-49C6-9729-F765C680440E}"/>
    <cellStyle name="40% - Accent2 3 2 4 3 3" xfId="14245" xr:uid="{1B9EED00-BDAE-4AC8-A837-B754D3D4AC94}"/>
    <cellStyle name="40% - Accent2 3 2 4 4" xfId="18462" xr:uid="{C6389310-9396-4651-BA17-81A145313414}"/>
    <cellStyle name="40% - Accent2 3 2 4 5" xfId="10028" xr:uid="{95EC8946-A637-4491-A9CC-EF40BA1678BF}"/>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25237" xr:uid="{79A640E9-DFF4-4D19-A0FA-5DE8C7F651A5}"/>
    <cellStyle name="40% - Accent2 3 2 5 2 2 3" xfId="16803" xr:uid="{7D1BC2A1-3889-4D43-A4DA-C7A9BF64E4E0}"/>
    <cellStyle name="40% - Accent2 3 2 5 2 3" xfId="21020" xr:uid="{32BC4982-DE60-479F-A489-0D64FC65EEEC}"/>
    <cellStyle name="40% - Accent2 3 2 5 2 4" xfId="12586" xr:uid="{2793E27C-033A-4EB0-9EF1-473F12E143D0}"/>
    <cellStyle name="40% - Accent2 3 2 5 3" xfId="6220" xr:uid="{00000000-0005-0000-0000-0000C3040000}"/>
    <cellStyle name="40% - Accent2 3 2 5 3 2" xfId="23092" xr:uid="{B71F3DFB-B0A9-434D-AD78-E1E87A5EBAB9}"/>
    <cellStyle name="40% - Accent2 3 2 5 3 3" xfId="14658" xr:uid="{FB1B6DC6-1193-4629-9BE7-D71188B114C5}"/>
    <cellStyle name="40% - Accent2 3 2 5 4" xfId="18875" xr:uid="{19031665-1C91-4265-B9C1-54F9A334236C}"/>
    <cellStyle name="40% - Accent2 3 2 5 5" xfId="10441" xr:uid="{663ADB91-689D-4E0E-8D0D-C217C224F4B8}"/>
    <cellStyle name="40% - Accent2 3 2 6" xfId="2326" xr:uid="{00000000-0005-0000-0000-0000C4040000}"/>
    <cellStyle name="40% - Accent2 3 2 6 2" xfId="6633" xr:uid="{00000000-0005-0000-0000-0000C5040000}"/>
    <cellStyle name="40% - Accent2 3 2 6 2 2" xfId="23505" xr:uid="{471AE8A5-468C-4616-9F4C-54D424B38F5A}"/>
    <cellStyle name="40% - Accent2 3 2 6 2 3" xfId="15071" xr:uid="{76F2A391-5015-4B69-AA3C-D17020A1C84B}"/>
    <cellStyle name="40% - Accent2 3 2 6 3" xfId="19288" xr:uid="{F8BF2964-FE96-4F06-93E9-2FBAB4E02FE4}"/>
    <cellStyle name="40% - Accent2 3 2 6 4" xfId="10854" xr:uid="{C88C1E25-B2D8-4F26-8493-9D7DFB1849ED}"/>
    <cellStyle name="40% - Accent2 3 2 7" xfId="4567" xr:uid="{00000000-0005-0000-0000-0000C6040000}"/>
    <cellStyle name="40% - Accent2 3 2 7 2" xfId="21439" xr:uid="{AB0253F7-1A5A-4849-B55C-76A26FC0450E}"/>
    <cellStyle name="40% - Accent2 3 2 7 3" xfId="13005" xr:uid="{21D50154-F5A7-498A-A6CA-922BA0EEA572}"/>
    <cellStyle name="40% - Accent2 3 2 8" xfId="17222" xr:uid="{C8EAB42D-B509-4613-8BC0-53EB39B00C95}"/>
    <cellStyle name="40% - Accent2 3 2 9" xfId="8788" xr:uid="{943A33BF-0BFF-4FC4-A660-83881E776C8A}"/>
    <cellStyle name="40% - Accent2 3 3" xfId="631" xr:uid="{00000000-0005-0000-0000-0000C7040000}"/>
    <cellStyle name="40% - Accent2 3 3 2" xfId="2902" xr:uid="{00000000-0005-0000-0000-0000C8040000}"/>
    <cellStyle name="40% - Accent2 3 3 2 2" xfId="7125" xr:uid="{00000000-0005-0000-0000-0000C9040000}"/>
    <cellStyle name="40% - Accent2 3 3 2 2 2" xfId="23997" xr:uid="{5BD988D1-EEAB-4CD2-A9BE-04E3AEC4CD5D}"/>
    <cellStyle name="40% - Accent2 3 3 2 2 3" xfId="15563" xr:uid="{0EE1C257-DD7A-4EE6-A86D-3DDA6E0C4B8F}"/>
    <cellStyle name="40% - Accent2 3 3 2 3" xfId="19780" xr:uid="{84270709-ED3A-4D89-AA74-F46A20DBF0B3}"/>
    <cellStyle name="40% - Accent2 3 3 2 4" xfId="11346" xr:uid="{88404E62-072A-425E-8771-A0E5339E132C}"/>
    <cellStyle name="40% - Accent2 3 3 3" xfId="4980" xr:uid="{00000000-0005-0000-0000-0000CA040000}"/>
    <cellStyle name="40% - Accent2 3 3 3 2" xfId="21852" xr:uid="{17D0E61C-D75A-482A-868E-3392608C7668}"/>
    <cellStyle name="40% - Accent2 3 3 3 3" xfId="13418" xr:uid="{959ACCDF-3224-4B89-85C4-388E20A1CEFF}"/>
    <cellStyle name="40% - Accent2 3 3 4" xfId="17635" xr:uid="{DB9AC45F-C728-4662-A9D1-9CA058889B75}"/>
    <cellStyle name="40% - Accent2 3 3 5" xfId="9201" xr:uid="{E83458A2-605E-4C46-8CA4-F400ACEE5284}"/>
    <cellStyle name="40% - Accent2 3 4" xfId="1084" xr:uid="{00000000-0005-0000-0000-0000CB040000}"/>
    <cellStyle name="40% - Accent2 3 4 2" xfId="3315" xr:uid="{00000000-0005-0000-0000-0000CC040000}"/>
    <cellStyle name="40% - Accent2 3 4 2 2" xfId="7538" xr:uid="{00000000-0005-0000-0000-0000CD040000}"/>
    <cellStyle name="40% - Accent2 3 4 2 2 2" xfId="24410" xr:uid="{8FDD8453-1774-4C5B-BD7A-8937102FC1A5}"/>
    <cellStyle name="40% - Accent2 3 4 2 2 3" xfId="15976" xr:uid="{C2B3A078-09E1-4777-AC29-AAFA2F390AB5}"/>
    <cellStyle name="40% - Accent2 3 4 2 3" xfId="20193" xr:uid="{56C55840-CE9F-413B-8C18-F64318F00AB4}"/>
    <cellStyle name="40% - Accent2 3 4 2 4" xfId="11759" xr:uid="{16C71704-DDF1-4428-8CCA-C4499C5E49B9}"/>
    <cellStyle name="40% - Accent2 3 4 3" xfId="5393" xr:uid="{00000000-0005-0000-0000-0000CE040000}"/>
    <cellStyle name="40% - Accent2 3 4 3 2" xfId="22265" xr:uid="{CA4525D5-A073-4442-9132-17CD3157B4DD}"/>
    <cellStyle name="40% - Accent2 3 4 3 3" xfId="13831" xr:uid="{573ACBB2-9ECA-4B7C-A69B-A6150E7DD973}"/>
    <cellStyle name="40% - Accent2 3 4 4" xfId="18048" xr:uid="{FD66E02C-2D60-43BA-979C-6F5819E72F04}"/>
    <cellStyle name="40% - Accent2 3 4 5" xfId="9614" xr:uid="{CAEDEDFF-C2C0-4D29-A8AD-5B5AE099B0D6}"/>
    <cellStyle name="40% - Accent2 3 5" xfId="1498" xr:uid="{00000000-0005-0000-0000-0000CF040000}"/>
    <cellStyle name="40% - Accent2 3 5 2" xfId="3728" xr:uid="{00000000-0005-0000-0000-0000D0040000}"/>
    <cellStyle name="40% - Accent2 3 5 2 2" xfId="7951" xr:uid="{00000000-0005-0000-0000-0000D1040000}"/>
    <cellStyle name="40% - Accent2 3 5 2 2 2" xfId="24823" xr:uid="{E613BB67-5A16-468F-AC33-251FF67B6DEC}"/>
    <cellStyle name="40% - Accent2 3 5 2 2 3" xfId="16389" xr:uid="{6A9B16FD-0DCE-4D90-B05D-72B7942D2B3D}"/>
    <cellStyle name="40% - Accent2 3 5 2 3" xfId="20606" xr:uid="{3A19E417-541C-42C8-AF80-439F97C158F5}"/>
    <cellStyle name="40% - Accent2 3 5 2 4" xfId="12172" xr:uid="{B4B5B4E9-C817-40E2-ACEC-BC626FA6ECEB}"/>
    <cellStyle name="40% - Accent2 3 5 3" xfId="5806" xr:uid="{00000000-0005-0000-0000-0000D2040000}"/>
    <cellStyle name="40% - Accent2 3 5 3 2" xfId="22678" xr:uid="{ED72E6D8-0A91-46DD-AAA7-BA5A11145DCE}"/>
    <cellStyle name="40% - Accent2 3 5 3 3" xfId="14244" xr:uid="{E5BE7730-E216-4896-BC10-E89FAAD29E32}"/>
    <cellStyle name="40% - Accent2 3 5 4" xfId="18461" xr:uid="{2D9BFF98-1C33-489B-9D6F-1AEEF144BD70}"/>
    <cellStyle name="40% - Accent2 3 5 5" xfId="10027" xr:uid="{39FE9EA9-E3A3-415A-BCAF-9588EA30692C}"/>
    <cellStyle name="40% - Accent2 3 6" xfId="1912" xr:uid="{00000000-0005-0000-0000-0000D3040000}"/>
    <cellStyle name="40% - Accent2 3 6 2" xfId="4141" xr:uid="{00000000-0005-0000-0000-0000D4040000}"/>
    <cellStyle name="40% - Accent2 3 6 2 2" xfId="8364" xr:uid="{00000000-0005-0000-0000-0000D5040000}"/>
    <cellStyle name="40% - Accent2 3 6 2 2 2" xfId="25236" xr:uid="{10C60495-F82C-46A4-AC1F-4378EF928BF2}"/>
    <cellStyle name="40% - Accent2 3 6 2 2 3" xfId="16802" xr:uid="{D569CDF5-A01F-4AE2-AD13-C4AC6F5D2DAD}"/>
    <cellStyle name="40% - Accent2 3 6 2 3" xfId="21019" xr:uid="{7F368322-83A3-4E45-8D5A-13C4A71765D5}"/>
    <cellStyle name="40% - Accent2 3 6 2 4" xfId="12585" xr:uid="{B6DE9E16-BF9B-4C90-9F14-51D892A6E899}"/>
    <cellStyle name="40% - Accent2 3 6 3" xfId="6219" xr:uid="{00000000-0005-0000-0000-0000D6040000}"/>
    <cellStyle name="40% - Accent2 3 6 3 2" xfId="23091" xr:uid="{C86C49D5-50EE-45CC-978B-EB55695D1501}"/>
    <cellStyle name="40% - Accent2 3 6 3 3" xfId="14657" xr:uid="{1C5F31C9-8763-4FD4-B10B-78E8EA0F57AA}"/>
    <cellStyle name="40% - Accent2 3 6 4" xfId="18874" xr:uid="{57D8A947-6B19-461B-A46F-DD8A54032DE6}"/>
    <cellStyle name="40% - Accent2 3 6 5" xfId="10440" xr:uid="{29C08721-7481-4D77-862A-9ECEC17A73F4}"/>
    <cellStyle name="40% - Accent2 3 7" xfId="2325" xr:uid="{00000000-0005-0000-0000-0000D7040000}"/>
    <cellStyle name="40% - Accent2 3 7 2" xfId="6632" xr:uid="{00000000-0005-0000-0000-0000D8040000}"/>
    <cellStyle name="40% - Accent2 3 7 2 2" xfId="23504" xr:uid="{0CB0CE03-6B1C-45D6-BA13-04D8844BDC2B}"/>
    <cellStyle name="40% - Accent2 3 7 2 3" xfId="15070" xr:uid="{CC4B41A1-0FFC-42C6-8DCB-193387D65171}"/>
    <cellStyle name="40% - Accent2 3 7 3" xfId="19287" xr:uid="{5B5746C0-B0BF-4262-9B13-32248D1E30BB}"/>
    <cellStyle name="40% - Accent2 3 7 4" xfId="10853" xr:uid="{38824E28-89ED-457E-9362-D6EDF16DE218}"/>
    <cellStyle name="40% - Accent2 3 8" xfId="4566" xr:uid="{00000000-0005-0000-0000-0000D9040000}"/>
    <cellStyle name="40% - Accent2 3 8 2" xfId="21438" xr:uid="{C1068160-2CDC-4609-8E5E-2E93CF2C6853}"/>
    <cellStyle name="40% - Accent2 3 8 3" xfId="13004" xr:uid="{7C86D877-524D-4016-8ECC-E4A26A213288}"/>
    <cellStyle name="40% - Accent2 3 9" xfId="17221" xr:uid="{6206EE62-7C7C-458D-8650-7C924939CF9A}"/>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23999" xr:uid="{19E6B2B0-F440-4D19-9EEF-29E3B5198A07}"/>
    <cellStyle name="40% - Accent2 4 2 2 2 3" xfId="15565" xr:uid="{B970F655-0C21-4CEB-A6DA-9B1B250D6C3C}"/>
    <cellStyle name="40% - Accent2 4 2 2 3" xfId="19782" xr:uid="{7A07F32C-BEE4-427F-8DC5-445486CE743D}"/>
    <cellStyle name="40% - Accent2 4 2 2 4" xfId="11348" xr:uid="{9ACE7ECE-8171-448B-9CA3-CE1A789B3660}"/>
    <cellStyle name="40% - Accent2 4 2 3" xfId="4982" xr:uid="{00000000-0005-0000-0000-0000DE040000}"/>
    <cellStyle name="40% - Accent2 4 2 3 2" xfId="21854" xr:uid="{536EA99F-E95F-43CE-9F57-0E8F9A9A8765}"/>
    <cellStyle name="40% - Accent2 4 2 3 3" xfId="13420" xr:uid="{4EAAB40D-8A95-407C-94F3-768E89ACD826}"/>
    <cellStyle name="40% - Accent2 4 2 4" xfId="17637" xr:uid="{B5489EA1-C6AF-49DB-8A68-8320EB6D93E0}"/>
    <cellStyle name="40% - Accent2 4 2 5" xfId="9203" xr:uid="{FAC9AA78-7ABE-41D4-9901-AE845EC9C781}"/>
    <cellStyle name="40% - Accent2 4 3" xfId="1086" xr:uid="{00000000-0005-0000-0000-0000DF040000}"/>
    <cellStyle name="40% - Accent2 4 3 2" xfId="3317" xr:uid="{00000000-0005-0000-0000-0000E0040000}"/>
    <cellStyle name="40% - Accent2 4 3 2 2" xfId="7540" xr:uid="{00000000-0005-0000-0000-0000E1040000}"/>
    <cellStyle name="40% - Accent2 4 3 2 2 2" xfId="24412" xr:uid="{EB16D41A-F7AD-434B-BBE5-DDF75818B41A}"/>
    <cellStyle name="40% - Accent2 4 3 2 2 3" xfId="15978" xr:uid="{BF79BCC2-45C4-421C-9F95-C4E11C92650A}"/>
    <cellStyle name="40% - Accent2 4 3 2 3" xfId="20195" xr:uid="{2EFA2E3F-31B9-429C-9B33-DE9DBAADC4F9}"/>
    <cellStyle name="40% - Accent2 4 3 2 4" xfId="11761" xr:uid="{4573753E-70F5-4A6D-8FA6-8007C5B600C8}"/>
    <cellStyle name="40% - Accent2 4 3 3" xfId="5395" xr:uid="{00000000-0005-0000-0000-0000E2040000}"/>
    <cellStyle name="40% - Accent2 4 3 3 2" xfId="22267" xr:uid="{687E2592-9C41-4D1B-B0BB-B93CEB72E35D}"/>
    <cellStyle name="40% - Accent2 4 3 3 3" xfId="13833" xr:uid="{4AE8E04C-B84F-4760-BDB2-F6B5504F68D5}"/>
    <cellStyle name="40% - Accent2 4 3 4" xfId="18050" xr:uid="{D4BC6843-F228-4881-8B87-1143401D892A}"/>
    <cellStyle name="40% - Accent2 4 3 5" xfId="9616" xr:uid="{3D88C615-6A0C-452C-B8BA-EF664138E178}"/>
    <cellStyle name="40% - Accent2 4 4" xfId="1500" xr:uid="{00000000-0005-0000-0000-0000E3040000}"/>
    <cellStyle name="40% - Accent2 4 4 2" xfId="3730" xr:uid="{00000000-0005-0000-0000-0000E4040000}"/>
    <cellStyle name="40% - Accent2 4 4 2 2" xfId="7953" xr:uid="{00000000-0005-0000-0000-0000E5040000}"/>
    <cellStyle name="40% - Accent2 4 4 2 2 2" xfId="24825" xr:uid="{B1EE791F-09B6-415A-85BE-E5486A94CC45}"/>
    <cellStyle name="40% - Accent2 4 4 2 2 3" xfId="16391" xr:uid="{E6191E23-C0C0-49FE-858B-4531CF8C850B}"/>
    <cellStyle name="40% - Accent2 4 4 2 3" xfId="20608" xr:uid="{EB0154D4-5285-4591-AAA4-15805688FF02}"/>
    <cellStyle name="40% - Accent2 4 4 2 4" xfId="12174" xr:uid="{F9B9C890-2D96-49F3-BDC1-9EC0C100455B}"/>
    <cellStyle name="40% - Accent2 4 4 3" xfId="5808" xr:uid="{00000000-0005-0000-0000-0000E6040000}"/>
    <cellStyle name="40% - Accent2 4 4 3 2" xfId="22680" xr:uid="{53BD5041-E9C0-4269-BAF2-F09F3A053377}"/>
    <cellStyle name="40% - Accent2 4 4 3 3" xfId="14246" xr:uid="{424CA016-2093-43BC-AF81-ABE4550A47C6}"/>
    <cellStyle name="40% - Accent2 4 4 4" xfId="18463" xr:uid="{766549C0-5549-4D61-A7EA-AA385A4D89F5}"/>
    <cellStyle name="40% - Accent2 4 4 5" xfId="10029" xr:uid="{451C937F-1772-418D-874A-E68919CB4804}"/>
    <cellStyle name="40% - Accent2 4 5" xfId="1914" xr:uid="{00000000-0005-0000-0000-0000E7040000}"/>
    <cellStyle name="40% - Accent2 4 5 2" xfId="4143" xr:uid="{00000000-0005-0000-0000-0000E8040000}"/>
    <cellStyle name="40% - Accent2 4 5 2 2" xfId="8366" xr:uid="{00000000-0005-0000-0000-0000E9040000}"/>
    <cellStyle name="40% - Accent2 4 5 2 2 2" xfId="25238" xr:uid="{CC40691E-6700-447E-A641-C69AD5480810}"/>
    <cellStyle name="40% - Accent2 4 5 2 2 3" xfId="16804" xr:uid="{F63252E3-7974-4C51-942E-9474B2D90695}"/>
    <cellStyle name="40% - Accent2 4 5 2 3" xfId="21021" xr:uid="{12DF1748-E837-4561-AD53-90270450F394}"/>
    <cellStyle name="40% - Accent2 4 5 2 4" xfId="12587" xr:uid="{77933D5F-4D59-420B-BEA2-5D63A969EE04}"/>
    <cellStyle name="40% - Accent2 4 5 3" xfId="6221" xr:uid="{00000000-0005-0000-0000-0000EA040000}"/>
    <cellStyle name="40% - Accent2 4 5 3 2" xfId="23093" xr:uid="{59968FD8-6D16-4EAA-8A71-6FF168FF63D6}"/>
    <cellStyle name="40% - Accent2 4 5 3 3" xfId="14659" xr:uid="{8118E739-F4E1-4842-BDE7-22166B0065C0}"/>
    <cellStyle name="40% - Accent2 4 5 4" xfId="18876" xr:uid="{AFA09506-38BC-4E3D-9673-6BF706D14319}"/>
    <cellStyle name="40% - Accent2 4 5 5" xfId="10442" xr:uid="{FF93BAD8-91DE-4E47-9EEB-BF4813FB71BB}"/>
    <cellStyle name="40% - Accent2 4 6" xfId="2327" xr:uid="{00000000-0005-0000-0000-0000EB040000}"/>
    <cellStyle name="40% - Accent2 4 6 2" xfId="6634" xr:uid="{00000000-0005-0000-0000-0000EC040000}"/>
    <cellStyle name="40% - Accent2 4 6 2 2" xfId="23506" xr:uid="{01DB3B96-BEA2-4EF6-920F-9E35DF1ECBC6}"/>
    <cellStyle name="40% - Accent2 4 6 2 3" xfId="15072" xr:uid="{7838441A-92B3-4C54-A46B-59A580353A3C}"/>
    <cellStyle name="40% - Accent2 4 6 3" xfId="19289" xr:uid="{D57112C0-734E-4B2A-90A6-7D7EA381A9B6}"/>
    <cellStyle name="40% - Accent2 4 6 4" xfId="10855" xr:uid="{296E164B-858E-4086-836D-28F16197D00A}"/>
    <cellStyle name="40% - Accent2 4 7" xfId="4568" xr:uid="{00000000-0005-0000-0000-0000ED040000}"/>
    <cellStyle name="40% - Accent2 4 7 2" xfId="21440" xr:uid="{F8C19331-3C6A-4601-9C89-A1192BD7AD8C}"/>
    <cellStyle name="40% - Accent2 4 7 3" xfId="13006" xr:uid="{CCE016DE-41AA-4F65-97FB-8231655E0DC0}"/>
    <cellStyle name="40% - Accent2 4 8" xfId="17223" xr:uid="{721068ED-530B-4B83-B366-FC82C62079D8}"/>
    <cellStyle name="40% - Accent2 4 9" xfId="8789" xr:uid="{5FF101DA-0D07-4101-A428-F2EBA5637FCE}"/>
    <cellStyle name="40% - Accent2 5" xfId="626" xr:uid="{00000000-0005-0000-0000-0000EE040000}"/>
    <cellStyle name="40% - Accent2 5 2" xfId="2897" xr:uid="{00000000-0005-0000-0000-0000EF040000}"/>
    <cellStyle name="40% - Accent2 5 2 2" xfId="7120" xr:uid="{00000000-0005-0000-0000-0000F0040000}"/>
    <cellStyle name="40% - Accent2 5 2 2 2" xfId="23992" xr:uid="{2B115231-DCAE-41F7-A2A2-7912F9277E13}"/>
    <cellStyle name="40% - Accent2 5 2 2 3" xfId="15558" xr:uid="{50E73CC3-1306-45F2-B4A0-943C5D1C5A1C}"/>
    <cellStyle name="40% - Accent2 5 2 3" xfId="19775" xr:uid="{3B635F15-2D0E-49DC-B3B4-C4470136D57D}"/>
    <cellStyle name="40% - Accent2 5 2 4" xfId="11341" xr:uid="{E6E3F372-31C3-44AD-9CF1-8D0866C99AB0}"/>
    <cellStyle name="40% - Accent2 5 3" xfId="4975" xr:uid="{00000000-0005-0000-0000-0000F1040000}"/>
    <cellStyle name="40% - Accent2 5 3 2" xfId="21847" xr:uid="{1E80195D-F18D-431C-8B6B-5F5434B47595}"/>
    <cellStyle name="40% - Accent2 5 3 3" xfId="13413" xr:uid="{D3BDB30F-03F7-459B-ACB7-D89529188A30}"/>
    <cellStyle name="40% - Accent2 5 4" xfId="17630" xr:uid="{B3802E11-3BAF-425D-BFD0-119948B137E3}"/>
    <cellStyle name="40% - Accent2 5 5" xfId="9196" xr:uid="{FD6B46BA-51C8-4F84-A439-82D0D0E15091}"/>
    <cellStyle name="40% - Accent2 6" xfId="1079" xr:uid="{00000000-0005-0000-0000-0000F2040000}"/>
    <cellStyle name="40% - Accent2 6 2" xfId="3310" xr:uid="{00000000-0005-0000-0000-0000F3040000}"/>
    <cellStyle name="40% - Accent2 6 2 2" xfId="7533" xr:uid="{00000000-0005-0000-0000-0000F4040000}"/>
    <cellStyle name="40% - Accent2 6 2 2 2" xfId="24405" xr:uid="{070F1242-DF92-4606-9E89-F2937B5F73E7}"/>
    <cellStyle name="40% - Accent2 6 2 2 3" xfId="15971" xr:uid="{8DF56CA5-CDF1-43F7-BFD1-6C4902CD64A2}"/>
    <cellStyle name="40% - Accent2 6 2 3" xfId="20188" xr:uid="{B4F5925C-8A68-4390-BE94-8D67E3F51981}"/>
    <cellStyle name="40% - Accent2 6 2 4" xfId="11754" xr:uid="{7277F05E-5B9E-40E5-A180-1C98066731A6}"/>
    <cellStyle name="40% - Accent2 6 3" xfId="5388" xr:uid="{00000000-0005-0000-0000-0000F5040000}"/>
    <cellStyle name="40% - Accent2 6 3 2" xfId="22260" xr:uid="{A840E370-3EB3-4580-B4F5-F88D1746FAA5}"/>
    <cellStyle name="40% - Accent2 6 3 3" xfId="13826" xr:uid="{2EC98949-A1B2-425E-AFF2-F53BE3B5FF1A}"/>
    <cellStyle name="40% - Accent2 6 4" xfId="18043" xr:uid="{766F6152-1664-4095-AD4D-8F4B628536DA}"/>
    <cellStyle name="40% - Accent2 6 5" xfId="9609" xr:uid="{94C78016-986B-46BF-9B37-2997D46A75BB}"/>
    <cellStyle name="40% - Accent2 7" xfId="1493" xr:uid="{00000000-0005-0000-0000-0000F6040000}"/>
    <cellStyle name="40% - Accent2 7 2" xfId="3723" xr:uid="{00000000-0005-0000-0000-0000F7040000}"/>
    <cellStyle name="40% - Accent2 7 2 2" xfId="7946" xr:uid="{00000000-0005-0000-0000-0000F8040000}"/>
    <cellStyle name="40% - Accent2 7 2 2 2" xfId="24818" xr:uid="{BCC3234B-B1EC-48DC-9B61-2381ACD28152}"/>
    <cellStyle name="40% - Accent2 7 2 2 3" xfId="16384" xr:uid="{5B8505AF-877A-406B-9173-110467C49FC7}"/>
    <cellStyle name="40% - Accent2 7 2 3" xfId="20601" xr:uid="{868B872F-6CF4-4066-8144-BE143471CE3C}"/>
    <cellStyle name="40% - Accent2 7 2 4" xfId="12167" xr:uid="{877CA109-17F3-4760-881A-B73E76660D84}"/>
    <cellStyle name="40% - Accent2 7 3" xfId="5801" xr:uid="{00000000-0005-0000-0000-0000F9040000}"/>
    <cellStyle name="40% - Accent2 7 3 2" xfId="22673" xr:uid="{1FEC011A-2EE9-4323-AC0F-1300A77B20E9}"/>
    <cellStyle name="40% - Accent2 7 3 3" xfId="14239" xr:uid="{D3CC5FF0-634D-4F1A-84EF-7F381E323B33}"/>
    <cellStyle name="40% - Accent2 7 4" xfId="18456" xr:uid="{557FDA99-76AA-41EF-93D9-22DE0CB2B64A}"/>
    <cellStyle name="40% - Accent2 7 5" xfId="10022" xr:uid="{5EC58874-E4D2-48F6-8894-460C49E208BC}"/>
    <cellStyle name="40% - Accent2 8" xfId="1907" xr:uid="{00000000-0005-0000-0000-0000FA040000}"/>
    <cellStyle name="40% - Accent2 8 2" xfId="4136" xr:uid="{00000000-0005-0000-0000-0000FB040000}"/>
    <cellStyle name="40% - Accent2 8 2 2" xfId="8359" xr:uid="{00000000-0005-0000-0000-0000FC040000}"/>
    <cellStyle name="40% - Accent2 8 2 2 2" xfId="25231" xr:uid="{61866638-DD22-40EE-8266-F1CA30C0C0B7}"/>
    <cellStyle name="40% - Accent2 8 2 2 3" xfId="16797" xr:uid="{75B6D7BF-2632-4AB6-B482-5B7C326D3250}"/>
    <cellStyle name="40% - Accent2 8 2 3" xfId="21014" xr:uid="{8A8CF30B-46E8-4843-82B4-986ACCB14436}"/>
    <cellStyle name="40% - Accent2 8 2 4" xfId="12580" xr:uid="{3D6EC0E1-FAE6-414C-B7FB-7D0ACE95095C}"/>
    <cellStyle name="40% - Accent2 8 3" xfId="6214" xr:uid="{00000000-0005-0000-0000-0000FD040000}"/>
    <cellStyle name="40% - Accent2 8 3 2" xfId="23086" xr:uid="{9A5563D5-726C-49CA-86A1-4CF2DFD39162}"/>
    <cellStyle name="40% - Accent2 8 3 3" xfId="14652" xr:uid="{5F9A7853-DF56-4C57-AEE0-39BB937E3CFD}"/>
    <cellStyle name="40% - Accent2 8 4" xfId="18869" xr:uid="{B81C415F-F841-477E-954A-60B6E994BE8E}"/>
    <cellStyle name="40% - Accent2 8 5" xfId="10435" xr:uid="{4EB64C73-AABB-4B67-A9C9-4162EA819364}"/>
    <cellStyle name="40% - Accent2 9" xfId="2320" xr:uid="{00000000-0005-0000-0000-0000FE040000}"/>
    <cellStyle name="40% - Accent2 9 2" xfId="6627" xr:uid="{00000000-0005-0000-0000-0000FF040000}"/>
    <cellStyle name="40% - Accent2 9 2 2" xfId="23499" xr:uid="{DA125872-41DE-4CB6-ACDC-90BA5A9F15A2}"/>
    <cellStyle name="40% - Accent2 9 2 3" xfId="15065" xr:uid="{C3A136C0-3334-4C25-A0A6-0EBDA7C150F1}"/>
    <cellStyle name="40% - Accent2 9 3" xfId="19282" xr:uid="{6899D4BE-60CE-425F-A1DD-639998E86F1E}"/>
    <cellStyle name="40% - Accent2 9 4" xfId="10848" xr:uid="{5E20F66D-698C-4C00-AB55-9A1DFAC66CA7}"/>
    <cellStyle name="40% - Accent3" xfId="65" builtinId="39" customBuiltin="1"/>
    <cellStyle name="40% - Accent3 10" xfId="4569" xr:uid="{00000000-0005-0000-0000-000001050000}"/>
    <cellStyle name="40% - Accent3 10 2" xfId="21441" xr:uid="{DD425ACB-1834-43D1-8A6E-C7929B1DA66C}"/>
    <cellStyle name="40% - Accent3 10 3" xfId="13007" xr:uid="{2BC3243C-B25C-456F-8DAB-F4CEC809C77B}"/>
    <cellStyle name="40% - Accent3 11" xfId="17224" xr:uid="{15325F67-017C-46DA-B453-6BDB33330008}"/>
    <cellStyle name="40% - Accent3 12" xfId="8790" xr:uid="{EE3DBCDC-5A0B-460C-A934-2995DE56197A}"/>
    <cellStyle name="40% - Accent3 2" xfId="66" xr:uid="{00000000-0005-0000-0000-000002050000}"/>
    <cellStyle name="40% - Accent3 2 10" xfId="17225" xr:uid="{2173D4FE-21C8-43F7-BA48-77A1137D39B6}"/>
    <cellStyle name="40% - Accent3 2 11" xfId="8791" xr:uid="{68CDCDAC-BF2B-4801-B0E7-A4039AA7E41B}"/>
    <cellStyle name="40% - Accent3 2 2" xfId="67" xr:uid="{00000000-0005-0000-0000-000003050000}"/>
    <cellStyle name="40% - Accent3 2 2 10" xfId="8792" xr:uid="{BEE5E6D0-E673-43D0-9E77-C48DD59E3F22}"/>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24003" xr:uid="{81BDAAE5-6444-4CA5-9EDC-D030E10D5AD8}"/>
    <cellStyle name="40% - Accent3 2 2 2 2 2 2 3" xfId="15569" xr:uid="{6DBA79C1-C168-45E9-B620-4F84530C0AF7}"/>
    <cellStyle name="40% - Accent3 2 2 2 2 2 3" xfId="19786" xr:uid="{798ABC83-0F1B-43D3-9F97-E9DDB5626B9F}"/>
    <cellStyle name="40% - Accent3 2 2 2 2 2 4" xfId="11352" xr:uid="{3FC0A54F-E4AD-4223-8DEF-8BB67D53324B}"/>
    <cellStyle name="40% - Accent3 2 2 2 2 3" xfId="4986" xr:uid="{00000000-0005-0000-0000-000008050000}"/>
    <cellStyle name="40% - Accent3 2 2 2 2 3 2" xfId="21858" xr:uid="{695F1E2D-C1C0-46F5-821A-75B694F7AC47}"/>
    <cellStyle name="40% - Accent3 2 2 2 2 3 3" xfId="13424" xr:uid="{F1AE5387-70C7-420E-AF4D-A5F8E3A69ECD}"/>
    <cellStyle name="40% - Accent3 2 2 2 2 4" xfId="17641" xr:uid="{08ABDB96-F8EE-473D-B6A8-7717D6E6DF7B}"/>
    <cellStyle name="40% - Accent3 2 2 2 2 5" xfId="9207" xr:uid="{03853EF2-FD05-495A-96D9-489EF511AB3A}"/>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24416" xr:uid="{02B35222-7774-4DC4-893E-65ECB3C0096C}"/>
    <cellStyle name="40% - Accent3 2 2 2 3 2 2 3" xfId="15982" xr:uid="{20CD7142-DECE-49F9-9AB9-20019F23833B}"/>
    <cellStyle name="40% - Accent3 2 2 2 3 2 3" xfId="20199" xr:uid="{C4303243-EBF1-45EF-8C7B-C91605F235B2}"/>
    <cellStyle name="40% - Accent3 2 2 2 3 2 4" xfId="11765" xr:uid="{D0330996-4229-454A-ACDC-AB72309E074D}"/>
    <cellStyle name="40% - Accent3 2 2 2 3 3" xfId="5399" xr:uid="{00000000-0005-0000-0000-00000C050000}"/>
    <cellStyle name="40% - Accent3 2 2 2 3 3 2" xfId="22271" xr:uid="{97A1F456-C275-43DE-A546-69C53B44B3B1}"/>
    <cellStyle name="40% - Accent3 2 2 2 3 3 3" xfId="13837" xr:uid="{BB66D64F-7F5E-40ED-A20A-0F54B22CDFCF}"/>
    <cellStyle name="40% - Accent3 2 2 2 3 4" xfId="18054" xr:uid="{918AF309-7FA5-4B59-A95B-E336C18C6E22}"/>
    <cellStyle name="40% - Accent3 2 2 2 3 5" xfId="9620" xr:uid="{60D3D754-E602-43B1-84C7-94EB0D53172F}"/>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24829" xr:uid="{979EBE35-C9A7-4B74-98C5-169444F24A79}"/>
    <cellStyle name="40% - Accent3 2 2 2 4 2 2 3" xfId="16395" xr:uid="{51DB2599-0FF5-425D-9CDB-1CE4764C69BD}"/>
    <cellStyle name="40% - Accent3 2 2 2 4 2 3" xfId="20612" xr:uid="{1E627388-A8A3-480C-B343-EC7907032050}"/>
    <cellStyle name="40% - Accent3 2 2 2 4 2 4" xfId="12178" xr:uid="{DC5C9219-2070-43B4-8FCA-5993724466F7}"/>
    <cellStyle name="40% - Accent3 2 2 2 4 3" xfId="5812" xr:uid="{00000000-0005-0000-0000-000010050000}"/>
    <cellStyle name="40% - Accent3 2 2 2 4 3 2" xfId="22684" xr:uid="{26F8DE65-604F-477B-B901-C72981F9773E}"/>
    <cellStyle name="40% - Accent3 2 2 2 4 3 3" xfId="14250" xr:uid="{EDB23AA6-5449-430E-A610-689D8257D4C2}"/>
    <cellStyle name="40% - Accent3 2 2 2 4 4" xfId="18467" xr:uid="{FE9AE891-F3C9-4D57-BE4F-09F4A47FC33A}"/>
    <cellStyle name="40% - Accent3 2 2 2 4 5" xfId="10033" xr:uid="{218B4CB3-3FB4-4C9E-B41E-576262987822}"/>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25242" xr:uid="{3AA30A7F-5B49-4D2C-BCD9-5CBFE1C67455}"/>
    <cellStyle name="40% - Accent3 2 2 2 5 2 2 3" xfId="16808" xr:uid="{19E96063-CD6B-43C6-B53E-9378659D3BE2}"/>
    <cellStyle name="40% - Accent3 2 2 2 5 2 3" xfId="21025" xr:uid="{3BEACEBA-2379-485A-8408-ED0C302D3EC9}"/>
    <cellStyle name="40% - Accent3 2 2 2 5 2 4" xfId="12591" xr:uid="{B653F91B-C585-4D7F-8DB1-85BB6BB74F72}"/>
    <cellStyle name="40% - Accent3 2 2 2 5 3" xfId="6225" xr:uid="{00000000-0005-0000-0000-000014050000}"/>
    <cellStyle name="40% - Accent3 2 2 2 5 3 2" xfId="23097" xr:uid="{C749981D-786B-40CA-8447-E165077B6B2E}"/>
    <cellStyle name="40% - Accent3 2 2 2 5 3 3" xfId="14663" xr:uid="{59515521-1680-44D8-BBE5-B06D3D9BCE0A}"/>
    <cellStyle name="40% - Accent3 2 2 2 5 4" xfId="18880" xr:uid="{DBC0834A-E86B-4079-B9BE-F8A8FE5E5E91}"/>
    <cellStyle name="40% - Accent3 2 2 2 5 5" xfId="10446" xr:uid="{ACA3E369-62CC-4C79-B28E-D8280253CA12}"/>
    <cellStyle name="40% - Accent3 2 2 2 6" xfId="2331" xr:uid="{00000000-0005-0000-0000-000015050000}"/>
    <cellStyle name="40% - Accent3 2 2 2 6 2" xfId="6638" xr:uid="{00000000-0005-0000-0000-000016050000}"/>
    <cellStyle name="40% - Accent3 2 2 2 6 2 2" xfId="23510" xr:uid="{B37E2F81-B45E-4DD8-82F9-3087DCEB25FE}"/>
    <cellStyle name="40% - Accent3 2 2 2 6 2 3" xfId="15076" xr:uid="{4C8D79EF-3766-4879-8780-B15BDFD353C4}"/>
    <cellStyle name="40% - Accent3 2 2 2 6 3" xfId="19293" xr:uid="{DA2FD65A-7F47-449F-A7FF-65BAF9938A52}"/>
    <cellStyle name="40% - Accent3 2 2 2 6 4" xfId="10859" xr:uid="{C08981C8-044A-4EE7-961C-40EAC661B79F}"/>
    <cellStyle name="40% - Accent3 2 2 2 7" xfId="4572" xr:uid="{00000000-0005-0000-0000-000017050000}"/>
    <cellStyle name="40% - Accent3 2 2 2 7 2" xfId="21444" xr:uid="{ADB3010F-E9F1-4015-9626-17DC8035A950}"/>
    <cellStyle name="40% - Accent3 2 2 2 7 3" xfId="13010" xr:uid="{BC1079EB-D938-41DF-A2FE-06F6D8E7F125}"/>
    <cellStyle name="40% - Accent3 2 2 2 8" xfId="17227" xr:uid="{0B725CAD-D04A-451C-93BA-40362651E289}"/>
    <cellStyle name="40% - Accent3 2 2 2 9" xfId="8793" xr:uid="{822C4588-2CDD-4D93-96CF-D765357DDD14}"/>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24002" xr:uid="{5760EC83-32F9-48EB-91B8-E780CC15F4F9}"/>
    <cellStyle name="40% - Accent3 2 2 3 2 2 3" xfId="15568" xr:uid="{95747884-7AA4-4B9F-B311-F70B980806E3}"/>
    <cellStyle name="40% - Accent3 2 2 3 2 3" xfId="19785" xr:uid="{135D5241-18D2-4C24-80B1-165ACE1F842F}"/>
    <cellStyle name="40% - Accent3 2 2 3 2 4" xfId="11351" xr:uid="{CDFA543B-03BF-4BAB-83F4-46B3DBDD8CA2}"/>
    <cellStyle name="40% - Accent3 2 2 3 3" xfId="4985" xr:uid="{00000000-0005-0000-0000-00001B050000}"/>
    <cellStyle name="40% - Accent3 2 2 3 3 2" xfId="21857" xr:uid="{1F364394-F126-4E4B-B7BB-49CDC5281256}"/>
    <cellStyle name="40% - Accent3 2 2 3 3 3" xfId="13423" xr:uid="{241711A8-FE7F-4A96-A786-D02BD70AD81C}"/>
    <cellStyle name="40% - Accent3 2 2 3 4" xfId="17640" xr:uid="{B3013EBC-DEC2-4606-A919-0C4C867CCB53}"/>
    <cellStyle name="40% - Accent3 2 2 3 5" xfId="9206" xr:uid="{46794D4F-2BFF-4C19-A008-E7EF2D710776}"/>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24415" xr:uid="{DABEC9FD-C7E4-4893-AB2F-6C63B2D738E6}"/>
    <cellStyle name="40% - Accent3 2 2 4 2 2 3" xfId="15981" xr:uid="{76F530D5-2364-4F96-92C5-D0C084E5CA90}"/>
    <cellStyle name="40% - Accent3 2 2 4 2 3" xfId="20198" xr:uid="{297909ED-00C6-4D64-AC58-78BDD2854BC5}"/>
    <cellStyle name="40% - Accent3 2 2 4 2 4" xfId="11764" xr:uid="{CF041A8B-7BA2-41F8-82C7-22DC3237ACA5}"/>
    <cellStyle name="40% - Accent3 2 2 4 3" xfId="5398" xr:uid="{00000000-0005-0000-0000-00001F050000}"/>
    <cellStyle name="40% - Accent3 2 2 4 3 2" xfId="22270" xr:uid="{E378C318-0E22-497D-9416-1FAF5FF59E5D}"/>
    <cellStyle name="40% - Accent3 2 2 4 3 3" xfId="13836" xr:uid="{399D3C15-C5A7-4BCA-B9F3-41B7745AA127}"/>
    <cellStyle name="40% - Accent3 2 2 4 4" xfId="18053" xr:uid="{C444FB08-F1F3-480D-A879-CE843F9630BC}"/>
    <cellStyle name="40% - Accent3 2 2 4 5" xfId="9619" xr:uid="{3E76D411-FC9B-491E-815E-A814B88225A4}"/>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24828" xr:uid="{2A0233E7-BD4D-457A-8D2A-8F0A4FFE9665}"/>
    <cellStyle name="40% - Accent3 2 2 5 2 2 3" xfId="16394" xr:uid="{5B915108-BE27-4943-A4EE-1D923D2DEFA3}"/>
    <cellStyle name="40% - Accent3 2 2 5 2 3" xfId="20611" xr:uid="{6A7C6C72-A521-47B2-9B0C-4CB430B518FB}"/>
    <cellStyle name="40% - Accent3 2 2 5 2 4" xfId="12177" xr:uid="{B641DE1D-C6C4-472D-9D0E-4DA410AF509C}"/>
    <cellStyle name="40% - Accent3 2 2 5 3" xfId="5811" xr:uid="{00000000-0005-0000-0000-000023050000}"/>
    <cellStyle name="40% - Accent3 2 2 5 3 2" xfId="22683" xr:uid="{F186B513-9BFF-4565-A962-6DA96F404139}"/>
    <cellStyle name="40% - Accent3 2 2 5 3 3" xfId="14249" xr:uid="{D17A3C2F-1C4D-414A-B606-0862FE291D48}"/>
    <cellStyle name="40% - Accent3 2 2 5 4" xfId="18466" xr:uid="{E7F57DA4-B64F-42B0-A023-545E2959B983}"/>
    <cellStyle name="40% - Accent3 2 2 5 5" xfId="10032" xr:uid="{BF952051-16AC-4FE7-A01D-5ABCA9171768}"/>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25241" xr:uid="{C20F11D3-82A4-46CD-9D7F-1B0758371A76}"/>
    <cellStyle name="40% - Accent3 2 2 6 2 2 3" xfId="16807" xr:uid="{834B833D-E951-40C8-9F26-DED4A2A05D07}"/>
    <cellStyle name="40% - Accent3 2 2 6 2 3" xfId="21024" xr:uid="{2991D9F5-0DD2-456D-95B8-835793C7E229}"/>
    <cellStyle name="40% - Accent3 2 2 6 2 4" xfId="12590" xr:uid="{C1F51E26-A5CC-473C-B374-3020C277F458}"/>
    <cellStyle name="40% - Accent3 2 2 6 3" xfId="6224" xr:uid="{00000000-0005-0000-0000-000027050000}"/>
    <cellStyle name="40% - Accent3 2 2 6 3 2" xfId="23096" xr:uid="{51750FEE-FFB1-472E-960A-710F8460F62B}"/>
    <cellStyle name="40% - Accent3 2 2 6 3 3" xfId="14662" xr:uid="{DB11615E-88F8-4B84-8A1F-FD4035414E41}"/>
    <cellStyle name="40% - Accent3 2 2 6 4" xfId="18879" xr:uid="{DD9B522B-CCFA-4515-939D-A0D55F383986}"/>
    <cellStyle name="40% - Accent3 2 2 6 5" xfId="10445" xr:uid="{FAAF75CA-6669-4002-9797-32FD989F2E79}"/>
    <cellStyle name="40% - Accent3 2 2 7" xfId="2330" xr:uid="{00000000-0005-0000-0000-000028050000}"/>
    <cellStyle name="40% - Accent3 2 2 7 2" xfId="6637" xr:uid="{00000000-0005-0000-0000-000029050000}"/>
    <cellStyle name="40% - Accent3 2 2 7 2 2" xfId="23509" xr:uid="{5B747E33-7197-4F54-9CD3-1CFD84041879}"/>
    <cellStyle name="40% - Accent3 2 2 7 2 3" xfId="15075" xr:uid="{403CBFD1-3DA6-482D-9216-4E14E8564911}"/>
    <cellStyle name="40% - Accent3 2 2 7 3" xfId="19292" xr:uid="{124F113C-631C-4B13-A38E-F9216A93FD8D}"/>
    <cellStyle name="40% - Accent3 2 2 7 4" xfId="10858" xr:uid="{36494F56-8B72-4235-9A67-158861AAF5EF}"/>
    <cellStyle name="40% - Accent3 2 2 8" xfId="4571" xr:uid="{00000000-0005-0000-0000-00002A050000}"/>
    <cellStyle name="40% - Accent3 2 2 8 2" xfId="21443" xr:uid="{9E7607DB-8BC6-4127-91E0-509450FFA545}"/>
    <cellStyle name="40% - Accent3 2 2 8 3" xfId="13009" xr:uid="{2ECA0BFB-2C86-424E-B7A1-47F028ACAFB8}"/>
    <cellStyle name="40% - Accent3 2 2 9" xfId="17226" xr:uid="{162EB318-B9B8-4DBE-B037-14157136A9C8}"/>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24004" xr:uid="{3825D9A2-65AB-42BE-BF95-B4A7D6333DC6}"/>
    <cellStyle name="40% - Accent3 2 3 2 2 2 3" xfId="15570" xr:uid="{DBCB9167-44AA-4C4C-96FE-8390D5CCA495}"/>
    <cellStyle name="40% - Accent3 2 3 2 2 3" xfId="19787" xr:uid="{C48373C8-5C3D-4F83-9E7F-DA7D59565F8A}"/>
    <cellStyle name="40% - Accent3 2 3 2 2 4" xfId="11353" xr:uid="{555A6B5F-8D03-401A-8FA6-C4DB327061CF}"/>
    <cellStyle name="40% - Accent3 2 3 2 3" xfId="4987" xr:uid="{00000000-0005-0000-0000-00002F050000}"/>
    <cellStyle name="40% - Accent3 2 3 2 3 2" xfId="21859" xr:uid="{7BF2F22F-D483-4E3D-A14D-4A97E00C0168}"/>
    <cellStyle name="40% - Accent3 2 3 2 3 3" xfId="13425" xr:uid="{BA33B22A-702F-428D-9C69-B1D371FA9588}"/>
    <cellStyle name="40% - Accent3 2 3 2 4" xfId="17642" xr:uid="{2383E312-C025-404B-9770-E14F8EF218CF}"/>
    <cellStyle name="40% - Accent3 2 3 2 5" xfId="9208" xr:uid="{745C6E09-C934-495D-90C3-13D4A4085268}"/>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24417" xr:uid="{283921B0-D277-4688-ADE9-DA23C4D88D5F}"/>
    <cellStyle name="40% - Accent3 2 3 3 2 2 3" xfId="15983" xr:uid="{2F05AF51-4752-4775-8473-0DA047D53DA2}"/>
    <cellStyle name="40% - Accent3 2 3 3 2 3" xfId="20200" xr:uid="{36BD7CAA-DB98-4496-A01F-593EF1348F26}"/>
    <cellStyle name="40% - Accent3 2 3 3 2 4" xfId="11766" xr:uid="{E3E11A29-9347-4D23-8132-9351CCBC1254}"/>
    <cellStyle name="40% - Accent3 2 3 3 3" xfId="5400" xr:uid="{00000000-0005-0000-0000-000033050000}"/>
    <cellStyle name="40% - Accent3 2 3 3 3 2" xfId="22272" xr:uid="{2A5BB358-3DED-4611-8389-E93C13DADDC0}"/>
    <cellStyle name="40% - Accent3 2 3 3 3 3" xfId="13838" xr:uid="{1E30474E-8081-454A-B386-48F41BF8306B}"/>
    <cellStyle name="40% - Accent3 2 3 3 4" xfId="18055" xr:uid="{A3FB42C3-2797-493D-AD71-4F4F2E89894E}"/>
    <cellStyle name="40% - Accent3 2 3 3 5" xfId="9621" xr:uid="{3BF394B5-8437-4B26-A5ED-75A16A6EDE53}"/>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24830" xr:uid="{203EE3DD-913C-4ED9-8986-52A0B5084B3C}"/>
    <cellStyle name="40% - Accent3 2 3 4 2 2 3" xfId="16396" xr:uid="{243F782C-3771-400F-B802-AD9A8117681B}"/>
    <cellStyle name="40% - Accent3 2 3 4 2 3" xfId="20613" xr:uid="{85F94B90-CB69-4F8C-86E5-8F39AC26B5A3}"/>
    <cellStyle name="40% - Accent3 2 3 4 2 4" xfId="12179" xr:uid="{CDF4405C-620A-4E66-BE6B-C548F8765FD9}"/>
    <cellStyle name="40% - Accent3 2 3 4 3" xfId="5813" xr:uid="{00000000-0005-0000-0000-000037050000}"/>
    <cellStyle name="40% - Accent3 2 3 4 3 2" xfId="22685" xr:uid="{59CCF14C-0404-4F07-A2F9-EA9574F1FC97}"/>
    <cellStyle name="40% - Accent3 2 3 4 3 3" xfId="14251" xr:uid="{DDE2C0F7-8868-4594-825D-E53C28E04CE2}"/>
    <cellStyle name="40% - Accent3 2 3 4 4" xfId="18468" xr:uid="{8E48CEA8-0EE5-4974-A702-80DDE103209B}"/>
    <cellStyle name="40% - Accent3 2 3 4 5" xfId="10034" xr:uid="{6B1053CF-8B3E-4F3F-8E84-5674302DA3DA}"/>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25243" xr:uid="{3C41ACD4-7E86-4CFC-9835-B0987426E468}"/>
    <cellStyle name="40% - Accent3 2 3 5 2 2 3" xfId="16809" xr:uid="{078FA898-85FF-44F9-AF2C-8AABF1BCE0B8}"/>
    <cellStyle name="40% - Accent3 2 3 5 2 3" xfId="21026" xr:uid="{B7BF8CE3-44BD-49B9-8A68-3548B4FF6EE2}"/>
    <cellStyle name="40% - Accent3 2 3 5 2 4" xfId="12592" xr:uid="{51DFAF32-76EC-48DC-89E2-4157071298FA}"/>
    <cellStyle name="40% - Accent3 2 3 5 3" xfId="6226" xr:uid="{00000000-0005-0000-0000-00003B050000}"/>
    <cellStyle name="40% - Accent3 2 3 5 3 2" xfId="23098" xr:uid="{8F489374-52A7-49B0-9CF0-5CFE41924D15}"/>
    <cellStyle name="40% - Accent3 2 3 5 3 3" xfId="14664" xr:uid="{8F3D92E4-47BC-4338-A2E8-AE89E2FFEE89}"/>
    <cellStyle name="40% - Accent3 2 3 5 4" xfId="18881" xr:uid="{D6977B57-62FB-4CD2-B405-7B17F28E2C1D}"/>
    <cellStyle name="40% - Accent3 2 3 5 5" xfId="10447" xr:uid="{3F1F1FE2-57C1-443C-8C76-28D1C9CA6B65}"/>
    <cellStyle name="40% - Accent3 2 3 6" xfId="2332" xr:uid="{00000000-0005-0000-0000-00003C050000}"/>
    <cellStyle name="40% - Accent3 2 3 6 2" xfId="6639" xr:uid="{00000000-0005-0000-0000-00003D050000}"/>
    <cellStyle name="40% - Accent3 2 3 6 2 2" xfId="23511" xr:uid="{C8FFD3BD-1B8C-45D7-957C-B7E105855198}"/>
    <cellStyle name="40% - Accent3 2 3 6 2 3" xfId="15077" xr:uid="{0619E35F-1F25-4401-B829-5DD74EAA2AEB}"/>
    <cellStyle name="40% - Accent3 2 3 6 3" xfId="19294" xr:uid="{8AD08CF1-2478-4729-8BE7-E0D2054A41BE}"/>
    <cellStyle name="40% - Accent3 2 3 6 4" xfId="10860" xr:uid="{C9F9FC15-BCDA-48EA-8766-20E055803F85}"/>
    <cellStyle name="40% - Accent3 2 3 7" xfId="4573" xr:uid="{00000000-0005-0000-0000-00003E050000}"/>
    <cellStyle name="40% - Accent3 2 3 7 2" xfId="21445" xr:uid="{3F03F7D4-1189-456E-9CCF-315FCF8A8675}"/>
    <cellStyle name="40% - Accent3 2 3 7 3" xfId="13011" xr:uid="{DA372991-74BC-41D3-8001-78AF41BB172F}"/>
    <cellStyle name="40% - Accent3 2 3 8" xfId="17228" xr:uid="{3C5C4045-940E-48F3-BAF3-08411C7C4D5D}"/>
    <cellStyle name="40% - Accent3 2 3 9" xfId="8794" xr:uid="{07BA15C5-5414-498C-B97F-509C32C56A6D}"/>
    <cellStyle name="40% - Accent3 2 4" xfId="635" xr:uid="{00000000-0005-0000-0000-00003F050000}"/>
    <cellStyle name="40% - Accent3 2 4 2" xfId="2906" xr:uid="{00000000-0005-0000-0000-000040050000}"/>
    <cellStyle name="40% - Accent3 2 4 2 2" xfId="7129" xr:uid="{00000000-0005-0000-0000-000041050000}"/>
    <cellStyle name="40% - Accent3 2 4 2 2 2" xfId="24001" xr:uid="{8DF4634A-09EA-4ACC-BD77-23B519BDE511}"/>
    <cellStyle name="40% - Accent3 2 4 2 2 3" xfId="15567" xr:uid="{EE7F87FF-12C3-44E1-A725-34E3A832BE86}"/>
    <cellStyle name="40% - Accent3 2 4 2 3" xfId="19784" xr:uid="{992352C1-A743-422B-B12B-F1B2BDD9FD1C}"/>
    <cellStyle name="40% - Accent3 2 4 2 4" xfId="11350" xr:uid="{2A547098-E55D-4626-806D-F48004648F43}"/>
    <cellStyle name="40% - Accent3 2 4 3" xfId="4984" xr:uid="{00000000-0005-0000-0000-000042050000}"/>
    <cellStyle name="40% - Accent3 2 4 3 2" xfId="21856" xr:uid="{ED526B02-4848-45B5-8ECE-5B936E3AEA9F}"/>
    <cellStyle name="40% - Accent3 2 4 3 3" xfId="13422" xr:uid="{54A82E1E-E371-41FC-BA48-E2821599A2FF}"/>
    <cellStyle name="40% - Accent3 2 4 4" xfId="17639" xr:uid="{DBF588CE-3DCD-4B30-AE82-6BD854D909BB}"/>
    <cellStyle name="40% - Accent3 2 4 5" xfId="9205" xr:uid="{48FBD868-1D19-4BC4-B49F-0E0FE4DEBC64}"/>
    <cellStyle name="40% - Accent3 2 5" xfId="1088" xr:uid="{00000000-0005-0000-0000-000043050000}"/>
    <cellStyle name="40% - Accent3 2 5 2" xfId="3319" xr:uid="{00000000-0005-0000-0000-000044050000}"/>
    <cellStyle name="40% - Accent3 2 5 2 2" xfId="7542" xr:uid="{00000000-0005-0000-0000-000045050000}"/>
    <cellStyle name="40% - Accent3 2 5 2 2 2" xfId="24414" xr:uid="{BDE5A29C-463C-4C27-BC37-2FF409ACEC31}"/>
    <cellStyle name="40% - Accent3 2 5 2 2 3" xfId="15980" xr:uid="{9BBCC242-41B6-4308-BC9B-AC160354A8B8}"/>
    <cellStyle name="40% - Accent3 2 5 2 3" xfId="20197" xr:uid="{42F528C0-2944-44FB-AC54-65F70C897392}"/>
    <cellStyle name="40% - Accent3 2 5 2 4" xfId="11763" xr:uid="{33FDEF4E-3FFC-42E9-AA82-36CB9668F804}"/>
    <cellStyle name="40% - Accent3 2 5 3" xfId="5397" xr:uid="{00000000-0005-0000-0000-000046050000}"/>
    <cellStyle name="40% - Accent3 2 5 3 2" xfId="22269" xr:uid="{555EA380-8527-456F-8B94-485741E1DF56}"/>
    <cellStyle name="40% - Accent3 2 5 3 3" xfId="13835" xr:uid="{CDAA0F1C-5B41-4E0A-A20B-55E84D9E5D43}"/>
    <cellStyle name="40% - Accent3 2 5 4" xfId="18052" xr:uid="{074F1706-0B3E-44AA-B9A5-0202C92788D9}"/>
    <cellStyle name="40% - Accent3 2 5 5" xfId="9618" xr:uid="{EB85E7F4-48AA-4587-BE48-F79F982AB741}"/>
    <cellStyle name="40% - Accent3 2 6" xfId="1502" xr:uid="{00000000-0005-0000-0000-000047050000}"/>
    <cellStyle name="40% - Accent3 2 6 2" xfId="3732" xr:uid="{00000000-0005-0000-0000-000048050000}"/>
    <cellStyle name="40% - Accent3 2 6 2 2" xfId="7955" xr:uid="{00000000-0005-0000-0000-000049050000}"/>
    <cellStyle name="40% - Accent3 2 6 2 2 2" xfId="24827" xr:uid="{037E1B9A-D219-4337-ABCB-3DE5D8C3C714}"/>
    <cellStyle name="40% - Accent3 2 6 2 2 3" xfId="16393" xr:uid="{91251767-7E62-4F58-9A13-3973AC82B7C5}"/>
    <cellStyle name="40% - Accent3 2 6 2 3" xfId="20610" xr:uid="{0B23185D-41D5-43C9-AFFD-9A9F066A90A4}"/>
    <cellStyle name="40% - Accent3 2 6 2 4" xfId="12176" xr:uid="{7AD984D5-9C64-45C2-92DF-379F8530982C}"/>
    <cellStyle name="40% - Accent3 2 6 3" xfId="5810" xr:uid="{00000000-0005-0000-0000-00004A050000}"/>
    <cellStyle name="40% - Accent3 2 6 3 2" xfId="22682" xr:uid="{C7FCED2E-139D-4287-9A0B-76468D97464D}"/>
    <cellStyle name="40% - Accent3 2 6 3 3" xfId="14248" xr:uid="{5ACAE7C9-679A-4051-9839-3F19908D45DE}"/>
    <cellStyle name="40% - Accent3 2 6 4" xfId="18465" xr:uid="{BF0871F9-3107-4163-9180-06184A9A936C}"/>
    <cellStyle name="40% - Accent3 2 6 5" xfId="10031" xr:uid="{B010CA3C-1B82-48B7-9C9E-C75AC597086A}"/>
    <cellStyle name="40% - Accent3 2 7" xfId="1916" xr:uid="{00000000-0005-0000-0000-00004B050000}"/>
    <cellStyle name="40% - Accent3 2 7 2" xfId="4145" xr:uid="{00000000-0005-0000-0000-00004C050000}"/>
    <cellStyle name="40% - Accent3 2 7 2 2" xfId="8368" xr:uid="{00000000-0005-0000-0000-00004D050000}"/>
    <cellStyle name="40% - Accent3 2 7 2 2 2" xfId="25240" xr:uid="{D387FC1C-3F37-452A-AF77-608471B2CFE8}"/>
    <cellStyle name="40% - Accent3 2 7 2 2 3" xfId="16806" xr:uid="{CD15A18C-1889-4D98-ACA0-5E1431C5B8B4}"/>
    <cellStyle name="40% - Accent3 2 7 2 3" xfId="21023" xr:uid="{0DA68ABA-802D-4296-9481-6E0E8780D692}"/>
    <cellStyle name="40% - Accent3 2 7 2 4" xfId="12589" xr:uid="{A033C4FF-5539-4386-9CA7-2D59223E5EEA}"/>
    <cellStyle name="40% - Accent3 2 7 3" xfId="6223" xr:uid="{00000000-0005-0000-0000-00004E050000}"/>
    <cellStyle name="40% - Accent3 2 7 3 2" xfId="23095" xr:uid="{699CF734-8E0B-4713-90F1-06B860A3E86A}"/>
    <cellStyle name="40% - Accent3 2 7 3 3" xfId="14661" xr:uid="{903A21F3-9CA5-45F6-898A-B8DD1910873E}"/>
    <cellStyle name="40% - Accent3 2 7 4" xfId="18878" xr:uid="{EC7F14D2-8B00-4FDA-A6B7-C5567CC51658}"/>
    <cellStyle name="40% - Accent3 2 7 5" xfId="10444" xr:uid="{BD4DA97A-1ACB-41F9-BE65-38D189585B0D}"/>
    <cellStyle name="40% - Accent3 2 8" xfId="2329" xr:uid="{00000000-0005-0000-0000-00004F050000}"/>
    <cellStyle name="40% - Accent3 2 8 2" xfId="6636" xr:uid="{00000000-0005-0000-0000-000050050000}"/>
    <cellStyle name="40% - Accent3 2 8 2 2" xfId="23508" xr:uid="{697B5A8D-384A-470D-8914-A3B5A4ECD74E}"/>
    <cellStyle name="40% - Accent3 2 8 2 3" xfId="15074" xr:uid="{2EFA388D-57D8-4D5A-9867-F1676DEBA30D}"/>
    <cellStyle name="40% - Accent3 2 8 3" xfId="19291" xr:uid="{BEFD8F78-FE16-43A9-935D-8B95DF626DE3}"/>
    <cellStyle name="40% - Accent3 2 8 4" xfId="10857" xr:uid="{F1A6131E-FA40-4C4B-9D7D-E4876D91D071}"/>
    <cellStyle name="40% - Accent3 2 9" xfId="4570" xr:uid="{00000000-0005-0000-0000-000051050000}"/>
    <cellStyle name="40% - Accent3 2 9 2" xfId="21442" xr:uid="{1CA4A526-822E-42D7-AAC6-0867728DB7AE}"/>
    <cellStyle name="40% - Accent3 2 9 3" xfId="13008" xr:uid="{130B0D3B-B1EB-498B-BB41-72E47B09F23D}"/>
    <cellStyle name="40% - Accent3 3" xfId="70" xr:uid="{00000000-0005-0000-0000-000052050000}"/>
    <cellStyle name="40% - Accent3 3 10" xfId="8795" xr:uid="{624FD848-5995-4E98-9BCA-3A0B5139A1AD}"/>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24006" xr:uid="{6CF0027C-AFF8-4E8A-9BDB-D4D26EF017E5}"/>
    <cellStyle name="40% - Accent3 3 2 2 2 2 3" xfId="15572" xr:uid="{C96CD846-DD46-47DB-B33C-60C805A76214}"/>
    <cellStyle name="40% - Accent3 3 2 2 2 3" xfId="19789" xr:uid="{298734E4-BFE9-4E37-95B3-30B3FDE49C15}"/>
    <cellStyle name="40% - Accent3 3 2 2 2 4" xfId="11355" xr:uid="{543F925C-1AB6-4085-B772-8948220A69E9}"/>
    <cellStyle name="40% - Accent3 3 2 2 3" xfId="4989" xr:uid="{00000000-0005-0000-0000-000057050000}"/>
    <cellStyle name="40% - Accent3 3 2 2 3 2" xfId="21861" xr:uid="{C03C6DD8-200B-4EFE-93B3-372E6C14DBF9}"/>
    <cellStyle name="40% - Accent3 3 2 2 3 3" xfId="13427" xr:uid="{7BA52806-5FE9-49AF-8240-4D07E720F751}"/>
    <cellStyle name="40% - Accent3 3 2 2 4" xfId="17644" xr:uid="{49815BF8-4C3E-4201-8DC9-EF140F18F45A}"/>
    <cellStyle name="40% - Accent3 3 2 2 5" xfId="9210" xr:uid="{450D1154-E40D-4438-B035-8006C4B48239}"/>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24419" xr:uid="{8FFD17F7-B3D3-4048-A805-25D40B50BB1E}"/>
    <cellStyle name="40% - Accent3 3 2 3 2 2 3" xfId="15985" xr:uid="{B5B390BF-6FD2-4F53-856E-11CBA1EF484A}"/>
    <cellStyle name="40% - Accent3 3 2 3 2 3" xfId="20202" xr:uid="{84464E5C-036A-4065-A50B-C88468FA7517}"/>
    <cellStyle name="40% - Accent3 3 2 3 2 4" xfId="11768" xr:uid="{496AF3C5-9643-43A6-92AD-040148A29EC0}"/>
    <cellStyle name="40% - Accent3 3 2 3 3" xfId="5402" xr:uid="{00000000-0005-0000-0000-00005B050000}"/>
    <cellStyle name="40% - Accent3 3 2 3 3 2" xfId="22274" xr:uid="{513C9185-82C8-4613-882B-4669A7F2FDE9}"/>
    <cellStyle name="40% - Accent3 3 2 3 3 3" xfId="13840" xr:uid="{0E00BA0E-5863-458E-B636-9F5217C10A92}"/>
    <cellStyle name="40% - Accent3 3 2 3 4" xfId="18057" xr:uid="{BC18415B-352D-40A0-9DE1-A8A99A47A083}"/>
    <cellStyle name="40% - Accent3 3 2 3 5" xfId="9623" xr:uid="{787F6E57-779C-4423-AB27-095F621FE012}"/>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24832" xr:uid="{66D0E7E9-D260-4780-A024-1DC80ACA5FE4}"/>
    <cellStyle name="40% - Accent3 3 2 4 2 2 3" xfId="16398" xr:uid="{C7EA0A69-B0D1-480F-957D-6AE6597DA46D}"/>
    <cellStyle name="40% - Accent3 3 2 4 2 3" xfId="20615" xr:uid="{7F7D7DB7-5A64-4723-AB6A-F2CAF1F1D878}"/>
    <cellStyle name="40% - Accent3 3 2 4 2 4" xfId="12181" xr:uid="{0BCCA387-98DC-473F-9FC7-CE5C24F2414D}"/>
    <cellStyle name="40% - Accent3 3 2 4 3" xfId="5815" xr:uid="{00000000-0005-0000-0000-00005F050000}"/>
    <cellStyle name="40% - Accent3 3 2 4 3 2" xfId="22687" xr:uid="{6ED45CAF-243B-4C2F-9CB5-0D590C88E550}"/>
    <cellStyle name="40% - Accent3 3 2 4 3 3" xfId="14253" xr:uid="{72A66223-5BA7-4758-876C-3C329CBEE562}"/>
    <cellStyle name="40% - Accent3 3 2 4 4" xfId="18470" xr:uid="{AE78B3B1-3E37-4A9E-A2F0-65D2F46BD190}"/>
    <cellStyle name="40% - Accent3 3 2 4 5" xfId="10036" xr:uid="{D81E46B3-5915-4045-B9CA-D434023467AD}"/>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25245" xr:uid="{08F65487-F739-45A8-818D-ABC893A37602}"/>
    <cellStyle name="40% - Accent3 3 2 5 2 2 3" xfId="16811" xr:uid="{61407AA2-6DDA-4B53-9C8E-E7B7182FD1C6}"/>
    <cellStyle name="40% - Accent3 3 2 5 2 3" xfId="21028" xr:uid="{46C89381-4958-4266-ADA2-7DC99EEE2CA1}"/>
    <cellStyle name="40% - Accent3 3 2 5 2 4" xfId="12594" xr:uid="{556E4427-33FA-4BEA-8DF6-CDF27D8BA2DC}"/>
    <cellStyle name="40% - Accent3 3 2 5 3" xfId="6228" xr:uid="{00000000-0005-0000-0000-000063050000}"/>
    <cellStyle name="40% - Accent3 3 2 5 3 2" xfId="23100" xr:uid="{B45F4216-DD21-4DF0-9600-117C08BAC9DE}"/>
    <cellStyle name="40% - Accent3 3 2 5 3 3" xfId="14666" xr:uid="{A26F0A34-FACE-47CF-8197-3EC03C49C1CA}"/>
    <cellStyle name="40% - Accent3 3 2 5 4" xfId="18883" xr:uid="{D1B7E8ED-C458-4583-804A-3808FB1818A4}"/>
    <cellStyle name="40% - Accent3 3 2 5 5" xfId="10449" xr:uid="{5328C0F8-9C63-439B-9708-1BB4FDEE472A}"/>
    <cellStyle name="40% - Accent3 3 2 6" xfId="2334" xr:uid="{00000000-0005-0000-0000-000064050000}"/>
    <cellStyle name="40% - Accent3 3 2 6 2" xfId="6641" xr:uid="{00000000-0005-0000-0000-000065050000}"/>
    <cellStyle name="40% - Accent3 3 2 6 2 2" xfId="23513" xr:uid="{8F80E97F-4DD7-4AF0-B91D-923BB8D5FD25}"/>
    <cellStyle name="40% - Accent3 3 2 6 2 3" xfId="15079" xr:uid="{AD6856FE-B87C-4CD5-AF4D-B5838F355AC4}"/>
    <cellStyle name="40% - Accent3 3 2 6 3" xfId="19296" xr:uid="{99022684-2712-4956-9DE5-C06EB60A0C2D}"/>
    <cellStyle name="40% - Accent3 3 2 6 4" xfId="10862" xr:uid="{7E83454C-ECBB-4341-A7BB-03AC5CE0618F}"/>
    <cellStyle name="40% - Accent3 3 2 7" xfId="4575" xr:uid="{00000000-0005-0000-0000-000066050000}"/>
    <cellStyle name="40% - Accent3 3 2 7 2" xfId="21447" xr:uid="{85C9B08C-0713-4E5B-88EB-D7017CC79DD2}"/>
    <cellStyle name="40% - Accent3 3 2 7 3" xfId="13013" xr:uid="{25856756-CE9D-4F3A-BE05-CCC6FC9D9A8A}"/>
    <cellStyle name="40% - Accent3 3 2 8" xfId="17230" xr:uid="{9072E093-32B3-40E2-819C-F2B605E8D251}"/>
    <cellStyle name="40% - Accent3 3 2 9" xfId="8796" xr:uid="{6E50B427-BEC9-4D57-B5A7-CAA6F52645EE}"/>
    <cellStyle name="40% - Accent3 3 3" xfId="639" xr:uid="{00000000-0005-0000-0000-000067050000}"/>
    <cellStyle name="40% - Accent3 3 3 2" xfId="2910" xr:uid="{00000000-0005-0000-0000-000068050000}"/>
    <cellStyle name="40% - Accent3 3 3 2 2" xfId="7133" xr:uid="{00000000-0005-0000-0000-000069050000}"/>
    <cellStyle name="40% - Accent3 3 3 2 2 2" xfId="24005" xr:uid="{8455D674-55A3-459F-8526-6DF5435F5090}"/>
    <cellStyle name="40% - Accent3 3 3 2 2 3" xfId="15571" xr:uid="{D528C705-873A-4EB5-A67E-2DFB23D3EFFD}"/>
    <cellStyle name="40% - Accent3 3 3 2 3" xfId="19788" xr:uid="{3F93E342-0E0E-4A4F-9F02-52CA8F18FE4F}"/>
    <cellStyle name="40% - Accent3 3 3 2 4" xfId="11354" xr:uid="{948D33B7-29B4-4C9C-BC19-A1E86E674629}"/>
    <cellStyle name="40% - Accent3 3 3 3" xfId="4988" xr:uid="{00000000-0005-0000-0000-00006A050000}"/>
    <cellStyle name="40% - Accent3 3 3 3 2" xfId="21860" xr:uid="{2C26F1F1-DDA3-42E5-992F-30E70C050C79}"/>
    <cellStyle name="40% - Accent3 3 3 3 3" xfId="13426" xr:uid="{8E1EC7B5-8DF8-4913-9B99-2B64ACA94E2E}"/>
    <cellStyle name="40% - Accent3 3 3 4" xfId="17643" xr:uid="{5262C74D-598A-4F62-AB6F-064C30075B30}"/>
    <cellStyle name="40% - Accent3 3 3 5" xfId="9209" xr:uid="{388BE8D4-9DDC-470F-AEE4-BC3897C37033}"/>
    <cellStyle name="40% - Accent3 3 4" xfId="1092" xr:uid="{00000000-0005-0000-0000-00006B050000}"/>
    <cellStyle name="40% - Accent3 3 4 2" xfId="3323" xr:uid="{00000000-0005-0000-0000-00006C050000}"/>
    <cellStyle name="40% - Accent3 3 4 2 2" xfId="7546" xr:uid="{00000000-0005-0000-0000-00006D050000}"/>
    <cellStyle name="40% - Accent3 3 4 2 2 2" xfId="24418" xr:uid="{4FA13985-61A3-4F9B-A099-9AFA1851EE01}"/>
    <cellStyle name="40% - Accent3 3 4 2 2 3" xfId="15984" xr:uid="{5814AB7D-9934-4E34-B6F8-F60E8A356F3A}"/>
    <cellStyle name="40% - Accent3 3 4 2 3" xfId="20201" xr:uid="{C49342EE-CCF2-4B1E-8BF7-2282C1E11B3B}"/>
    <cellStyle name="40% - Accent3 3 4 2 4" xfId="11767" xr:uid="{2F8A6EA5-1643-4243-B179-2A105258E5CE}"/>
    <cellStyle name="40% - Accent3 3 4 3" xfId="5401" xr:uid="{00000000-0005-0000-0000-00006E050000}"/>
    <cellStyle name="40% - Accent3 3 4 3 2" xfId="22273" xr:uid="{08BAB644-2BF0-4821-BF97-2A68FC1734FD}"/>
    <cellStyle name="40% - Accent3 3 4 3 3" xfId="13839" xr:uid="{ED50B2EE-17F0-4CC6-8E2C-44D4F0CD3D70}"/>
    <cellStyle name="40% - Accent3 3 4 4" xfId="18056" xr:uid="{FCF6A4F7-6126-463C-B5D1-4F2CBCEEFA21}"/>
    <cellStyle name="40% - Accent3 3 4 5" xfId="9622" xr:uid="{835F28C8-9C3B-4F4B-9733-1FC8539A5C3D}"/>
    <cellStyle name="40% - Accent3 3 5" xfId="1506" xr:uid="{00000000-0005-0000-0000-00006F050000}"/>
    <cellStyle name="40% - Accent3 3 5 2" xfId="3736" xr:uid="{00000000-0005-0000-0000-000070050000}"/>
    <cellStyle name="40% - Accent3 3 5 2 2" xfId="7959" xr:uid="{00000000-0005-0000-0000-000071050000}"/>
    <cellStyle name="40% - Accent3 3 5 2 2 2" xfId="24831" xr:uid="{FB18D56C-8B61-47F7-BE50-DE748BC9F572}"/>
    <cellStyle name="40% - Accent3 3 5 2 2 3" xfId="16397" xr:uid="{5144F741-C780-4A80-9901-ED47640C28B5}"/>
    <cellStyle name="40% - Accent3 3 5 2 3" xfId="20614" xr:uid="{7D41B7AC-AF90-42F6-8138-5C430AF8FC0C}"/>
    <cellStyle name="40% - Accent3 3 5 2 4" xfId="12180" xr:uid="{5D72924C-A5F8-43BC-94F0-578C16E6872F}"/>
    <cellStyle name="40% - Accent3 3 5 3" xfId="5814" xr:uid="{00000000-0005-0000-0000-000072050000}"/>
    <cellStyle name="40% - Accent3 3 5 3 2" xfId="22686" xr:uid="{65C9CC90-03FC-4F24-A5A6-8C104C04965B}"/>
    <cellStyle name="40% - Accent3 3 5 3 3" xfId="14252" xr:uid="{CE68E81B-EE8F-4486-AA19-3D62E16639E4}"/>
    <cellStyle name="40% - Accent3 3 5 4" xfId="18469" xr:uid="{27DBFEF4-C845-45B7-9896-2E6A68907366}"/>
    <cellStyle name="40% - Accent3 3 5 5" xfId="10035" xr:uid="{6013D712-FA9E-4DD1-BA4F-C6D8F8CF4E3C}"/>
    <cellStyle name="40% - Accent3 3 6" xfId="1920" xr:uid="{00000000-0005-0000-0000-000073050000}"/>
    <cellStyle name="40% - Accent3 3 6 2" xfId="4149" xr:uid="{00000000-0005-0000-0000-000074050000}"/>
    <cellStyle name="40% - Accent3 3 6 2 2" xfId="8372" xr:uid="{00000000-0005-0000-0000-000075050000}"/>
    <cellStyle name="40% - Accent3 3 6 2 2 2" xfId="25244" xr:uid="{EA4338B8-822F-4BA4-BFE7-0241B33D4EB9}"/>
    <cellStyle name="40% - Accent3 3 6 2 2 3" xfId="16810" xr:uid="{A880359B-06C2-4277-B637-9FE83EE48A94}"/>
    <cellStyle name="40% - Accent3 3 6 2 3" xfId="21027" xr:uid="{64D6681B-004A-4C6C-870D-6E780CF63DB6}"/>
    <cellStyle name="40% - Accent3 3 6 2 4" xfId="12593" xr:uid="{98778885-16E4-4EAD-8C75-8596B174C19C}"/>
    <cellStyle name="40% - Accent3 3 6 3" xfId="6227" xr:uid="{00000000-0005-0000-0000-000076050000}"/>
    <cellStyle name="40% - Accent3 3 6 3 2" xfId="23099" xr:uid="{F05F3842-A7FC-4709-BDC7-595C3CF84C26}"/>
    <cellStyle name="40% - Accent3 3 6 3 3" xfId="14665" xr:uid="{63105EBC-34EB-41F0-A5B7-0D71D4D318C9}"/>
    <cellStyle name="40% - Accent3 3 6 4" xfId="18882" xr:uid="{910A2608-1416-4C91-A097-8793CE5C6C76}"/>
    <cellStyle name="40% - Accent3 3 6 5" xfId="10448" xr:uid="{666E88A6-34B4-4FC1-8BAD-FDBDE2389762}"/>
    <cellStyle name="40% - Accent3 3 7" xfId="2333" xr:uid="{00000000-0005-0000-0000-000077050000}"/>
    <cellStyle name="40% - Accent3 3 7 2" xfId="6640" xr:uid="{00000000-0005-0000-0000-000078050000}"/>
    <cellStyle name="40% - Accent3 3 7 2 2" xfId="23512" xr:uid="{DBF2F339-3314-496C-9B8F-2F1BA8E03627}"/>
    <cellStyle name="40% - Accent3 3 7 2 3" xfId="15078" xr:uid="{4D5AD4CB-E3C3-4955-A8E0-91A24EF8B92C}"/>
    <cellStyle name="40% - Accent3 3 7 3" xfId="19295" xr:uid="{A5B12E7D-89E9-4D40-ACF3-5DCB0755B432}"/>
    <cellStyle name="40% - Accent3 3 7 4" xfId="10861" xr:uid="{A2B96083-8555-4D68-B095-A47BA11A5A0D}"/>
    <cellStyle name="40% - Accent3 3 8" xfId="4574" xr:uid="{00000000-0005-0000-0000-000079050000}"/>
    <cellStyle name="40% - Accent3 3 8 2" xfId="21446" xr:uid="{B5D23F19-B7F0-4CE6-B374-1FAC7C1272AC}"/>
    <cellStyle name="40% - Accent3 3 8 3" xfId="13012" xr:uid="{D36C633F-4FF2-4C13-85BF-C132AB719040}"/>
    <cellStyle name="40% - Accent3 3 9" xfId="17229" xr:uid="{492268D7-1236-451A-8E81-FFA01EA41428}"/>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24007" xr:uid="{079D4FA3-7FA8-4EBD-B55B-C6E077E75148}"/>
    <cellStyle name="40% - Accent3 4 2 2 2 3" xfId="15573" xr:uid="{74A34AF3-D8F8-4B80-A3EB-AC4615BE1AE5}"/>
    <cellStyle name="40% - Accent3 4 2 2 3" xfId="19790" xr:uid="{EDF7E218-F2F5-401A-9B63-0FE1E2389E96}"/>
    <cellStyle name="40% - Accent3 4 2 2 4" xfId="11356" xr:uid="{74341FE3-55DE-4295-8895-338CB8B56BA7}"/>
    <cellStyle name="40% - Accent3 4 2 3" xfId="4990" xr:uid="{00000000-0005-0000-0000-00007E050000}"/>
    <cellStyle name="40% - Accent3 4 2 3 2" xfId="21862" xr:uid="{36164F55-E9C2-46E8-8815-3C209067B1DD}"/>
    <cellStyle name="40% - Accent3 4 2 3 3" xfId="13428" xr:uid="{EB91C6B7-7E45-43EB-915E-79DA46735963}"/>
    <cellStyle name="40% - Accent3 4 2 4" xfId="17645" xr:uid="{A7087005-1BCA-4440-85A9-D4B939CDC93D}"/>
    <cellStyle name="40% - Accent3 4 2 5" xfId="9211" xr:uid="{877C4871-4E7B-4F86-92D3-F7D7325F1FBC}"/>
    <cellStyle name="40% - Accent3 4 3" xfId="1094" xr:uid="{00000000-0005-0000-0000-00007F050000}"/>
    <cellStyle name="40% - Accent3 4 3 2" xfId="3325" xr:uid="{00000000-0005-0000-0000-000080050000}"/>
    <cellStyle name="40% - Accent3 4 3 2 2" xfId="7548" xr:uid="{00000000-0005-0000-0000-000081050000}"/>
    <cellStyle name="40% - Accent3 4 3 2 2 2" xfId="24420" xr:uid="{48DAAE24-A642-4FAF-991D-91558FE18569}"/>
    <cellStyle name="40% - Accent3 4 3 2 2 3" xfId="15986" xr:uid="{5CB5BE84-AB65-4BFE-994E-2C4CFFD6D8BD}"/>
    <cellStyle name="40% - Accent3 4 3 2 3" xfId="20203" xr:uid="{7163D34A-8AC3-4205-9384-1222AC9AE00A}"/>
    <cellStyle name="40% - Accent3 4 3 2 4" xfId="11769" xr:uid="{47CE3E7D-A127-42E2-B752-E3DF5CBC88C5}"/>
    <cellStyle name="40% - Accent3 4 3 3" xfId="5403" xr:uid="{00000000-0005-0000-0000-000082050000}"/>
    <cellStyle name="40% - Accent3 4 3 3 2" xfId="22275" xr:uid="{E5490204-1F60-4B8A-B1D7-AC88F4D5CB7B}"/>
    <cellStyle name="40% - Accent3 4 3 3 3" xfId="13841" xr:uid="{8BDDF62F-5796-4CC6-B151-078EF9089343}"/>
    <cellStyle name="40% - Accent3 4 3 4" xfId="18058" xr:uid="{7C976963-EC33-4894-8446-77A2AF8E81DF}"/>
    <cellStyle name="40% - Accent3 4 3 5" xfId="9624" xr:uid="{2F102CF0-72AF-4A75-A112-6162173B092E}"/>
    <cellStyle name="40% - Accent3 4 4" xfId="1508" xr:uid="{00000000-0005-0000-0000-000083050000}"/>
    <cellStyle name="40% - Accent3 4 4 2" xfId="3738" xr:uid="{00000000-0005-0000-0000-000084050000}"/>
    <cellStyle name="40% - Accent3 4 4 2 2" xfId="7961" xr:uid="{00000000-0005-0000-0000-000085050000}"/>
    <cellStyle name="40% - Accent3 4 4 2 2 2" xfId="24833" xr:uid="{02C34F39-923B-42F8-9F1E-520C6EF4CA80}"/>
    <cellStyle name="40% - Accent3 4 4 2 2 3" xfId="16399" xr:uid="{369B88A1-AA9D-49F1-88A0-8AC837596B31}"/>
    <cellStyle name="40% - Accent3 4 4 2 3" xfId="20616" xr:uid="{971B2F2C-B5B5-4F22-BE73-FE0BED09AA52}"/>
    <cellStyle name="40% - Accent3 4 4 2 4" xfId="12182" xr:uid="{6E20F963-2744-479E-B626-FD650FE9CFF6}"/>
    <cellStyle name="40% - Accent3 4 4 3" xfId="5816" xr:uid="{00000000-0005-0000-0000-000086050000}"/>
    <cellStyle name="40% - Accent3 4 4 3 2" xfId="22688" xr:uid="{ECEE0848-2DF2-43A4-AE7F-BF53526D4AA0}"/>
    <cellStyle name="40% - Accent3 4 4 3 3" xfId="14254" xr:uid="{46D774E7-4CA6-45A6-B226-F5F78043BD1F}"/>
    <cellStyle name="40% - Accent3 4 4 4" xfId="18471" xr:uid="{F76C981F-6CB2-47AE-985B-B7635767A3A5}"/>
    <cellStyle name="40% - Accent3 4 4 5" xfId="10037" xr:uid="{D63127A5-D1E6-48C8-9C95-84ABD8A5B48E}"/>
    <cellStyle name="40% - Accent3 4 5" xfId="1922" xr:uid="{00000000-0005-0000-0000-000087050000}"/>
    <cellStyle name="40% - Accent3 4 5 2" xfId="4151" xr:uid="{00000000-0005-0000-0000-000088050000}"/>
    <cellStyle name="40% - Accent3 4 5 2 2" xfId="8374" xr:uid="{00000000-0005-0000-0000-000089050000}"/>
    <cellStyle name="40% - Accent3 4 5 2 2 2" xfId="25246" xr:uid="{A0C3F441-846B-4BC6-BECD-8A63427983AB}"/>
    <cellStyle name="40% - Accent3 4 5 2 2 3" xfId="16812" xr:uid="{2AEE30D0-3105-402F-93F1-A0FDA2D8266A}"/>
    <cellStyle name="40% - Accent3 4 5 2 3" xfId="21029" xr:uid="{467206A6-C739-454F-90A5-86D19BF63BCF}"/>
    <cellStyle name="40% - Accent3 4 5 2 4" xfId="12595" xr:uid="{C4247999-40EC-4684-90E2-549C4EAC2172}"/>
    <cellStyle name="40% - Accent3 4 5 3" xfId="6229" xr:uid="{00000000-0005-0000-0000-00008A050000}"/>
    <cellStyle name="40% - Accent3 4 5 3 2" xfId="23101" xr:uid="{7DF71E08-6D93-4C86-AD7A-4A8D9F7FDA93}"/>
    <cellStyle name="40% - Accent3 4 5 3 3" xfId="14667" xr:uid="{BD475A88-4893-4ECF-A77D-6D06BF0AFEA6}"/>
    <cellStyle name="40% - Accent3 4 5 4" xfId="18884" xr:uid="{D33FEDA1-6F26-40DA-91F2-A97FD7C08C03}"/>
    <cellStyle name="40% - Accent3 4 5 5" xfId="10450" xr:uid="{D9FECBF3-14D7-4048-AFF5-A535F9D06BA5}"/>
    <cellStyle name="40% - Accent3 4 6" xfId="2335" xr:uid="{00000000-0005-0000-0000-00008B050000}"/>
    <cellStyle name="40% - Accent3 4 6 2" xfId="6642" xr:uid="{00000000-0005-0000-0000-00008C050000}"/>
    <cellStyle name="40% - Accent3 4 6 2 2" xfId="23514" xr:uid="{4B058230-DC9F-48AD-B261-A57C6842A115}"/>
    <cellStyle name="40% - Accent3 4 6 2 3" xfId="15080" xr:uid="{3E188A36-DCAC-4BA4-8BF2-A94502BC59B3}"/>
    <cellStyle name="40% - Accent3 4 6 3" xfId="19297" xr:uid="{68A8E313-950F-4A81-A79E-FFE31B86D5FB}"/>
    <cellStyle name="40% - Accent3 4 6 4" xfId="10863" xr:uid="{C91B6F6E-D745-41FC-9993-6CDD657F7829}"/>
    <cellStyle name="40% - Accent3 4 7" xfId="4576" xr:uid="{00000000-0005-0000-0000-00008D050000}"/>
    <cellStyle name="40% - Accent3 4 7 2" xfId="21448" xr:uid="{D82B9901-C404-43DA-B0BA-97F207894436}"/>
    <cellStyle name="40% - Accent3 4 7 3" xfId="13014" xr:uid="{FE09E828-B1FC-4D71-AC20-9DD8C10B5C79}"/>
    <cellStyle name="40% - Accent3 4 8" xfId="17231" xr:uid="{DB674ECE-2762-47C9-B8BE-D0C719D0C1B5}"/>
    <cellStyle name="40% - Accent3 4 9" xfId="8797" xr:uid="{7A163123-42D9-48B1-8432-A102B2A8E0AD}"/>
    <cellStyle name="40% - Accent3 5" xfId="634" xr:uid="{00000000-0005-0000-0000-00008E050000}"/>
    <cellStyle name="40% - Accent3 5 2" xfId="2905" xr:uid="{00000000-0005-0000-0000-00008F050000}"/>
    <cellStyle name="40% - Accent3 5 2 2" xfId="7128" xr:uid="{00000000-0005-0000-0000-000090050000}"/>
    <cellStyle name="40% - Accent3 5 2 2 2" xfId="24000" xr:uid="{8E98F16F-4236-4FC7-8D02-A6DE3A5AFA6A}"/>
    <cellStyle name="40% - Accent3 5 2 2 3" xfId="15566" xr:uid="{906EBF83-3DE7-4855-9B17-B3CC63A60918}"/>
    <cellStyle name="40% - Accent3 5 2 3" xfId="19783" xr:uid="{11F8E0E0-9E75-4FAD-84D5-A53AA78F844C}"/>
    <cellStyle name="40% - Accent3 5 2 4" xfId="11349" xr:uid="{B92847EE-028C-40D3-B9BF-EA060619C557}"/>
    <cellStyle name="40% - Accent3 5 3" xfId="4983" xr:uid="{00000000-0005-0000-0000-000091050000}"/>
    <cellStyle name="40% - Accent3 5 3 2" xfId="21855" xr:uid="{1217D527-3DD8-40F0-BE9E-1BEAB08CA46A}"/>
    <cellStyle name="40% - Accent3 5 3 3" xfId="13421" xr:uid="{71306F74-0379-408C-876B-0D55EB1EB6CF}"/>
    <cellStyle name="40% - Accent3 5 4" xfId="17638" xr:uid="{F8B91C5B-BB70-4748-8FD5-1D13A93E0273}"/>
    <cellStyle name="40% - Accent3 5 5" xfId="9204" xr:uid="{6A3505D5-0814-471A-9EB0-8F4A20D86289}"/>
    <cellStyle name="40% - Accent3 6" xfId="1087" xr:uid="{00000000-0005-0000-0000-000092050000}"/>
    <cellStyle name="40% - Accent3 6 2" xfId="3318" xr:uid="{00000000-0005-0000-0000-000093050000}"/>
    <cellStyle name="40% - Accent3 6 2 2" xfId="7541" xr:uid="{00000000-0005-0000-0000-000094050000}"/>
    <cellStyle name="40% - Accent3 6 2 2 2" xfId="24413" xr:uid="{BE96DFFD-7DF0-44F5-B7C4-ED9B7E5B7271}"/>
    <cellStyle name="40% - Accent3 6 2 2 3" xfId="15979" xr:uid="{92A04398-C059-4930-868E-F3B524B41C87}"/>
    <cellStyle name="40% - Accent3 6 2 3" xfId="20196" xr:uid="{C14DF8D0-74A0-4D2F-9F19-8B424F248E51}"/>
    <cellStyle name="40% - Accent3 6 2 4" xfId="11762" xr:uid="{0B38315D-0AA5-4208-99F5-BEBD4CD78A90}"/>
    <cellStyle name="40% - Accent3 6 3" xfId="5396" xr:uid="{00000000-0005-0000-0000-000095050000}"/>
    <cellStyle name="40% - Accent3 6 3 2" xfId="22268" xr:uid="{7C7EA4FD-AF23-4F56-893C-7866EBE54093}"/>
    <cellStyle name="40% - Accent3 6 3 3" xfId="13834" xr:uid="{E1232658-08F8-4DCE-B19C-BF86CF5AC898}"/>
    <cellStyle name="40% - Accent3 6 4" xfId="18051" xr:uid="{0CFD26EE-5A52-45C2-B4D7-38FB1D31461D}"/>
    <cellStyle name="40% - Accent3 6 5" xfId="9617" xr:uid="{40F513AD-A122-42F6-BC95-91ED280E3EE8}"/>
    <cellStyle name="40% - Accent3 7" xfId="1501" xr:uid="{00000000-0005-0000-0000-000096050000}"/>
    <cellStyle name="40% - Accent3 7 2" xfId="3731" xr:uid="{00000000-0005-0000-0000-000097050000}"/>
    <cellStyle name="40% - Accent3 7 2 2" xfId="7954" xr:uid="{00000000-0005-0000-0000-000098050000}"/>
    <cellStyle name="40% - Accent3 7 2 2 2" xfId="24826" xr:uid="{0F323722-17A6-49B7-A856-8216DCD3C9D1}"/>
    <cellStyle name="40% - Accent3 7 2 2 3" xfId="16392" xr:uid="{94C33849-67B8-4477-85BD-F610B5CFD243}"/>
    <cellStyle name="40% - Accent3 7 2 3" xfId="20609" xr:uid="{EC9F37FF-B1E0-4DAE-B743-5152E8F2E4CD}"/>
    <cellStyle name="40% - Accent3 7 2 4" xfId="12175" xr:uid="{7283BEB7-0AD9-483E-B1DE-B6BC12AEEE1F}"/>
    <cellStyle name="40% - Accent3 7 3" xfId="5809" xr:uid="{00000000-0005-0000-0000-000099050000}"/>
    <cellStyle name="40% - Accent3 7 3 2" xfId="22681" xr:uid="{53071D4F-DE6D-41A1-9C43-DAD259FB7E0A}"/>
    <cellStyle name="40% - Accent3 7 3 3" xfId="14247" xr:uid="{0FFF6E7D-9440-48B6-8AC9-A8265672F501}"/>
    <cellStyle name="40% - Accent3 7 4" xfId="18464" xr:uid="{FF527D70-DC21-4758-A7A6-5FE1A1E35365}"/>
    <cellStyle name="40% - Accent3 7 5" xfId="10030" xr:uid="{C427171D-91B4-407E-BD94-7A43B31BB385}"/>
    <cellStyle name="40% - Accent3 8" xfId="1915" xr:uid="{00000000-0005-0000-0000-00009A050000}"/>
    <cellStyle name="40% - Accent3 8 2" xfId="4144" xr:uid="{00000000-0005-0000-0000-00009B050000}"/>
    <cellStyle name="40% - Accent3 8 2 2" xfId="8367" xr:uid="{00000000-0005-0000-0000-00009C050000}"/>
    <cellStyle name="40% - Accent3 8 2 2 2" xfId="25239" xr:uid="{8BD60A9A-F674-468C-9CA9-764A07627111}"/>
    <cellStyle name="40% - Accent3 8 2 2 3" xfId="16805" xr:uid="{19EFF3B4-9576-4676-AD50-D5CB3C371789}"/>
    <cellStyle name="40% - Accent3 8 2 3" xfId="21022" xr:uid="{071A99E3-0CCC-4C84-A162-4E038B057758}"/>
    <cellStyle name="40% - Accent3 8 2 4" xfId="12588" xr:uid="{0D65F052-40BC-4CF0-93F4-2BCCDBBBA848}"/>
    <cellStyle name="40% - Accent3 8 3" xfId="6222" xr:uid="{00000000-0005-0000-0000-00009D050000}"/>
    <cellStyle name="40% - Accent3 8 3 2" xfId="23094" xr:uid="{521ADE02-3605-49E4-A598-1A6A3BFE181A}"/>
    <cellStyle name="40% - Accent3 8 3 3" xfId="14660" xr:uid="{7933D893-9A21-4536-BA99-E651899DE1D3}"/>
    <cellStyle name="40% - Accent3 8 4" xfId="18877" xr:uid="{B446E034-8DEB-4991-8BB5-D02F5EFA159E}"/>
    <cellStyle name="40% - Accent3 8 5" xfId="10443" xr:uid="{34FCBAAF-435F-4BAD-8945-F02653E9D9C2}"/>
    <cellStyle name="40% - Accent3 9" xfId="2328" xr:uid="{00000000-0005-0000-0000-00009E050000}"/>
    <cellStyle name="40% - Accent3 9 2" xfId="6635" xr:uid="{00000000-0005-0000-0000-00009F050000}"/>
    <cellStyle name="40% - Accent3 9 2 2" xfId="23507" xr:uid="{0B1FC2A4-DEFE-4DE3-9324-B9DB3B3E094E}"/>
    <cellStyle name="40% - Accent3 9 2 3" xfId="15073" xr:uid="{8B468DB6-10B7-4668-AEE5-53947648EF70}"/>
    <cellStyle name="40% - Accent3 9 3" xfId="19290" xr:uid="{60396286-D078-41CF-B5E6-34247160132E}"/>
    <cellStyle name="40% - Accent3 9 4" xfId="10856" xr:uid="{C41220C3-9218-4F61-845B-615253598BBD}"/>
    <cellStyle name="40% - Accent4" xfId="73" builtinId="43" customBuiltin="1"/>
    <cellStyle name="40% - Accent4 10" xfId="4577" xr:uid="{00000000-0005-0000-0000-0000A1050000}"/>
    <cellStyle name="40% - Accent4 10 2" xfId="21449" xr:uid="{DE57E0E9-31EA-409A-9D84-5F4C2477F9E1}"/>
    <cellStyle name="40% - Accent4 10 3" xfId="13015" xr:uid="{7DC86D20-9D7F-4343-A404-D208228E55B2}"/>
    <cellStyle name="40% - Accent4 11" xfId="17232" xr:uid="{C4E04A42-B37C-486C-8401-A130471C01BC}"/>
    <cellStyle name="40% - Accent4 12" xfId="8798" xr:uid="{E14624F3-CCC6-496C-BDED-B115F83A1E54}"/>
    <cellStyle name="40% - Accent4 2" xfId="74" xr:uid="{00000000-0005-0000-0000-0000A2050000}"/>
    <cellStyle name="40% - Accent4 2 10" xfId="17233" xr:uid="{CA862BBD-D349-4A6A-ADC9-6CB3EF52D7C7}"/>
    <cellStyle name="40% - Accent4 2 11" xfId="8799" xr:uid="{BC5F9132-7AB9-4090-BA0E-E95BCB7A5274}"/>
    <cellStyle name="40% - Accent4 2 2" xfId="75" xr:uid="{00000000-0005-0000-0000-0000A3050000}"/>
    <cellStyle name="40% - Accent4 2 2 10" xfId="8800" xr:uid="{B42FFB60-E406-4FDE-A4A9-305E1DA648CD}"/>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24011" xr:uid="{578485C0-29BC-43C6-8541-9FF732C5DCA7}"/>
    <cellStyle name="40% - Accent4 2 2 2 2 2 2 3" xfId="15577" xr:uid="{77F665BC-4540-4852-82E5-0F39E68D6E60}"/>
    <cellStyle name="40% - Accent4 2 2 2 2 2 3" xfId="19794" xr:uid="{1C654DD1-C021-4EFF-9842-AADB2EDFDDAE}"/>
    <cellStyle name="40% - Accent4 2 2 2 2 2 4" xfId="11360" xr:uid="{0C0727AF-7E89-447F-AF03-C7BB1757EC32}"/>
    <cellStyle name="40% - Accent4 2 2 2 2 3" xfId="4994" xr:uid="{00000000-0005-0000-0000-0000A8050000}"/>
    <cellStyle name="40% - Accent4 2 2 2 2 3 2" xfId="21866" xr:uid="{A5644DA0-BAE5-4236-BDB2-25FE8A55F967}"/>
    <cellStyle name="40% - Accent4 2 2 2 2 3 3" xfId="13432" xr:uid="{292BDF3D-77FA-4553-B82E-21016C4B33EA}"/>
    <cellStyle name="40% - Accent4 2 2 2 2 4" xfId="17649" xr:uid="{0834DDBD-C2E8-4C86-B297-9B46FC7AEC5A}"/>
    <cellStyle name="40% - Accent4 2 2 2 2 5" xfId="9215" xr:uid="{259E6309-60ED-424A-956E-D43EC628DA2F}"/>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24424" xr:uid="{679DBA77-A1F7-4293-B569-968641CE9F9D}"/>
    <cellStyle name="40% - Accent4 2 2 2 3 2 2 3" xfId="15990" xr:uid="{65F1CB82-82E4-4B46-9FDE-1FE848030EE0}"/>
    <cellStyle name="40% - Accent4 2 2 2 3 2 3" xfId="20207" xr:uid="{F04C0BA2-BD65-424C-9201-6425FBE5D7F1}"/>
    <cellStyle name="40% - Accent4 2 2 2 3 2 4" xfId="11773" xr:uid="{C3EAEB2F-7487-4428-9280-427B94EA31F0}"/>
    <cellStyle name="40% - Accent4 2 2 2 3 3" xfId="5407" xr:uid="{00000000-0005-0000-0000-0000AC050000}"/>
    <cellStyle name="40% - Accent4 2 2 2 3 3 2" xfId="22279" xr:uid="{FE52410D-F76E-42C1-91F3-B94749C52DD1}"/>
    <cellStyle name="40% - Accent4 2 2 2 3 3 3" xfId="13845" xr:uid="{55725444-CA8E-480F-9456-AA7385ED2F88}"/>
    <cellStyle name="40% - Accent4 2 2 2 3 4" xfId="18062" xr:uid="{225831FC-EF0B-4F94-935D-9C103B2A34C7}"/>
    <cellStyle name="40% - Accent4 2 2 2 3 5" xfId="9628" xr:uid="{163C387C-FB6C-4BDB-8028-F107B34EE933}"/>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24837" xr:uid="{334C60C7-390E-4C42-BC60-4594477D68ED}"/>
    <cellStyle name="40% - Accent4 2 2 2 4 2 2 3" xfId="16403" xr:uid="{9406CA37-7DDD-409E-95ED-AF90AA249BEB}"/>
    <cellStyle name="40% - Accent4 2 2 2 4 2 3" xfId="20620" xr:uid="{86C49E0D-8C52-4B15-904C-69BBDBA9CCF7}"/>
    <cellStyle name="40% - Accent4 2 2 2 4 2 4" xfId="12186" xr:uid="{DE749049-41A7-4979-894F-D76C64E25875}"/>
    <cellStyle name="40% - Accent4 2 2 2 4 3" xfId="5820" xr:uid="{00000000-0005-0000-0000-0000B0050000}"/>
    <cellStyle name="40% - Accent4 2 2 2 4 3 2" xfId="22692" xr:uid="{49719FD5-A9DE-4309-956F-CC4D53689B24}"/>
    <cellStyle name="40% - Accent4 2 2 2 4 3 3" xfId="14258" xr:uid="{F2BF3445-AEE2-4667-AF82-B655AD9F985A}"/>
    <cellStyle name="40% - Accent4 2 2 2 4 4" xfId="18475" xr:uid="{94770D48-A156-4FFE-9AAA-299EBC585A3D}"/>
    <cellStyle name="40% - Accent4 2 2 2 4 5" xfId="10041" xr:uid="{06AAA949-C9EF-41D4-AAF8-66ABC00B057E}"/>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25250" xr:uid="{4E18FF9D-FDBF-4A6A-8F8D-383946EC6C3F}"/>
    <cellStyle name="40% - Accent4 2 2 2 5 2 2 3" xfId="16816" xr:uid="{41F80CE4-88EE-4432-9367-867B3FB38888}"/>
    <cellStyle name="40% - Accent4 2 2 2 5 2 3" xfId="21033" xr:uid="{04D0953F-32BD-4146-8461-ED9A1B7020E9}"/>
    <cellStyle name="40% - Accent4 2 2 2 5 2 4" xfId="12599" xr:uid="{A9668DD3-404E-4628-A0BD-66F0025BD827}"/>
    <cellStyle name="40% - Accent4 2 2 2 5 3" xfId="6233" xr:uid="{00000000-0005-0000-0000-0000B4050000}"/>
    <cellStyle name="40% - Accent4 2 2 2 5 3 2" xfId="23105" xr:uid="{F57C94B3-8D0A-47EC-887C-CBBE07930EC6}"/>
    <cellStyle name="40% - Accent4 2 2 2 5 3 3" xfId="14671" xr:uid="{9114A408-85DE-4086-8C73-10240A208926}"/>
    <cellStyle name="40% - Accent4 2 2 2 5 4" xfId="18888" xr:uid="{80651B16-EB68-48DF-9981-F68B16D4AB44}"/>
    <cellStyle name="40% - Accent4 2 2 2 5 5" xfId="10454" xr:uid="{C6C89058-2313-4032-9DAE-07305856EF43}"/>
    <cellStyle name="40% - Accent4 2 2 2 6" xfId="2339" xr:uid="{00000000-0005-0000-0000-0000B5050000}"/>
    <cellStyle name="40% - Accent4 2 2 2 6 2" xfId="6646" xr:uid="{00000000-0005-0000-0000-0000B6050000}"/>
    <cellStyle name="40% - Accent4 2 2 2 6 2 2" xfId="23518" xr:uid="{92C5BD98-B51D-47C0-AF2C-D0319F7AB4DC}"/>
    <cellStyle name="40% - Accent4 2 2 2 6 2 3" xfId="15084" xr:uid="{2A4BFFF4-5A38-4283-9DF3-98D602BD3A18}"/>
    <cellStyle name="40% - Accent4 2 2 2 6 3" xfId="19301" xr:uid="{793BE4F8-A4A4-46BC-BDDB-75E41EFAD8F6}"/>
    <cellStyle name="40% - Accent4 2 2 2 6 4" xfId="10867" xr:uid="{35F77327-8FAE-42E8-852E-A948139E9D73}"/>
    <cellStyle name="40% - Accent4 2 2 2 7" xfId="4580" xr:uid="{00000000-0005-0000-0000-0000B7050000}"/>
    <cellStyle name="40% - Accent4 2 2 2 7 2" xfId="21452" xr:uid="{98CBDE0C-2791-427A-86A1-C4D0400001CD}"/>
    <cellStyle name="40% - Accent4 2 2 2 7 3" xfId="13018" xr:uid="{8B823F51-94DC-4D46-A36E-A5D402684823}"/>
    <cellStyle name="40% - Accent4 2 2 2 8" xfId="17235" xr:uid="{B847EE96-1DFB-491B-9B3B-43047FA5D3D6}"/>
    <cellStyle name="40% - Accent4 2 2 2 9" xfId="8801" xr:uid="{D99A1B86-CB67-4CF7-8000-ADB8919FC491}"/>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24010" xr:uid="{E7AD4C24-7997-457C-8ABC-365C3FDA75CA}"/>
    <cellStyle name="40% - Accent4 2 2 3 2 2 3" xfId="15576" xr:uid="{63781B2E-A287-4C1F-998B-18AAA051F108}"/>
    <cellStyle name="40% - Accent4 2 2 3 2 3" xfId="19793" xr:uid="{50B8F5D5-218A-4DE0-A7CF-194FC4E5A9AD}"/>
    <cellStyle name="40% - Accent4 2 2 3 2 4" xfId="11359" xr:uid="{6BAE1EAB-F305-4983-97BD-C8613BE2A682}"/>
    <cellStyle name="40% - Accent4 2 2 3 3" xfId="4993" xr:uid="{00000000-0005-0000-0000-0000BB050000}"/>
    <cellStyle name="40% - Accent4 2 2 3 3 2" xfId="21865" xr:uid="{5A472B64-689F-418D-8A21-523D2280569E}"/>
    <cellStyle name="40% - Accent4 2 2 3 3 3" xfId="13431" xr:uid="{B958AA52-7D7C-4726-BEEC-F8D5B8E2B37A}"/>
    <cellStyle name="40% - Accent4 2 2 3 4" xfId="17648" xr:uid="{573FCB4C-CF2E-471A-989D-CEE418F8FA4B}"/>
    <cellStyle name="40% - Accent4 2 2 3 5" xfId="9214" xr:uid="{6D03A376-F698-4BE9-B7C1-99BFB2CE8701}"/>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24423" xr:uid="{54499F6A-6EBF-4799-A6CD-436A757DC73D}"/>
    <cellStyle name="40% - Accent4 2 2 4 2 2 3" xfId="15989" xr:uid="{D0398A6A-243E-424B-BB75-0F94AAB27C36}"/>
    <cellStyle name="40% - Accent4 2 2 4 2 3" xfId="20206" xr:uid="{5AAF8A73-8165-4932-8391-4D4E89CBFFA9}"/>
    <cellStyle name="40% - Accent4 2 2 4 2 4" xfId="11772" xr:uid="{AE501FCD-F3B4-456B-A9D8-149ACCF85F4C}"/>
    <cellStyle name="40% - Accent4 2 2 4 3" xfId="5406" xr:uid="{00000000-0005-0000-0000-0000BF050000}"/>
    <cellStyle name="40% - Accent4 2 2 4 3 2" xfId="22278" xr:uid="{04822BFA-9645-4583-9C53-C815FE36EDF3}"/>
    <cellStyle name="40% - Accent4 2 2 4 3 3" xfId="13844" xr:uid="{EBE77E69-0BD5-4898-8CC2-7C01E739BA8A}"/>
    <cellStyle name="40% - Accent4 2 2 4 4" xfId="18061" xr:uid="{2A93F14E-20F0-40E1-9282-DFB206C41CC1}"/>
    <cellStyle name="40% - Accent4 2 2 4 5" xfId="9627" xr:uid="{D89F300D-E6FF-4709-A906-13EF35A6C491}"/>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24836" xr:uid="{10E77957-31BD-4537-BDB1-7C1E69593D51}"/>
    <cellStyle name="40% - Accent4 2 2 5 2 2 3" xfId="16402" xr:uid="{576E773C-4F48-4A4C-A368-505FF24C03C7}"/>
    <cellStyle name="40% - Accent4 2 2 5 2 3" xfId="20619" xr:uid="{601D0688-78F1-4D76-9EC1-B42BD3ED3C2D}"/>
    <cellStyle name="40% - Accent4 2 2 5 2 4" xfId="12185" xr:uid="{96FFDB8A-B0B4-4A46-A1DA-A7D196BA6A58}"/>
    <cellStyle name="40% - Accent4 2 2 5 3" xfId="5819" xr:uid="{00000000-0005-0000-0000-0000C3050000}"/>
    <cellStyle name="40% - Accent4 2 2 5 3 2" xfId="22691" xr:uid="{DBA2AAA5-6D90-4F8A-A3CB-EAD13C241D25}"/>
    <cellStyle name="40% - Accent4 2 2 5 3 3" xfId="14257" xr:uid="{2BE096E5-F94D-4B82-BEAB-BE6871311832}"/>
    <cellStyle name="40% - Accent4 2 2 5 4" xfId="18474" xr:uid="{D8C83771-5515-4220-89C3-AD71FBCE1924}"/>
    <cellStyle name="40% - Accent4 2 2 5 5" xfId="10040" xr:uid="{635C75E6-92A3-4557-B652-F64B2D438EF5}"/>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25249" xr:uid="{488D6B7C-B9EE-4F07-85E0-2247B03282A6}"/>
    <cellStyle name="40% - Accent4 2 2 6 2 2 3" xfId="16815" xr:uid="{55FF454D-37DA-4B7A-8BEE-DCEDE093C7A2}"/>
    <cellStyle name="40% - Accent4 2 2 6 2 3" xfId="21032" xr:uid="{28B50F5D-4770-4CAE-8867-9C746BC6A32E}"/>
    <cellStyle name="40% - Accent4 2 2 6 2 4" xfId="12598" xr:uid="{51910EAF-7C64-4882-852E-CD10FF7068FA}"/>
    <cellStyle name="40% - Accent4 2 2 6 3" xfId="6232" xr:uid="{00000000-0005-0000-0000-0000C7050000}"/>
    <cellStyle name="40% - Accent4 2 2 6 3 2" xfId="23104" xr:uid="{342D0FC8-E008-4758-8591-893091C532C5}"/>
    <cellStyle name="40% - Accent4 2 2 6 3 3" xfId="14670" xr:uid="{38DF8C24-4B3E-43FD-AEC9-EE0C87FE83C4}"/>
    <cellStyle name="40% - Accent4 2 2 6 4" xfId="18887" xr:uid="{54776A85-D31E-4234-9714-4036F3B368A7}"/>
    <cellStyle name="40% - Accent4 2 2 6 5" xfId="10453" xr:uid="{1370F584-DCB9-41DB-9D71-CBD905BCB76B}"/>
    <cellStyle name="40% - Accent4 2 2 7" xfId="2338" xr:uid="{00000000-0005-0000-0000-0000C8050000}"/>
    <cellStyle name="40% - Accent4 2 2 7 2" xfId="6645" xr:uid="{00000000-0005-0000-0000-0000C9050000}"/>
    <cellStyle name="40% - Accent4 2 2 7 2 2" xfId="23517" xr:uid="{CD5FBAFD-2154-424B-8F78-1C141BE9794C}"/>
    <cellStyle name="40% - Accent4 2 2 7 2 3" xfId="15083" xr:uid="{BB8E3863-B921-4201-9649-9B793E309063}"/>
    <cellStyle name="40% - Accent4 2 2 7 3" xfId="19300" xr:uid="{6D25A1A7-AE72-4D63-B42D-D36C750C8B15}"/>
    <cellStyle name="40% - Accent4 2 2 7 4" xfId="10866" xr:uid="{4DE898AA-F438-4C74-8FBC-6B7F2445A574}"/>
    <cellStyle name="40% - Accent4 2 2 8" xfId="4579" xr:uid="{00000000-0005-0000-0000-0000CA050000}"/>
    <cellStyle name="40% - Accent4 2 2 8 2" xfId="21451" xr:uid="{B5005C6C-9427-4622-AFBE-7D59A40E79FC}"/>
    <cellStyle name="40% - Accent4 2 2 8 3" xfId="13017" xr:uid="{C12F7CB3-5261-4452-9589-20AD7EAF234E}"/>
    <cellStyle name="40% - Accent4 2 2 9" xfId="17234" xr:uid="{C4DD07A9-D951-449C-9E49-EDAA01A959DF}"/>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24012" xr:uid="{DC463314-DCE8-4CF0-ACB9-465E5C49A68A}"/>
    <cellStyle name="40% - Accent4 2 3 2 2 2 3" xfId="15578" xr:uid="{85085522-6A6C-46D8-91E2-FE0B397919F7}"/>
    <cellStyle name="40% - Accent4 2 3 2 2 3" xfId="19795" xr:uid="{ADB755B6-24B5-495E-8B2C-03D41B1A5C70}"/>
    <cellStyle name="40% - Accent4 2 3 2 2 4" xfId="11361" xr:uid="{4CA11D14-82B1-4504-A7BC-D02A9466AAD4}"/>
    <cellStyle name="40% - Accent4 2 3 2 3" xfId="4995" xr:uid="{00000000-0005-0000-0000-0000CF050000}"/>
    <cellStyle name="40% - Accent4 2 3 2 3 2" xfId="21867" xr:uid="{D4034DAC-4851-450B-857C-98A4E674D5B1}"/>
    <cellStyle name="40% - Accent4 2 3 2 3 3" xfId="13433" xr:uid="{355298A8-E161-4AE7-AA85-25553E271E05}"/>
    <cellStyle name="40% - Accent4 2 3 2 4" xfId="17650" xr:uid="{B7644922-BCE4-4EB8-AADA-B148574E88CB}"/>
    <cellStyle name="40% - Accent4 2 3 2 5" xfId="9216" xr:uid="{B5A59A2D-9F9A-469B-B6BA-EF9E04DDC68B}"/>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24425" xr:uid="{5A5C1F41-B2BB-464F-9C7B-0C42DFC24323}"/>
    <cellStyle name="40% - Accent4 2 3 3 2 2 3" xfId="15991" xr:uid="{B49B037C-EA24-48D3-8FF9-DD87C1A0D5E6}"/>
    <cellStyle name="40% - Accent4 2 3 3 2 3" xfId="20208" xr:uid="{03F4C6BB-5EEB-4418-9859-BED965F3C724}"/>
    <cellStyle name="40% - Accent4 2 3 3 2 4" xfId="11774" xr:uid="{9BE74714-5399-4D7A-8CD1-6B1527CC9CF3}"/>
    <cellStyle name="40% - Accent4 2 3 3 3" xfId="5408" xr:uid="{00000000-0005-0000-0000-0000D3050000}"/>
    <cellStyle name="40% - Accent4 2 3 3 3 2" xfId="22280" xr:uid="{12C2AC9C-4F36-4E40-8280-DB9D9954E31F}"/>
    <cellStyle name="40% - Accent4 2 3 3 3 3" xfId="13846" xr:uid="{0941D9CC-22A4-4DFE-9002-A5A2913C431A}"/>
    <cellStyle name="40% - Accent4 2 3 3 4" xfId="18063" xr:uid="{929578D3-9248-4ACE-A915-EB27DEAC27C6}"/>
    <cellStyle name="40% - Accent4 2 3 3 5" xfId="9629" xr:uid="{765946CF-1857-4C4F-881A-086E013AE282}"/>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24838" xr:uid="{C4465C53-298A-45A3-832A-F17CA8088141}"/>
    <cellStyle name="40% - Accent4 2 3 4 2 2 3" xfId="16404" xr:uid="{39EA5BAE-50FA-47F2-A291-55D6D4CF28CE}"/>
    <cellStyle name="40% - Accent4 2 3 4 2 3" xfId="20621" xr:uid="{382BB148-6439-4007-BBFC-C5D7E1CA9B8D}"/>
    <cellStyle name="40% - Accent4 2 3 4 2 4" xfId="12187" xr:uid="{4C0E5622-9AAB-46DB-82D8-5680E11AD400}"/>
    <cellStyle name="40% - Accent4 2 3 4 3" xfId="5821" xr:uid="{00000000-0005-0000-0000-0000D7050000}"/>
    <cellStyle name="40% - Accent4 2 3 4 3 2" xfId="22693" xr:uid="{47EC7AB6-D866-45EA-B2E6-4772279733EE}"/>
    <cellStyle name="40% - Accent4 2 3 4 3 3" xfId="14259" xr:uid="{2BF7CA74-7DAF-4947-81F7-D4EAB5D964A8}"/>
    <cellStyle name="40% - Accent4 2 3 4 4" xfId="18476" xr:uid="{2E8321AD-E02D-4819-92CA-DD8C71AD5D63}"/>
    <cellStyle name="40% - Accent4 2 3 4 5" xfId="10042" xr:uid="{EEE7D0EA-A4D1-437A-B8D3-14766649F2C7}"/>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25251" xr:uid="{4174CCC1-BA0E-438D-91BE-6990EFA1518D}"/>
    <cellStyle name="40% - Accent4 2 3 5 2 2 3" xfId="16817" xr:uid="{A9EBB722-68DE-47CA-A338-CB91003D9AF1}"/>
    <cellStyle name="40% - Accent4 2 3 5 2 3" xfId="21034" xr:uid="{A83D9B47-8E9E-4E64-97D9-0F18213F7B5A}"/>
    <cellStyle name="40% - Accent4 2 3 5 2 4" xfId="12600" xr:uid="{50526E40-E36A-4312-982F-4AAEA2EAEE7A}"/>
    <cellStyle name="40% - Accent4 2 3 5 3" xfId="6234" xr:uid="{00000000-0005-0000-0000-0000DB050000}"/>
    <cellStyle name="40% - Accent4 2 3 5 3 2" xfId="23106" xr:uid="{C42235F9-7CBB-46CA-9EF1-F0C6A1D52F8A}"/>
    <cellStyle name="40% - Accent4 2 3 5 3 3" xfId="14672" xr:uid="{B144CCC4-7A1C-4A00-AEA7-4204521F6909}"/>
    <cellStyle name="40% - Accent4 2 3 5 4" xfId="18889" xr:uid="{6DE88B42-959C-4289-8085-574A6C700416}"/>
    <cellStyle name="40% - Accent4 2 3 5 5" xfId="10455" xr:uid="{59875D3A-EEC9-4A91-B7B7-8FE1D89268F9}"/>
    <cellStyle name="40% - Accent4 2 3 6" xfId="2340" xr:uid="{00000000-0005-0000-0000-0000DC050000}"/>
    <cellStyle name="40% - Accent4 2 3 6 2" xfId="6647" xr:uid="{00000000-0005-0000-0000-0000DD050000}"/>
    <cellStyle name="40% - Accent4 2 3 6 2 2" xfId="23519" xr:uid="{3E354D1C-8051-4AB2-A6A7-1B2D193DC499}"/>
    <cellStyle name="40% - Accent4 2 3 6 2 3" xfId="15085" xr:uid="{5839EF7E-E37A-4CD5-A4B0-686D06D0204D}"/>
    <cellStyle name="40% - Accent4 2 3 6 3" xfId="19302" xr:uid="{F56D9127-D0C3-44E6-8A81-0AB81910F9CE}"/>
    <cellStyle name="40% - Accent4 2 3 6 4" xfId="10868" xr:uid="{FD399F41-4CC9-4177-8320-A9B746887DF7}"/>
    <cellStyle name="40% - Accent4 2 3 7" xfId="4581" xr:uid="{00000000-0005-0000-0000-0000DE050000}"/>
    <cellStyle name="40% - Accent4 2 3 7 2" xfId="21453" xr:uid="{90FF04F4-2DE4-4388-9867-25887165106A}"/>
    <cellStyle name="40% - Accent4 2 3 7 3" xfId="13019" xr:uid="{223CFD2B-43C4-4E14-9A79-5106BEC42B55}"/>
    <cellStyle name="40% - Accent4 2 3 8" xfId="17236" xr:uid="{BDB16E4A-B1EB-4C5A-95FA-EF7E00FCDCBC}"/>
    <cellStyle name="40% - Accent4 2 3 9" xfId="8802" xr:uid="{B0B2FEA9-12E6-4659-8916-EF9201068765}"/>
    <cellStyle name="40% - Accent4 2 4" xfId="643" xr:uid="{00000000-0005-0000-0000-0000DF050000}"/>
    <cellStyle name="40% - Accent4 2 4 2" xfId="2914" xr:uid="{00000000-0005-0000-0000-0000E0050000}"/>
    <cellStyle name="40% - Accent4 2 4 2 2" xfId="7137" xr:uid="{00000000-0005-0000-0000-0000E1050000}"/>
    <cellStyle name="40% - Accent4 2 4 2 2 2" xfId="24009" xr:uid="{1DFB4D26-E7E6-4A5E-A6E2-A92E366154F9}"/>
    <cellStyle name="40% - Accent4 2 4 2 2 3" xfId="15575" xr:uid="{819728DB-799F-4561-87EA-D25C2B4262FA}"/>
    <cellStyle name="40% - Accent4 2 4 2 3" xfId="19792" xr:uid="{E0AE329D-8367-4146-BF3F-CCCEEE5B5EC4}"/>
    <cellStyle name="40% - Accent4 2 4 2 4" xfId="11358" xr:uid="{EDDCBED6-3E10-4F0C-99B6-FC25820DD30A}"/>
    <cellStyle name="40% - Accent4 2 4 3" xfId="4992" xr:uid="{00000000-0005-0000-0000-0000E2050000}"/>
    <cellStyle name="40% - Accent4 2 4 3 2" xfId="21864" xr:uid="{9BE0754C-B3D7-41B9-890B-35A6D97CC119}"/>
    <cellStyle name="40% - Accent4 2 4 3 3" xfId="13430" xr:uid="{19429DC7-861B-4500-ADF9-159CB3EBEE6E}"/>
    <cellStyle name="40% - Accent4 2 4 4" xfId="17647" xr:uid="{CA2DC0D8-7896-4F91-B7A3-FAA90176185D}"/>
    <cellStyle name="40% - Accent4 2 4 5" xfId="9213" xr:uid="{C710F332-C78F-40EA-B65E-B183C3AD6540}"/>
    <cellStyle name="40% - Accent4 2 5" xfId="1096" xr:uid="{00000000-0005-0000-0000-0000E3050000}"/>
    <cellStyle name="40% - Accent4 2 5 2" xfId="3327" xr:uid="{00000000-0005-0000-0000-0000E4050000}"/>
    <cellStyle name="40% - Accent4 2 5 2 2" xfId="7550" xr:uid="{00000000-0005-0000-0000-0000E5050000}"/>
    <cellStyle name="40% - Accent4 2 5 2 2 2" xfId="24422" xr:uid="{F7D19766-D2D2-467A-B041-9AF26C8F0F8A}"/>
    <cellStyle name="40% - Accent4 2 5 2 2 3" xfId="15988" xr:uid="{0753CD69-237C-4F97-A97D-D3DFA44D39AD}"/>
    <cellStyle name="40% - Accent4 2 5 2 3" xfId="20205" xr:uid="{101993C5-1700-406A-9638-A0381707B72C}"/>
    <cellStyle name="40% - Accent4 2 5 2 4" xfId="11771" xr:uid="{306C6FCF-3595-4502-90F5-2A843E6A8B5E}"/>
    <cellStyle name="40% - Accent4 2 5 3" xfId="5405" xr:uid="{00000000-0005-0000-0000-0000E6050000}"/>
    <cellStyle name="40% - Accent4 2 5 3 2" xfId="22277" xr:uid="{1845F0C3-048A-4C5E-B4B4-E2747CD3AE87}"/>
    <cellStyle name="40% - Accent4 2 5 3 3" xfId="13843" xr:uid="{8E704358-A150-498C-B40E-DD33D9A73575}"/>
    <cellStyle name="40% - Accent4 2 5 4" xfId="18060" xr:uid="{8AD307D2-ED7E-4364-8E37-857E8E0040A2}"/>
    <cellStyle name="40% - Accent4 2 5 5" xfId="9626" xr:uid="{C4B24A47-BB4F-4799-B1EF-3782CBF9F9EF}"/>
    <cellStyle name="40% - Accent4 2 6" xfId="1510" xr:uid="{00000000-0005-0000-0000-0000E7050000}"/>
    <cellStyle name="40% - Accent4 2 6 2" xfId="3740" xr:uid="{00000000-0005-0000-0000-0000E8050000}"/>
    <cellStyle name="40% - Accent4 2 6 2 2" xfId="7963" xr:uid="{00000000-0005-0000-0000-0000E9050000}"/>
    <cellStyle name="40% - Accent4 2 6 2 2 2" xfId="24835" xr:uid="{9B6AC5E2-9C6A-4690-800C-492683934729}"/>
    <cellStyle name="40% - Accent4 2 6 2 2 3" xfId="16401" xr:uid="{2D05B9CF-5126-4489-B005-4D486AB8319C}"/>
    <cellStyle name="40% - Accent4 2 6 2 3" xfId="20618" xr:uid="{0FB13568-ED42-4963-925D-C1A5DE743774}"/>
    <cellStyle name="40% - Accent4 2 6 2 4" xfId="12184" xr:uid="{E87E5680-0067-45D7-B2E8-533E59F915EF}"/>
    <cellStyle name="40% - Accent4 2 6 3" xfId="5818" xr:uid="{00000000-0005-0000-0000-0000EA050000}"/>
    <cellStyle name="40% - Accent4 2 6 3 2" xfId="22690" xr:uid="{9A582F8C-0169-4A5E-8429-EACDA326D4F3}"/>
    <cellStyle name="40% - Accent4 2 6 3 3" xfId="14256" xr:uid="{C6F77FB0-EBF7-4677-8029-69F5BD98D8B3}"/>
    <cellStyle name="40% - Accent4 2 6 4" xfId="18473" xr:uid="{8512B2F0-E6A8-4DCC-975E-602C28D0F06D}"/>
    <cellStyle name="40% - Accent4 2 6 5" xfId="10039" xr:uid="{9B875510-EC2E-4A50-B815-2EF5EB1042AB}"/>
    <cellStyle name="40% - Accent4 2 7" xfId="1924" xr:uid="{00000000-0005-0000-0000-0000EB050000}"/>
    <cellStyle name="40% - Accent4 2 7 2" xfId="4153" xr:uid="{00000000-0005-0000-0000-0000EC050000}"/>
    <cellStyle name="40% - Accent4 2 7 2 2" xfId="8376" xr:uid="{00000000-0005-0000-0000-0000ED050000}"/>
    <cellStyle name="40% - Accent4 2 7 2 2 2" xfId="25248" xr:uid="{5A74F74A-8F46-4CED-B991-2BD0D14D8653}"/>
    <cellStyle name="40% - Accent4 2 7 2 2 3" xfId="16814" xr:uid="{0C6D89DE-41F8-40D3-A403-8FB1AAA20AC6}"/>
    <cellStyle name="40% - Accent4 2 7 2 3" xfId="21031" xr:uid="{4CB3C187-1005-40E2-97E3-43E3A313AC15}"/>
    <cellStyle name="40% - Accent4 2 7 2 4" xfId="12597" xr:uid="{0F3935DE-9016-4229-A84E-4029BEB54A3C}"/>
    <cellStyle name="40% - Accent4 2 7 3" xfId="6231" xr:uid="{00000000-0005-0000-0000-0000EE050000}"/>
    <cellStyle name="40% - Accent4 2 7 3 2" xfId="23103" xr:uid="{64964389-2C53-4B7C-B277-4C5D4CF8C791}"/>
    <cellStyle name="40% - Accent4 2 7 3 3" xfId="14669" xr:uid="{F1C0F284-FE13-4E17-A4E9-6E547136D845}"/>
    <cellStyle name="40% - Accent4 2 7 4" xfId="18886" xr:uid="{31AB49A5-E613-40C1-B7EE-8ED59CF79E7C}"/>
    <cellStyle name="40% - Accent4 2 7 5" xfId="10452" xr:uid="{BCADAC34-EA43-4E31-95D1-D1029AEA1FF4}"/>
    <cellStyle name="40% - Accent4 2 8" xfId="2337" xr:uid="{00000000-0005-0000-0000-0000EF050000}"/>
    <cellStyle name="40% - Accent4 2 8 2" xfId="6644" xr:uid="{00000000-0005-0000-0000-0000F0050000}"/>
    <cellStyle name="40% - Accent4 2 8 2 2" xfId="23516" xr:uid="{17C29212-99FD-4174-A52D-84B76E236764}"/>
    <cellStyle name="40% - Accent4 2 8 2 3" xfId="15082" xr:uid="{41102DB0-6C02-4074-A3CD-63A4145C8FDA}"/>
    <cellStyle name="40% - Accent4 2 8 3" xfId="19299" xr:uid="{76DE5A83-C400-4F5B-B228-4999D477BF60}"/>
    <cellStyle name="40% - Accent4 2 8 4" xfId="10865" xr:uid="{FB4771D7-1088-413D-8711-29F55C0FA49D}"/>
    <cellStyle name="40% - Accent4 2 9" xfId="4578" xr:uid="{00000000-0005-0000-0000-0000F1050000}"/>
    <cellStyle name="40% - Accent4 2 9 2" xfId="21450" xr:uid="{F61F434E-22A2-400D-91A6-36E7BBEFC03E}"/>
    <cellStyle name="40% - Accent4 2 9 3" xfId="13016" xr:uid="{B908E204-DD76-4222-B3F8-CE6159E54DF4}"/>
    <cellStyle name="40% - Accent4 3" xfId="78" xr:uid="{00000000-0005-0000-0000-0000F2050000}"/>
    <cellStyle name="40% - Accent4 3 10" xfId="8803" xr:uid="{8D4AC5C7-9779-4625-897F-FB4CA404B9B4}"/>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24014" xr:uid="{8CD559BC-8C18-4F98-92BD-78BFC1B582D5}"/>
    <cellStyle name="40% - Accent4 3 2 2 2 2 3" xfId="15580" xr:uid="{46D5374A-53C1-4B84-BBC8-F7E72853BC36}"/>
    <cellStyle name="40% - Accent4 3 2 2 2 3" xfId="19797" xr:uid="{C2F3DF55-EBAE-4FCD-9583-2948F43BBAB0}"/>
    <cellStyle name="40% - Accent4 3 2 2 2 4" xfId="11363" xr:uid="{9DA8ACDC-B630-48E4-9892-672B3C6C0937}"/>
    <cellStyle name="40% - Accent4 3 2 2 3" xfId="4997" xr:uid="{00000000-0005-0000-0000-0000F7050000}"/>
    <cellStyle name="40% - Accent4 3 2 2 3 2" xfId="21869" xr:uid="{60A9643A-8480-4C83-8E62-226BDF967D18}"/>
    <cellStyle name="40% - Accent4 3 2 2 3 3" xfId="13435" xr:uid="{FF8F2250-74F8-4A56-9908-632A4BD1C052}"/>
    <cellStyle name="40% - Accent4 3 2 2 4" xfId="17652" xr:uid="{2DB4BC45-E6DF-4C20-8C11-00926344B302}"/>
    <cellStyle name="40% - Accent4 3 2 2 5" xfId="9218" xr:uid="{1B77B985-3334-4666-A4F9-57328026954B}"/>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24427" xr:uid="{D2160D96-34EE-440A-968A-1E9C401D659E}"/>
    <cellStyle name="40% - Accent4 3 2 3 2 2 3" xfId="15993" xr:uid="{A3F73A0C-8E5B-40FE-B1DB-F86B1F85D722}"/>
    <cellStyle name="40% - Accent4 3 2 3 2 3" xfId="20210" xr:uid="{4B5A3E78-5DBF-4017-9C5C-0311B0CBF224}"/>
    <cellStyle name="40% - Accent4 3 2 3 2 4" xfId="11776" xr:uid="{A8FA336A-7D9A-4AED-939D-C2EF13DDBFC8}"/>
    <cellStyle name="40% - Accent4 3 2 3 3" xfId="5410" xr:uid="{00000000-0005-0000-0000-0000FB050000}"/>
    <cellStyle name="40% - Accent4 3 2 3 3 2" xfId="22282" xr:uid="{5FD7265A-C25A-4D12-8FF3-E237E68F5821}"/>
    <cellStyle name="40% - Accent4 3 2 3 3 3" xfId="13848" xr:uid="{99103CFE-9848-46AF-90C3-49A82E2E5A7B}"/>
    <cellStyle name="40% - Accent4 3 2 3 4" xfId="18065" xr:uid="{7D221E18-A892-41CC-A908-C93561A2CFFB}"/>
    <cellStyle name="40% - Accent4 3 2 3 5" xfId="9631" xr:uid="{24AA8C84-D198-4F59-91EC-3903CB348304}"/>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24840" xr:uid="{36AE11C1-E735-4B00-BC12-03912D0A0023}"/>
    <cellStyle name="40% - Accent4 3 2 4 2 2 3" xfId="16406" xr:uid="{0A70746B-DB16-4B22-B1B3-EF286B3E6417}"/>
    <cellStyle name="40% - Accent4 3 2 4 2 3" xfId="20623" xr:uid="{D3D6AA87-3231-446C-A54C-057D343DCC56}"/>
    <cellStyle name="40% - Accent4 3 2 4 2 4" xfId="12189" xr:uid="{33415372-80EC-42FE-AE6C-FB75B1658ABB}"/>
    <cellStyle name="40% - Accent4 3 2 4 3" xfId="5823" xr:uid="{00000000-0005-0000-0000-0000FF050000}"/>
    <cellStyle name="40% - Accent4 3 2 4 3 2" xfId="22695" xr:uid="{871DE92F-5201-4983-A00A-30E81237C1C5}"/>
    <cellStyle name="40% - Accent4 3 2 4 3 3" xfId="14261" xr:uid="{6D1B14AF-F263-4FBA-BCED-B46F7613F3CD}"/>
    <cellStyle name="40% - Accent4 3 2 4 4" xfId="18478" xr:uid="{7BC4F7F7-D84F-43D2-ADA4-0E4ADB19C33E}"/>
    <cellStyle name="40% - Accent4 3 2 4 5" xfId="10044" xr:uid="{7D40CD4A-D6AB-40AC-BE6F-FEB6F57648B8}"/>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25253" xr:uid="{0059E2A7-C2C4-4683-88C5-E22F7F647333}"/>
    <cellStyle name="40% - Accent4 3 2 5 2 2 3" xfId="16819" xr:uid="{C074CEAC-EA0C-4BDB-ACE5-280B49436258}"/>
    <cellStyle name="40% - Accent4 3 2 5 2 3" xfId="21036" xr:uid="{5396B9CE-4591-435B-9427-CA5B74E46D54}"/>
    <cellStyle name="40% - Accent4 3 2 5 2 4" xfId="12602" xr:uid="{01C2B2DC-06F5-453E-8B9D-5B1C1A2C7E84}"/>
    <cellStyle name="40% - Accent4 3 2 5 3" xfId="6236" xr:uid="{00000000-0005-0000-0000-000003060000}"/>
    <cellStyle name="40% - Accent4 3 2 5 3 2" xfId="23108" xr:uid="{C0C6FAF7-E473-4E78-A102-D58F10D2E188}"/>
    <cellStyle name="40% - Accent4 3 2 5 3 3" xfId="14674" xr:uid="{821013FE-18D4-4FBE-805C-13EB7B1786B8}"/>
    <cellStyle name="40% - Accent4 3 2 5 4" xfId="18891" xr:uid="{7F511FB0-E01E-4D89-B339-A2E5517837ED}"/>
    <cellStyle name="40% - Accent4 3 2 5 5" xfId="10457" xr:uid="{34274553-A608-4AD8-AC8B-C616F4B3A635}"/>
    <cellStyle name="40% - Accent4 3 2 6" xfId="2342" xr:uid="{00000000-0005-0000-0000-000004060000}"/>
    <cellStyle name="40% - Accent4 3 2 6 2" xfId="6649" xr:uid="{00000000-0005-0000-0000-000005060000}"/>
    <cellStyle name="40% - Accent4 3 2 6 2 2" xfId="23521" xr:uid="{F7BFA2DC-5136-4740-B490-86F3BF7DAB12}"/>
    <cellStyle name="40% - Accent4 3 2 6 2 3" xfId="15087" xr:uid="{FF2ECDC0-1A48-47F1-B103-193CD70D27F6}"/>
    <cellStyle name="40% - Accent4 3 2 6 3" xfId="19304" xr:uid="{7BE6CDC2-A074-47C8-AA52-6100AA3568D1}"/>
    <cellStyle name="40% - Accent4 3 2 6 4" xfId="10870" xr:uid="{6B90A2C2-F200-4E31-8B50-A8020932A6BF}"/>
    <cellStyle name="40% - Accent4 3 2 7" xfId="4583" xr:uid="{00000000-0005-0000-0000-000006060000}"/>
    <cellStyle name="40% - Accent4 3 2 7 2" xfId="21455" xr:uid="{2E625F1D-A7A6-4402-ABA5-1BCB8448FFBD}"/>
    <cellStyle name="40% - Accent4 3 2 7 3" xfId="13021" xr:uid="{C6D582F3-2725-4ED6-9181-E3D4984BC59E}"/>
    <cellStyle name="40% - Accent4 3 2 8" xfId="17238" xr:uid="{66C83AA2-7C02-4300-A0D8-7D10CE93CBE9}"/>
    <cellStyle name="40% - Accent4 3 2 9" xfId="8804" xr:uid="{414BE929-FF9F-4143-92E4-C0C15CD83E34}"/>
    <cellStyle name="40% - Accent4 3 3" xfId="647" xr:uid="{00000000-0005-0000-0000-000007060000}"/>
    <cellStyle name="40% - Accent4 3 3 2" xfId="2918" xr:uid="{00000000-0005-0000-0000-000008060000}"/>
    <cellStyle name="40% - Accent4 3 3 2 2" xfId="7141" xr:uid="{00000000-0005-0000-0000-000009060000}"/>
    <cellStyle name="40% - Accent4 3 3 2 2 2" xfId="24013" xr:uid="{9F49F6D6-EDFF-4224-A28E-2B69BBE717B7}"/>
    <cellStyle name="40% - Accent4 3 3 2 2 3" xfId="15579" xr:uid="{A4D90C32-F233-4C3A-9CC6-D3763E414D29}"/>
    <cellStyle name="40% - Accent4 3 3 2 3" xfId="19796" xr:uid="{95380244-0697-4DB1-A2B8-FEE9C2B58050}"/>
    <cellStyle name="40% - Accent4 3 3 2 4" xfId="11362" xr:uid="{7A6FF2D8-4F39-4580-A90C-8E789109FECC}"/>
    <cellStyle name="40% - Accent4 3 3 3" xfId="4996" xr:uid="{00000000-0005-0000-0000-00000A060000}"/>
    <cellStyle name="40% - Accent4 3 3 3 2" xfId="21868" xr:uid="{4448485D-B243-4213-9A04-17AAA974B8A7}"/>
    <cellStyle name="40% - Accent4 3 3 3 3" xfId="13434" xr:uid="{CD165110-7925-47EB-910B-F4ECFDB925D6}"/>
    <cellStyle name="40% - Accent4 3 3 4" xfId="17651" xr:uid="{160BD489-E2E8-4AFC-A0A0-3F5FDE7CF44D}"/>
    <cellStyle name="40% - Accent4 3 3 5" xfId="9217" xr:uid="{60830E3F-8D3B-4C42-A151-177C0652166D}"/>
    <cellStyle name="40% - Accent4 3 4" xfId="1100" xr:uid="{00000000-0005-0000-0000-00000B060000}"/>
    <cellStyle name="40% - Accent4 3 4 2" xfId="3331" xr:uid="{00000000-0005-0000-0000-00000C060000}"/>
    <cellStyle name="40% - Accent4 3 4 2 2" xfId="7554" xr:uid="{00000000-0005-0000-0000-00000D060000}"/>
    <cellStyle name="40% - Accent4 3 4 2 2 2" xfId="24426" xr:uid="{91F8DDB2-6FAA-47FA-A45F-564A58BBA680}"/>
    <cellStyle name="40% - Accent4 3 4 2 2 3" xfId="15992" xr:uid="{0B5406D1-1B72-473C-96C5-41A3FB2FD1C2}"/>
    <cellStyle name="40% - Accent4 3 4 2 3" xfId="20209" xr:uid="{41EE4248-44E9-475C-9BF7-20D8AC765EB8}"/>
    <cellStyle name="40% - Accent4 3 4 2 4" xfId="11775" xr:uid="{BCFEF785-25EA-4BFC-AE37-EDC3CED2CA2E}"/>
    <cellStyle name="40% - Accent4 3 4 3" xfId="5409" xr:uid="{00000000-0005-0000-0000-00000E060000}"/>
    <cellStyle name="40% - Accent4 3 4 3 2" xfId="22281" xr:uid="{7BBC40D4-4D15-4AFA-A352-B5D9406F0898}"/>
    <cellStyle name="40% - Accent4 3 4 3 3" xfId="13847" xr:uid="{601B1F92-EB8B-4B66-A672-3D8A3625D44E}"/>
    <cellStyle name="40% - Accent4 3 4 4" xfId="18064" xr:uid="{C0307A94-8F9C-4E11-8C38-CAE6D119F880}"/>
    <cellStyle name="40% - Accent4 3 4 5" xfId="9630" xr:uid="{7D9BEA1D-34B0-4352-B7EB-A650EE0C19F0}"/>
    <cellStyle name="40% - Accent4 3 5" xfId="1514" xr:uid="{00000000-0005-0000-0000-00000F060000}"/>
    <cellStyle name="40% - Accent4 3 5 2" xfId="3744" xr:uid="{00000000-0005-0000-0000-000010060000}"/>
    <cellStyle name="40% - Accent4 3 5 2 2" xfId="7967" xr:uid="{00000000-0005-0000-0000-000011060000}"/>
    <cellStyle name="40% - Accent4 3 5 2 2 2" xfId="24839" xr:uid="{2A7F1426-9C13-49FE-8E40-0D0DA2A15257}"/>
    <cellStyle name="40% - Accent4 3 5 2 2 3" xfId="16405" xr:uid="{26590CD5-9296-478E-BD10-7640BE70429B}"/>
    <cellStyle name="40% - Accent4 3 5 2 3" xfId="20622" xr:uid="{228B8BC3-3714-4553-97E1-358CD67A966C}"/>
    <cellStyle name="40% - Accent4 3 5 2 4" xfId="12188" xr:uid="{F9B0A313-EFBA-4C21-8F23-E3DB6C4EA0C3}"/>
    <cellStyle name="40% - Accent4 3 5 3" xfId="5822" xr:uid="{00000000-0005-0000-0000-000012060000}"/>
    <cellStyle name="40% - Accent4 3 5 3 2" xfId="22694" xr:uid="{BA5F70FA-CFBF-49CA-B8C9-75A90DFD8703}"/>
    <cellStyle name="40% - Accent4 3 5 3 3" xfId="14260" xr:uid="{2DB1A255-F790-471B-A3A8-046BAA5030DE}"/>
    <cellStyle name="40% - Accent4 3 5 4" xfId="18477" xr:uid="{83BF5CB6-EA30-4BF5-8DDE-D62099AD4081}"/>
    <cellStyle name="40% - Accent4 3 5 5" xfId="10043" xr:uid="{2F36EE1C-AEF2-4E63-903A-3058FF8FC316}"/>
    <cellStyle name="40% - Accent4 3 6" xfId="1928" xr:uid="{00000000-0005-0000-0000-000013060000}"/>
    <cellStyle name="40% - Accent4 3 6 2" xfId="4157" xr:uid="{00000000-0005-0000-0000-000014060000}"/>
    <cellStyle name="40% - Accent4 3 6 2 2" xfId="8380" xr:uid="{00000000-0005-0000-0000-000015060000}"/>
    <cellStyle name="40% - Accent4 3 6 2 2 2" xfId="25252" xr:uid="{CC423632-691B-448D-9989-E8D11700E6FD}"/>
    <cellStyle name="40% - Accent4 3 6 2 2 3" xfId="16818" xr:uid="{59A076F8-3D47-48BC-BC9D-FAB88D5DAF2E}"/>
    <cellStyle name="40% - Accent4 3 6 2 3" xfId="21035" xr:uid="{1575591B-F889-4D2E-ADA3-9FED39727077}"/>
    <cellStyle name="40% - Accent4 3 6 2 4" xfId="12601" xr:uid="{0322AEDE-58CB-43BF-9FE3-5132609B3768}"/>
    <cellStyle name="40% - Accent4 3 6 3" xfId="6235" xr:uid="{00000000-0005-0000-0000-000016060000}"/>
    <cellStyle name="40% - Accent4 3 6 3 2" xfId="23107" xr:uid="{AB2AEC1B-DCFB-423D-A82E-1BEE9604563A}"/>
    <cellStyle name="40% - Accent4 3 6 3 3" xfId="14673" xr:uid="{8FA94876-37DC-4308-9CCA-453521B63D70}"/>
    <cellStyle name="40% - Accent4 3 6 4" xfId="18890" xr:uid="{EC6B6FD0-9EF5-4EA3-8990-CA9AB082487E}"/>
    <cellStyle name="40% - Accent4 3 6 5" xfId="10456" xr:uid="{88B4FEAB-20A8-4F17-BDE4-4E511955A81B}"/>
    <cellStyle name="40% - Accent4 3 7" xfId="2341" xr:uid="{00000000-0005-0000-0000-000017060000}"/>
    <cellStyle name="40% - Accent4 3 7 2" xfId="6648" xr:uid="{00000000-0005-0000-0000-000018060000}"/>
    <cellStyle name="40% - Accent4 3 7 2 2" xfId="23520" xr:uid="{17E064C0-CCB0-49B2-9098-B1303CAB6AB2}"/>
    <cellStyle name="40% - Accent4 3 7 2 3" xfId="15086" xr:uid="{7987D46D-3706-4A4F-897C-C6BEEBA4C571}"/>
    <cellStyle name="40% - Accent4 3 7 3" xfId="19303" xr:uid="{9584E2C8-11D1-4756-B571-873392DE21DA}"/>
    <cellStyle name="40% - Accent4 3 7 4" xfId="10869" xr:uid="{2655AB7D-F076-49F4-84CF-3E6C1023B09B}"/>
    <cellStyle name="40% - Accent4 3 8" xfId="4582" xr:uid="{00000000-0005-0000-0000-000019060000}"/>
    <cellStyle name="40% - Accent4 3 8 2" xfId="21454" xr:uid="{D035B4C0-C8C6-42CC-9685-8B12AC4DF12C}"/>
    <cellStyle name="40% - Accent4 3 8 3" xfId="13020" xr:uid="{AFDBC2AE-74AC-4F60-A1DB-133AB9B16387}"/>
    <cellStyle name="40% - Accent4 3 9" xfId="17237" xr:uid="{63F0EAA9-1184-4F56-9793-B1CCC759B1EE}"/>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24015" xr:uid="{361FF200-85EE-4D8B-9574-29095D30B7E8}"/>
    <cellStyle name="40% - Accent4 4 2 2 2 3" xfId="15581" xr:uid="{43857E87-022E-4769-AAD6-CF0CEB3F48E4}"/>
    <cellStyle name="40% - Accent4 4 2 2 3" xfId="19798" xr:uid="{0553EF30-CE9E-4E7B-8E58-13C2A549941A}"/>
    <cellStyle name="40% - Accent4 4 2 2 4" xfId="11364" xr:uid="{699CE4D8-3B47-4B9E-BDE6-538CB87CB437}"/>
    <cellStyle name="40% - Accent4 4 2 3" xfId="4998" xr:uid="{00000000-0005-0000-0000-00001E060000}"/>
    <cellStyle name="40% - Accent4 4 2 3 2" xfId="21870" xr:uid="{9A93FCE9-D216-4FC1-A658-4B737FA7E6DC}"/>
    <cellStyle name="40% - Accent4 4 2 3 3" xfId="13436" xr:uid="{6F7AF632-C297-42D7-8514-76412049BA62}"/>
    <cellStyle name="40% - Accent4 4 2 4" xfId="17653" xr:uid="{97AA2957-98C3-4EE3-96AC-73B8977699CB}"/>
    <cellStyle name="40% - Accent4 4 2 5" xfId="9219" xr:uid="{275FACFB-4984-4EE9-B1F1-5C76F8D9E5B9}"/>
    <cellStyle name="40% - Accent4 4 3" xfId="1102" xr:uid="{00000000-0005-0000-0000-00001F060000}"/>
    <cellStyle name="40% - Accent4 4 3 2" xfId="3333" xr:uid="{00000000-0005-0000-0000-000020060000}"/>
    <cellStyle name="40% - Accent4 4 3 2 2" xfId="7556" xr:uid="{00000000-0005-0000-0000-000021060000}"/>
    <cellStyle name="40% - Accent4 4 3 2 2 2" xfId="24428" xr:uid="{6970279F-7F2F-41D6-93BA-E22E5DF7F22F}"/>
    <cellStyle name="40% - Accent4 4 3 2 2 3" xfId="15994" xr:uid="{69F3BD70-802D-4B68-8E28-1E7F0FA6E37C}"/>
    <cellStyle name="40% - Accent4 4 3 2 3" xfId="20211" xr:uid="{E23303CE-2472-4988-A0C5-1D931AC38FC9}"/>
    <cellStyle name="40% - Accent4 4 3 2 4" xfId="11777" xr:uid="{E84F437E-2536-441B-B041-5F86B710FBFB}"/>
    <cellStyle name="40% - Accent4 4 3 3" xfId="5411" xr:uid="{00000000-0005-0000-0000-000022060000}"/>
    <cellStyle name="40% - Accent4 4 3 3 2" xfId="22283" xr:uid="{3E2C713B-1FC6-43BF-B277-06C324A54DAD}"/>
    <cellStyle name="40% - Accent4 4 3 3 3" xfId="13849" xr:uid="{7A459A9D-D091-403D-B390-5BF3B79A758A}"/>
    <cellStyle name="40% - Accent4 4 3 4" xfId="18066" xr:uid="{B83F07F3-D64B-4ADE-ACB5-8E57FFA215D5}"/>
    <cellStyle name="40% - Accent4 4 3 5" xfId="9632" xr:uid="{26EE7AF7-3551-4808-8E8D-23282F952D76}"/>
    <cellStyle name="40% - Accent4 4 4" xfId="1516" xr:uid="{00000000-0005-0000-0000-000023060000}"/>
    <cellStyle name="40% - Accent4 4 4 2" xfId="3746" xr:uid="{00000000-0005-0000-0000-000024060000}"/>
    <cellStyle name="40% - Accent4 4 4 2 2" xfId="7969" xr:uid="{00000000-0005-0000-0000-000025060000}"/>
    <cellStyle name="40% - Accent4 4 4 2 2 2" xfId="24841" xr:uid="{78F4263F-E5AD-45F0-B1BE-21C5C581D8C7}"/>
    <cellStyle name="40% - Accent4 4 4 2 2 3" xfId="16407" xr:uid="{BE0F77AE-1C5C-40FC-96AA-867CA125B3CE}"/>
    <cellStyle name="40% - Accent4 4 4 2 3" xfId="20624" xr:uid="{81D6D646-460A-467C-BF88-32CF8C326DEA}"/>
    <cellStyle name="40% - Accent4 4 4 2 4" xfId="12190" xr:uid="{35A80089-8FAC-4C1D-B128-DA35BBAE63EA}"/>
    <cellStyle name="40% - Accent4 4 4 3" xfId="5824" xr:uid="{00000000-0005-0000-0000-000026060000}"/>
    <cellStyle name="40% - Accent4 4 4 3 2" xfId="22696" xr:uid="{16E837DC-7310-4A7A-B8EB-958691DA6417}"/>
    <cellStyle name="40% - Accent4 4 4 3 3" xfId="14262" xr:uid="{31494723-A548-411F-A09E-1BAAFFB7B7E6}"/>
    <cellStyle name="40% - Accent4 4 4 4" xfId="18479" xr:uid="{EE55010B-7A84-40BC-A2BB-2062455EDBF5}"/>
    <cellStyle name="40% - Accent4 4 4 5" xfId="10045" xr:uid="{753735C9-59C5-44E1-A4EF-90E5A53ABC3F}"/>
    <cellStyle name="40% - Accent4 4 5" xfId="1930" xr:uid="{00000000-0005-0000-0000-000027060000}"/>
    <cellStyle name="40% - Accent4 4 5 2" xfId="4159" xr:uid="{00000000-0005-0000-0000-000028060000}"/>
    <cellStyle name="40% - Accent4 4 5 2 2" xfId="8382" xr:uid="{00000000-0005-0000-0000-000029060000}"/>
    <cellStyle name="40% - Accent4 4 5 2 2 2" xfId="25254" xr:uid="{A835B21F-D52B-4312-A32C-9685C0357FBC}"/>
    <cellStyle name="40% - Accent4 4 5 2 2 3" xfId="16820" xr:uid="{2583FD80-3E0E-4BC8-AB69-D34DE703FC00}"/>
    <cellStyle name="40% - Accent4 4 5 2 3" xfId="21037" xr:uid="{F277559A-0C43-40D2-AF23-D033C633828B}"/>
    <cellStyle name="40% - Accent4 4 5 2 4" xfId="12603" xr:uid="{C6A49A24-5E75-4EF8-84A2-735DA3750C28}"/>
    <cellStyle name="40% - Accent4 4 5 3" xfId="6237" xr:uid="{00000000-0005-0000-0000-00002A060000}"/>
    <cellStyle name="40% - Accent4 4 5 3 2" xfId="23109" xr:uid="{5EF40769-1AA2-4B15-B57A-F0CE7DD69F93}"/>
    <cellStyle name="40% - Accent4 4 5 3 3" xfId="14675" xr:uid="{1D3BD195-46E0-43EB-971C-5C494F52030A}"/>
    <cellStyle name="40% - Accent4 4 5 4" xfId="18892" xr:uid="{0DE7E9A3-5351-402B-B3F0-81E6EBD69A30}"/>
    <cellStyle name="40% - Accent4 4 5 5" xfId="10458" xr:uid="{520690BA-A138-4A7B-9D11-CE1119036AED}"/>
    <cellStyle name="40% - Accent4 4 6" xfId="2343" xr:uid="{00000000-0005-0000-0000-00002B060000}"/>
    <cellStyle name="40% - Accent4 4 6 2" xfId="6650" xr:uid="{00000000-0005-0000-0000-00002C060000}"/>
    <cellStyle name="40% - Accent4 4 6 2 2" xfId="23522" xr:uid="{CC76E8D0-8A76-484A-AD75-1DEC77EED004}"/>
    <cellStyle name="40% - Accent4 4 6 2 3" xfId="15088" xr:uid="{5916E39E-2B76-4E7D-9F9F-1896670065DA}"/>
    <cellStyle name="40% - Accent4 4 6 3" xfId="19305" xr:uid="{CAA53900-E5BC-4C68-9510-ECEE7CCC259B}"/>
    <cellStyle name="40% - Accent4 4 6 4" xfId="10871" xr:uid="{9D1DD167-27D1-456C-8FE5-84F82018C897}"/>
    <cellStyle name="40% - Accent4 4 7" xfId="4584" xr:uid="{00000000-0005-0000-0000-00002D060000}"/>
    <cellStyle name="40% - Accent4 4 7 2" xfId="21456" xr:uid="{8222B309-28AA-4B2B-970C-7C35F69823BE}"/>
    <cellStyle name="40% - Accent4 4 7 3" xfId="13022" xr:uid="{9836CF0A-0392-41C3-B24C-61392051FAE7}"/>
    <cellStyle name="40% - Accent4 4 8" xfId="17239" xr:uid="{59EACAE6-4A0D-4104-87D7-CFBD6C05586E}"/>
    <cellStyle name="40% - Accent4 4 9" xfId="8805" xr:uid="{31A7EB7F-FA2F-4742-9C50-BB2CA8A636E5}"/>
    <cellStyle name="40% - Accent4 5" xfId="642" xr:uid="{00000000-0005-0000-0000-00002E060000}"/>
    <cellStyle name="40% - Accent4 5 2" xfId="2913" xr:uid="{00000000-0005-0000-0000-00002F060000}"/>
    <cellStyle name="40% - Accent4 5 2 2" xfId="7136" xr:uid="{00000000-0005-0000-0000-000030060000}"/>
    <cellStyle name="40% - Accent4 5 2 2 2" xfId="24008" xr:uid="{186250FF-D8C9-41D4-AA5E-F06649EC12F7}"/>
    <cellStyle name="40% - Accent4 5 2 2 3" xfId="15574" xr:uid="{DEB7CCD8-BE82-4DD4-A1D7-550DC9AF4BFD}"/>
    <cellStyle name="40% - Accent4 5 2 3" xfId="19791" xr:uid="{59BAE636-A7B0-4047-A0F9-CB5B827FFA18}"/>
    <cellStyle name="40% - Accent4 5 2 4" xfId="11357" xr:uid="{8A8DC682-92C7-41C8-BAA6-E6D4C04E7063}"/>
    <cellStyle name="40% - Accent4 5 3" xfId="4991" xr:uid="{00000000-0005-0000-0000-000031060000}"/>
    <cellStyle name="40% - Accent4 5 3 2" xfId="21863" xr:uid="{A4CC633C-50D5-4C3D-BB0A-044BDE8191EC}"/>
    <cellStyle name="40% - Accent4 5 3 3" xfId="13429" xr:uid="{042FB93E-C1F1-4CB5-AA29-C80B701BD341}"/>
    <cellStyle name="40% - Accent4 5 4" xfId="17646" xr:uid="{0603657B-DBBD-4345-8182-73F39240C22E}"/>
    <cellStyle name="40% - Accent4 5 5" xfId="9212" xr:uid="{6F2BB0A8-E1F5-48A6-A86D-097B62AFE793}"/>
    <cellStyle name="40% - Accent4 6" xfId="1095" xr:uid="{00000000-0005-0000-0000-000032060000}"/>
    <cellStyle name="40% - Accent4 6 2" xfId="3326" xr:uid="{00000000-0005-0000-0000-000033060000}"/>
    <cellStyle name="40% - Accent4 6 2 2" xfId="7549" xr:uid="{00000000-0005-0000-0000-000034060000}"/>
    <cellStyle name="40% - Accent4 6 2 2 2" xfId="24421" xr:uid="{67E77535-5289-447F-85D6-C77DA0D9ED7E}"/>
    <cellStyle name="40% - Accent4 6 2 2 3" xfId="15987" xr:uid="{52879B0A-C1FA-496F-B46E-0B7204F6B780}"/>
    <cellStyle name="40% - Accent4 6 2 3" xfId="20204" xr:uid="{A56BA934-E06D-4E7A-8A4E-63E95634840F}"/>
    <cellStyle name="40% - Accent4 6 2 4" xfId="11770" xr:uid="{02928AB0-6505-45D6-A198-92C8E6B04268}"/>
    <cellStyle name="40% - Accent4 6 3" xfId="5404" xr:uid="{00000000-0005-0000-0000-000035060000}"/>
    <cellStyle name="40% - Accent4 6 3 2" xfId="22276" xr:uid="{D03F0715-49A8-48A6-92F4-F20CC0606A78}"/>
    <cellStyle name="40% - Accent4 6 3 3" xfId="13842" xr:uid="{A7CA8AE5-C287-4EDB-8714-A86D07B20358}"/>
    <cellStyle name="40% - Accent4 6 4" xfId="18059" xr:uid="{0A4840C5-2F38-4D32-9332-4CFE1427218A}"/>
    <cellStyle name="40% - Accent4 6 5" xfId="9625" xr:uid="{22E070A1-5A95-4EB2-8CA3-0638192A18D8}"/>
    <cellStyle name="40% - Accent4 7" xfId="1509" xr:uid="{00000000-0005-0000-0000-000036060000}"/>
    <cellStyle name="40% - Accent4 7 2" xfId="3739" xr:uid="{00000000-0005-0000-0000-000037060000}"/>
    <cellStyle name="40% - Accent4 7 2 2" xfId="7962" xr:uid="{00000000-0005-0000-0000-000038060000}"/>
    <cellStyle name="40% - Accent4 7 2 2 2" xfId="24834" xr:uid="{2CFE2A71-46E9-441D-B378-F42F1D6D737A}"/>
    <cellStyle name="40% - Accent4 7 2 2 3" xfId="16400" xr:uid="{1439B250-73EB-4EA1-8C18-5C43C2920AA6}"/>
    <cellStyle name="40% - Accent4 7 2 3" xfId="20617" xr:uid="{35F2FB16-AB8A-4B2A-9AD8-60A70CCC413E}"/>
    <cellStyle name="40% - Accent4 7 2 4" xfId="12183" xr:uid="{AEE74BB1-5C2E-4179-A1C1-5FB23FB1F118}"/>
    <cellStyle name="40% - Accent4 7 3" xfId="5817" xr:uid="{00000000-0005-0000-0000-000039060000}"/>
    <cellStyle name="40% - Accent4 7 3 2" xfId="22689" xr:uid="{6DE20765-6978-4935-B4FD-CEA5CCB29195}"/>
    <cellStyle name="40% - Accent4 7 3 3" xfId="14255" xr:uid="{1AFB4076-AE28-4E56-8A5D-CF15DA68C971}"/>
    <cellStyle name="40% - Accent4 7 4" xfId="18472" xr:uid="{4B253835-8C12-4275-B80A-86515B6B1B59}"/>
    <cellStyle name="40% - Accent4 7 5" xfId="10038" xr:uid="{55687EEC-4C03-4B54-91DB-161962E510E5}"/>
    <cellStyle name="40% - Accent4 8" xfId="1923" xr:uid="{00000000-0005-0000-0000-00003A060000}"/>
    <cellStyle name="40% - Accent4 8 2" xfId="4152" xr:uid="{00000000-0005-0000-0000-00003B060000}"/>
    <cellStyle name="40% - Accent4 8 2 2" xfId="8375" xr:uid="{00000000-0005-0000-0000-00003C060000}"/>
    <cellStyle name="40% - Accent4 8 2 2 2" xfId="25247" xr:uid="{6EB90106-4460-4098-8C04-BE5D0BFFBD86}"/>
    <cellStyle name="40% - Accent4 8 2 2 3" xfId="16813" xr:uid="{12E17D2F-F39A-4B04-A6A9-937B82AC5193}"/>
    <cellStyle name="40% - Accent4 8 2 3" xfId="21030" xr:uid="{98E0F528-6C09-4FED-A893-554A6534C63D}"/>
    <cellStyle name="40% - Accent4 8 2 4" xfId="12596" xr:uid="{CF64229B-2925-4D13-8AAC-90A471EE4FC8}"/>
    <cellStyle name="40% - Accent4 8 3" xfId="6230" xr:uid="{00000000-0005-0000-0000-00003D060000}"/>
    <cellStyle name="40% - Accent4 8 3 2" xfId="23102" xr:uid="{81F27E1B-6CED-4BDD-998B-92E2F18FFB33}"/>
    <cellStyle name="40% - Accent4 8 3 3" xfId="14668" xr:uid="{EFAE7101-B529-4880-B19F-6FC9320449B2}"/>
    <cellStyle name="40% - Accent4 8 4" xfId="18885" xr:uid="{1D050EC1-E8F6-45C0-AA2B-1652057A6B6E}"/>
    <cellStyle name="40% - Accent4 8 5" xfId="10451" xr:uid="{AA8EDBDF-6710-4452-9CBA-26156C245F63}"/>
    <cellStyle name="40% - Accent4 9" xfId="2336" xr:uid="{00000000-0005-0000-0000-00003E060000}"/>
    <cellStyle name="40% - Accent4 9 2" xfId="6643" xr:uid="{00000000-0005-0000-0000-00003F060000}"/>
    <cellStyle name="40% - Accent4 9 2 2" xfId="23515" xr:uid="{67EF0418-804D-4B99-8608-A015BF872B45}"/>
    <cellStyle name="40% - Accent4 9 2 3" xfId="15081" xr:uid="{0E17B56C-48B4-4810-AF58-C2D219222B66}"/>
    <cellStyle name="40% - Accent4 9 3" xfId="19298" xr:uid="{1D360403-073D-4D35-B3F6-675E0AA6476A}"/>
    <cellStyle name="40% - Accent4 9 4" xfId="10864" xr:uid="{DB19D5F4-0A0E-475E-A52C-B30661FF5297}"/>
    <cellStyle name="40% - Accent5" xfId="81" builtinId="47" customBuiltin="1"/>
    <cellStyle name="40% - Accent5 10" xfId="4585" xr:uid="{00000000-0005-0000-0000-000041060000}"/>
    <cellStyle name="40% - Accent5 10 2" xfId="21457" xr:uid="{81681616-0807-437B-BE59-89FAF7DDA091}"/>
    <cellStyle name="40% - Accent5 10 3" xfId="13023" xr:uid="{69DFAD5E-3B3C-4B62-B771-603EEC8D901E}"/>
    <cellStyle name="40% - Accent5 11" xfId="17240" xr:uid="{66DB8690-B997-428D-B6EF-829E74E47F5C}"/>
    <cellStyle name="40% - Accent5 12" xfId="8806" xr:uid="{2892B464-0AA7-4E55-AF9D-FA9B95C99A55}"/>
    <cellStyle name="40% - Accent5 2" xfId="82" xr:uid="{00000000-0005-0000-0000-000042060000}"/>
    <cellStyle name="40% - Accent5 2 10" xfId="17241" xr:uid="{497324F1-CDB8-4C4E-AF8A-CA58859A350F}"/>
    <cellStyle name="40% - Accent5 2 11" xfId="8807" xr:uid="{0044CEEA-8298-4345-B3D1-F429F6741B91}"/>
    <cellStyle name="40% - Accent5 2 2" xfId="83" xr:uid="{00000000-0005-0000-0000-000043060000}"/>
    <cellStyle name="40% - Accent5 2 2 10" xfId="8808" xr:uid="{457AC742-BCF1-43E9-95FF-F53E76246742}"/>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24019" xr:uid="{87BF37E0-3636-46D4-B64C-8DE8ACFC23C9}"/>
    <cellStyle name="40% - Accent5 2 2 2 2 2 2 3" xfId="15585" xr:uid="{BACC66EE-2188-4FF0-9B0A-080FCC5A74FB}"/>
    <cellStyle name="40% - Accent5 2 2 2 2 2 3" xfId="19802" xr:uid="{296A8427-2C28-4A00-8A21-E66C57AA8BF6}"/>
    <cellStyle name="40% - Accent5 2 2 2 2 2 4" xfId="11368" xr:uid="{2F015694-B1B4-4E97-9314-B29F39E1A076}"/>
    <cellStyle name="40% - Accent5 2 2 2 2 3" xfId="5002" xr:uid="{00000000-0005-0000-0000-000048060000}"/>
    <cellStyle name="40% - Accent5 2 2 2 2 3 2" xfId="21874" xr:uid="{84CCF71D-8121-42DF-A2F1-E387791DA7BF}"/>
    <cellStyle name="40% - Accent5 2 2 2 2 3 3" xfId="13440" xr:uid="{FB103728-9D7C-493B-8287-5929760E0F0C}"/>
    <cellStyle name="40% - Accent5 2 2 2 2 4" xfId="17657" xr:uid="{82CA29B7-DED3-4DFC-AE6C-D2E543B7AB97}"/>
    <cellStyle name="40% - Accent5 2 2 2 2 5" xfId="9223" xr:uid="{46B10FEC-C8E8-4E18-A7BD-6C643D81FAF1}"/>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24432" xr:uid="{0750EB1B-CEE7-4127-BED0-C78263948243}"/>
    <cellStyle name="40% - Accent5 2 2 2 3 2 2 3" xfId="15998" xr:uid="{C0477A5E-DE9C-46A0-9530-57763E9EB51B}"/>
    <cellStyle name="40% - Accent5 2 2 2 3 2 3" xfId="20215" xr:uid="{083664D2-F5E0-442F-B696-40781F768833}"/>
    <cellStyle name="40% - Accent5 2 2 2 3 2 4" xfId="11781" xr:uid="{30273BD9-C6C5-448C-9F4C-22BE9E2B2D0D}"/>
    <cellStyle name="40% - Accent5 2 2 2 3 3" xfId="5415" xr:uid="{00000000-0005-0000-0000-00004C060000}"/>
    <cellStyle name="40% - Accent5 2 2 2 3 3 2" xfId="22287" xr:uid="{235B6C02-7283-4032-9624-558B363CBB29}"/>
    <cellStyle name="40% - Accent5 2 2 2 3 3 3" xfId="13853" xr:uid="{3A666ACD-1ACE-4485-9C26-717CF9477AF5}"/>
    <cellStyle name="40% - Accent5 2 2 2 3 4" xfId="18070" xr:uid="{2A745D54-2C28-4AEE-89FF-8EA95ADDAA23}"/>
    <cellStyle name="40% - Accent5 2 2 2 3 5" xfId="9636" xr:uid="{98988956-B9A6-419E-B331-C844C658BB2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24845" xr:uid="{E4C0EFF7-1230-4A36-B227-CA63B3047E41}"/>
    <cellStyle name="40% - Accent5 2 2 2 4 2 2 3" xfId="16411" xr:uid="{C798BB81-36E6-4BDE-84FA-B9B5AF9A170E}"/>
    <cellStyle name="40% - Accent5 2 2 2 4 2 3" xfId="20628" xr:uid="{C003FC77-C741-4224-B724-FB794636DADE}"/>
    <cellStyle name="40% - Accent5 2 2 2 4 2 4" xfId="12194" xr:uid="{D2CFFA0C-C036-474D-9716-C14AC9F52B85}"/>
    <cellStyle name="40% - Accent5 2 2 2 4 3" xfId="5828" xr:uid="{00000000-0005-0000-0000-000050060000}"/>
    <cellStyle name="40% - Accent5 2 2 2 4 3 2" xfId="22700" xr:uid="{0C5F5DAB-C8D6-4D2B-BFEE-A1E586CB0172}"/>
    <cellStyle name="40% - Accent5 2 2 2 4 3 3" xfId="14266" xr:uid="{56E5F592-6F0C-4AE8-A0D5-218B8D4A1424}"/>
    <cellStyle name="40% - Accent5 2 2 2 4 4" xfId="18483" xr:uid="{743741F5-C73E-40D0-837B-CCB390B6E284}"/>
    <cellStyle name="40% - Accent5 2 2 2 4 5" xfId="10049" xr:uid="{6E0DA5BC-EB88-4AF5-BA51-DB8336CED1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25258" xr:uid="{436E59FC-6C77-4F82-97CA-9B174709331A}"/>
    <cellStyle name="40% - Accent5 2 2 2 5 2 2 3" xfId="16824" xr:uid="{AA8F5445-29AC-4FF0-BA61-FCA920B956A5}"/>
    <cellStyle name="40% - Accent5 2 2 2 5 2 3" xfId="21041" xr:uid="{AFC20CF0-4461-4BCC-8DE1-C76E1D3EC947}"/>
    <cellStyle name="40% - Accent5 2 2 2 5 2 4" xfId="12607" xr:uid="{78C2E750-CE53-4030-9A62-1DAC7828E222}"/>
    <cellStyle name="40% - Accent5 2 2 2 5 3" xfId="6241" xr:uid="{00000000-0005-0000-0000-000054060000}"/>
    <cellStyle name="40% - Accent5 2 2 2 5 3 2" xfId="23113" xr:uid="{A0E3104C-72CF-4522-8BF4-852B3BD97638}"/>
    <cellStyle name="40% - Accent5 2 2 2 5 3 3" xfId="14679" xr:uid="{D50707AF-C713-425A-9D3A-5A337B09A8BE}"/>
    <cellStyle name="40% - Accent5 2 2 2 5 4" xfId="18896" xr:uid="{84C80D8F-87A9-404F-B829-9B9C323C13B5}"/>
    <cellStyle name="40% - Accent5 2 2 2 5 5" xfId="10462" xr:uid="{BB8BEBE6-80A1-4039-B5BC-A29C1E2B7CFE}"/>
    <cellStyle name="40% - Accent5 2 2 2 6" xfId="2347" xr:uid="{00000000-0005-0000-0000-000055060000}"/>
    <cellStyle name="40% - Accent5 2 2 2 6 2" xfId="6654" xr:uid="{00000000-0005-0000-0000-000056060000}"/>
    <cellStyle name="40% - Accent5 2 2 2 6 2 2" xfId="23526" xr:uid="{98809DC7-7DC8-4B0A-A3B5-92D5C8A7F67F}"/>
    <cellStyle name="40% - Accent5 2 2 2 6 2 3" xfId="15092" xr:uid="{715C6020-8344-4B2B-A856-AB77B20ABA5A}"/>
    <cellStyle name="40% - Accent5 2 2 2 6 3" xfId="19309" xr:uid="{FDFEF954-9C42-4203-87A2-D67CDF0AF339}"/>
    <cellStyle name="40% - Accent5 2 2 2 6 4" xfId="10875" xr:uid="{8FAD2A7F-BFF8-4A0D-A545-A6586128A8CB}"/>
    <cellStyle name="40% - Accent5 2 2 2 7" xfId="4588" xr:uid="{00000000-0005-0000-0000-000057060000}"/>
    <cellStyle name="40% - Accent5 2 2 2 7 2" xfId="21460" xr:uid="{A1A0287F-79B8-4712-A1F7-BD47003B2D59}"/>
    <cellStyle name="40% - Accent5 2 2 2 7 3" xfId="13026" xr:uid="{F3E799AE-0A8C-48EB-95CB-66D3822A0BCA}"/>
    <cellStyle name="40% - Accent5 2 2 2 8" xfId="17243" xr:uid="{8F59DFC5-ED84-4CB5-845C-166195E4BE28}"/>
    <cellStyle name="40% - Accent5 2 2 2 9" xfId="8809" xr:uid="{FF84CFF1-43FF-4061-87E3-EF65032167AB}"/>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24018" xr:uid="{DF20F2E8-4230-4BB7-AFC6-0B4B6E25B0FD}"/>
    <cellStyle name="40% - Accent5 2 2 3 2 2 3" xfId="15584" xr:uid="{C88EFA44-4E60-473A-A698-ACAA13E310D3}"/>
    <cellStyle name="40% - Accent5 2 2 3 2 3" xfId="19801" xr:uid="{5514556E-5AE8-441C-AF6D-5DFCF4292DAB}"/>
    <cellStyle name="40% - Accent5 2 2 3 2 4" xfId="11367" xr:uid="{3DAD0FD6-D308-4375-80BC-5E83DD034622}"/>
    <cellStyle name="40% - Accent5 2 2 3 3" xfId="5001" xr:uid="{00000000-0005-0000-0000-00005B060000}"/>
    <cellStyle name="40% - Accent5 2 2 3 3 2" xfId="21873" xr:uid="{9D8FB8B5-FA3D-4757-A499-A52244AE1C46}"/>
    <cellStyle name="40% - Accent5 2 2 3 3 3" xfId="13439" xr:uid="{C54E57EE-2091-467D-854B-4ED06BCDE4A5}"/>
    <cellStyle name="40% - Accent5 2 2 3 4" xfId="17656" xr:uid="{81F87B52-C2E2-4E9B-90F0-74B5CE494424}"/>
    <cellStyle name="40% - Accent5 2 2 3 5" xfId="9222" xr:uid="{779F17D9-67C2-4416-8F87-826325D71BAE}"/>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24431" xr:uid="{AA46945B-5258-4187-8BFC-DCA401498C83}"/>
    <cellStyle name="40% - Accent5 2 2 4 2 2 3" xfId="15997" xr:uid="{44F01C1B-8CE4-4DA5-923E-C6A3ECB3572F}"/>
    <cellStyle name="40% - Accent5 2 2 4 2 3" xfId="20214" xr:uid="{FC2D4196-79DE-4F8B-A2D3-4C401FCB936F}"/>
    <cellStyle name="40% - Accent5 2 2 4 2 4" xfId="11780" xr:uid="{998EDC2C-BA87-42BE-B3F9-32FB7513DE1A}"/>
    <cellStyle name="40% - Accent5 2 2 4 3" xfId="5414" xr:uid="{00000000-0005-0000-0000-00005F060000}"/>
    <cellStyle name="40% - Accent5 2 2 4 3 2" xfId="22286" xr:uid="{A92DF2A4-9FCA-4361-BB3E-6216F6F3F95D}"/>
    <cellStyle name="40% - Accent5 2 2 4 3 3" xfId="13852" xr:uid="{7579ABC7-CBA8-4D74-BA5B-03FB684CB7AB}"/>
    <cellStyle name="40% - Accent5 2 2 4 4" xfId="18069" xr:uid="{482439EA-A77D-41C9-9460-4AF20D626E83}"/>
    <cellStyle name="40% - Accent5 2 2 4 5" xfId="9635" xr:uid="{5E2CADD0-7131-4AE7-9186-712313A49FDF}"/>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24844" xr:uid="{88D75EAA-C07A-47A0-A39F-0654664ACAE1}"/>
    <cellStyle name="40% - Accent5 2 2 5 2 2 3" xfId="16410" xr:uid="{1283FBEB-8F67-4C7E-8D49-3DE19721232F}"/>
    <cellStyle name="40% - Accent5 2 2 5 2 3" xfId="20627" xr:uid="{77C34968-1DF1-40F5-A0B0-8F8D6431C940}"/>
    <cellStyle name="40% - Accent5 2 2 5 2 4" xfId="12193" xr:uid="{5129673A-73E4-4F8D-B0C2-A3A20FA55EF3}"/>
    <cellStyle name="40% - Accent5 2 2 5 3" xfId="5827" xr:uid="{00000000-0005-0000-0000-000063060000}"/>
    <cellStyle name="40% - Accent5 2 2 5 3 2" xfId="22699" xr:uid="{6C6CEAB7-4330-4A19-9236-AC17879376EB}"/>
    <cellStyle name="40% - Accent5 2 2 5 3 3" xfId="14265" xr:uid="{2F1ECF3D-3092-4848-998B-F7DAE24DC1C2}"/>
    <cellStyle name="40% - Accent5 2 2 5 4" xfId="18482" xr:uid="{888B345E-ACF8-45A1-A234-FF8266B6021C}"/>
    <cellStyle name="40% - Accent5 2 2 5 5" xfId="10048" xr:uid="{869A7A0E-97A0-43DD-BF87-BF2CA4E819F5}"/>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25257" xr:uid="{590F993B-4A24-484C-A378-C3E7A2E8B2DF}"/>
    <cellStyle name="40% - Accent5 2 2 6 2 2 3" xfId="16823" xr:uid="{45A955EA-79F6-452D-BA8D-D0BEA429C0ED}"/>
    <cellStyle name="40% - Accent5 2 2 6 2 3" xfId="21040" xr:uid="{A2DFD8BA-4EB8-4581-AEE0-31AE3BD2FDBE}"/>
    <cellStyle name="40% - Accent5 2 2 6 2 4" xfId="12606" xr:uid="{4E76CF89-B5BB-4053-BB7A-945B7515D271}"/>
    <cellStyle name="40% - Accent5 2 2 6 3" xfId="6240" xr:uid="{00000000-0005-0000-0000-000067060000}"/>
    <cellStyle name="40% - Accent5 2 2 6 3 2" xfId="23112" xr:uid="{643A1852-2832-4E32-A6AB-5BA05F298C7C}"/>
    <cellStyle name="40% - Accent5 2 2 6 3 3" xfId="14678" xr:uid="{7BA4DA11-75C1-4214-BCA9-DE4006D6811B}"/>
    <cellStyle name="40% - Accent5 2 2 6 4" xfId="18895" xr:uid="{EEE96D7B-5B08-4E71-B48A-626B9ADB5575}"/>
    <cellStyle name="40% - Accent5 2 2 6 5" xfId="10461" xr:uid="{0BEDCD44-C4CE-4D6D-85F1-64E07AAA6543}"/>
    <cellStyle name="40% - Accent5 2 2 7" xfId="2346" xr:uid="{00000000-0005-0000-0000-000068060000}"/>
    <cellStyle name="40% - Accent5 2 2 7 2" xfId="6653" xr:uid="{00000000-0005-0000-0000-000069060000}"/>
    <cellStyle name="40% - Accent5 2 2 7 2 2" xfId="23525" xr:uid="{7D28F896-6A07-40DD-9F9D-186F7466D0D2}"/>
    <cellStyle name="40% - Accent5 2 2 7 2 3" xfId="15091" xr:uid="{77D92282-3306-42B9-9D96-4A214194FDB7}"/>
    <cellStyle name="40% - Accent5 2 2 7 3" xfId="19308" xr:uid="{1C8A5C80-6C29-44F2-85DF-329455F172D6}"/>
    <cellStyle name="40% - Accent5 2 2 7 4" xfId="10874" xr:uid="{B0472A3A-5FEB-4BC2-BAA0-5F63FF31D873}"/>
    <cellStyle name="40% - Accent5 2 2 8" xfId="4587" xr:uid="{00000000-0005-0000-0000-00006A060000}"/>
    <cellStyle name="40% - Accent5 2 2 8 2" xfId="21459" xr:uid="{7E261D64-FDFC-47E0-941B-BC408FE67566}"/>
    <cellStyle name="40% - Accent5 2 2 8 3" xfId="13025" xr:uid="{1D35F9DD-8B55-42D8-BD7A-00A1F3983822}"/>
    <cellStyle name="40% - Accent5 2 2 9" xfId="17242" xr:uid="{07A73BB8-D2A8-45B9-B509-5A908C922F5A}"/>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24020" xr:uid="{E0142880-8737-4277-9761-D62266CAF5F8}"/>
    <cellStyle name="40% - Accent5 2 3 2 2 2 3" xfId="15586" xr:uid="{474E118C-D14B-4CCD-80DF-08C16FB45ED7}"/>
    <cellStyle name="40% - Accent5 2 3 2 2 3" xfId="19803" xr:uid="{EFC776D4-AC2E-4528-BD22-AD572C918C84}"/>
    <cellStyle name="40% - Accent5 2 3 2 2 4" xfId="11369" xr:uid="{91648C37-0893-46FD-9E41-DB4E16B8A814}"/>
    <cellStyle name="40% - Accent5 2 3 2 3" xfId="5003" xr:uid="{00000000-0005-0000-0000-00006F060000}"/>
    <cellStyle name="40% - Accent5 2 3 2 3 2" xfId="21875" xr:uid="{28C72165-501D-4649-BC0B-570C1306138B}"/>
    <cellStyle name="40% - Accent5 2 3 2 3 3" xfId="13441" xr:uid="{1A05C73E-DA15-42C7-9F54-163A87CAD606}"/>
    <cellStyle name="40% - Accent5 2 3 2 4" xfId="17658" xr:uid="{FD33083E-46CA-4672-9806-6C80AC7DEAC1}"/>
    <cellStyle name="40% - Accent5 2 3 2 5" xfId="9224" xr:uid="{6C6D0DFB-E769-4A63-849A-349233AE9D59}"/>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24433" xr:uid="{8079880C-179B-4C58-AEA4-C1F2C12A2178}"/>
    <cellStyle name="40% - Accent5 2 3 3 2 2 3" xfId="15999" xr:uid="{D4C146D6-5185-4F20-8B39-2F1B5F5109BD}"/>
    <cellStyle name="40% - Accent5 2 3 3 2 3" xfId="20216" xr:uid="{77CF7E61-A010-4025-9E25-8D8AED8639DC}"/>
    <cellStyle name="40% - Accent5 2 3 3 2 4" xfId="11782" xr:uid="{E438688D-0B3D-44C7-8F99-A5C29CFC3D0F}"/>
    <cellStyle name="40% - Accent5 2 3 3 3" xfId="5416" xr:uid="{00000000-0005-0000-0000-000073060000}"/>
    <cellStyle name="40% - Accent5 2 3 3 3 2" xfId="22288" xr:uid="{5A6D1CB1-2006-462E-BE00-55429C603038}"/>
    <cellStyle name="40% - Accent5 2 3 3 3 3" xfId="13854" xr:uid="{67BE3272-E9CF-42BE-BD6B-6E20813FB20B}"/>
    <cellStyle name="40% - Accent5 2 3 3 4" xfId="18071" xr:uid="{8ECA0A4A-C53C-432C-A81B-FB632CAAEBA8}"/>
    <cellStyle name="40% - Accent5 2 3 3 5" xfId="9637" xr:uid="{436531A7-79B9-4A5B-9290-CC739C64AB1D}"/>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24846" xr:uid="{42BD5A2D-4515-496A-9127-14595889EA38}"/>
    <cellStyle name="40% - Accent5 2 3 4 2 2 3" xfId="16412" xr:uid="{CB90B27E-DE03-4387-B36B-525A41E3BEA7}"/>
    <cellStyle name="40% - Accent5 2 3 4 2 3" xfId="20629" xr:uid="{1CB0E6D9-8AFC-4774-985B-911AE3E551FE}"/>
    <cellStyle name="40% - Accent5 2 3 4 2 4" xfId="12195" xr:uid="{D31906F1-B05C-42C4-A6D2-A9C8A5119B86}"/>
    <cellStyle name="40% - Accent5 2 3 4 3" xfId="5829" xr:uid="{00000000-0005-0000-0000-000077060000}"/>
    <cellStyle name="40% - Accent5 2 3 4 3 2" xfId="22701" xr:uid="{379E1528-598D-4B6A-92F8-E39221EDF083}"/>
    <cellStyle name="40% - Accent5 2 3 4 3 3" xfId="14267" xr:uid="{936A75CB-6056-4FDE-B784-6361AA0211ED}"/>
    <cellStyle name="40% - Accent5 2 3 4 4" xfId="18484" xr:uid="{B32C837B-F2C2-4480-8EB6-DBB650B3A7A5}"/>
    <cellStyle name="40% - Accent5 2 3 4 5" xfId="10050" xr:uid="{64512DF5-B857-43D7-BBBC-698536B14A8C}"/>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25259" xr:uid="{F1191FBE-5B8A-45D5-AFCE-4EAFBFF175E7}"/>
    <cellStyle name="40% - Accent5 2 3 5 2 2 3" xfId="16825" xr:uid="{708DF919-55C8-436E-B43C-9714E743AB79}"/>
    <cellStyle name="40% - Accent5 2 3 5 2 3" xfId="21042" xr:uid="{0843C9E6-7CF5-47DA-83F9-A4D11B516B7D}"/>
    <cellStyle name="40% - Accent5 2 3 5 2 4" xfId="12608" xr:uid="{A26CFC73-0127-4D07-AAFF-9819C61DFF48}"/>
    <cellStyle name="40% - Accent5 2 3 5 3" xfId="6242" xr:uid="{00000000-0005-0000-0000-00007B060000}"/>
    <cellStyle name="40% - Accent5 2 3 5 3 2" xfId="23114" xr:uid="{A9460AE8-C2D5-4B62-BDEE-26F6E24EC8AE}"/>
    <cellStyle name="40% - Accent5 2 3 5 3 3" xfId="14680" xr:uid="{EB1565BF-4C7A-46BC-AF08-56F2E84A5283}"/>
    <cellStyle name="40% - Accent5 2 3 5 4" xfId="18897" xr:uid="{6D531A6B-8699-4305-B8C5-C13E8DD87DBF}"/>
    <cellStyle name="40% - Accent5 2 3 5 5" xfId="10463" xr:uid="{40F171E7-B54C-48ED-BDB0-D6821D48BC6F}"/>
    <cellStyle name="40% - Accent5 2 3 6" xfId="2348" xr:uid="{00000000-0005-0000-0000-00007C060000}"/>
    <cellStyle name="40% - Accent5 2 3 6 2" xfId="6655" xr:uid="{00000000-0005-0000-0000-00007D060000}"/>
    <cellStyle name="40% - Accent5 2 3 6 2 2" xfId="23527" xr:uid="{FF8B4A3F-F06B-4644-B7CB-CBCC3981C796}"/>
    <cellStyle name="40% - Accent5 2 3 6 2 3" xfId="15093" xr:uid="{3ED6209B-FF2D-4F54-95B3-695B2CB307EA}"/>
    <cellStyle name="40% - Accent5 2 3 6 3" xfId="19310" xr:uid="{98A88F05-0301-491A-8D23-5FD68DD0D127}"/>
    <cellStyle name="40% - Accent5 2 3 6 4" xfId="10876" xr:uid="{47B733F2-C491-41FF-9BEC-114774765E4B}"/>
    <cellStyle name="40% - Accent5 2 3 7" xfId="4589" xr:uid="{00000000-0005-0000-0000-00007E060000}"/>
    <cellStyle name="40% - Accent5 2 3 7 2" xfId="21461" xr:uid="{8128FD08-5ADB-405C-B527-8D28A45134AB}"/>
    <cellStyle name="40% - Accent5 2 3 7 3" xfId="13027" xr:uid="{B93BD782-0B80-4C2E-87D0-4927B66D0C95}"/>
    <cellStyle name="40% - Accent5 2 3 8" xfId="17244" xr:uid="{210264F9-A3F1-4872-96EA-F21CA66A4650}"/>
    <cellStyle name="40% - Accent5 2 3 9" xfId="8810" xr:uid="{BF5088AD-4EF5-46E1-B587-5A6AC5C87CDC}"/>
    <cellStyle name="40% - Accent5 2 4" xfId="651" xr:uid="{00000000-0005-0000-0000-00007F060000}"/>
    <cellStyle name="40% - Accent5 2 4 2" xfId="2922" xr:uid="{00000000-0005-0000-0000-000080060000}"/>
    <cellStyle name="40% - Accent5 2 4 2 2" xfId="7145" xr:uid="{00000000-0005-0000-0000-000081060000}"/>
    <cellStyle name="40% - Accent5 2 4 2 2 2" xfId="24017" xr:uid="{57731D5C-EDFA-42DB-AC54-0305CD6A98EB}"/>
    <cellStyle name="40% - Accent5 2 4 2 2 3" xfId="15583" xr:uid="{52874890-0E21-4144-8DAE-8E071C1C51D5}"/>
    <cellStyle name="40% - Accent5 2 4 2 3" xfId="19800" xr:uid="{AA0A99D4-FA7E-411E-8D4C-66E9A0CE7B9F}"/>
    <cellStyle name="40% - Accent5 2 4 2 4" xfId="11366" xr:uid="{F59FB3FF-A241-4822-83EE-72D9D6FE3710}"/>
    <cellStyle name="40% - Accent5 2 4 3" xfId="5000" xr:uid="{00000000-0005-0000-0000-000082060000}"/>
    <cellStyle name="40% - Accent5 2 4 3 2" xfId="21872" xr:uid="{FD7D6CAA-C160-43F0-BE89-7A6A08A947AF}"/>
    <cellStyle name="40% - Accent5 2 4 3 3" xfId="13438" xr:uid="{EA339C89-5AA8-47BA-8F28-E6570DF322E1}"/>
    <cellStyle name="40% - Accent5 2 4 4" xfId="17655" xr:uid="{B8936D04-FAC9-453D-96FE-6648158F388D}"/>
    <cellStyle name="40% - Accent5 2 4 5" xfId="9221" xr:uid="{1981940B-9A55-4AAC-9D1F-35A3915BE188}"/>
    <cellStyle name="40% - Accent5 2 5" xfId="1104" xr:uid="{00000000-0005-0000-0000-000083060000}"/>
    <cellStyle name="40% - Accent5 2 5 2" xfId="3335" xr:uid="{00000000-0005-0000-0000-000084060000}"/>
    <cellStyle name="40% - Accent5 2 5 2 2" xfId="7558" xr:uid="{00000000-0005-0000-0000-000085060000}"/>
    <cellStyle name="40% - Accent5 2 5 2 2 2" xfId="24430" xr:uid="{11278AE2-FF78-4B5D-8402-76F6A45B953E}"/>
    <cellStyle name="40% - Accent5 2 5 2 2 3" xfId="15996" xr:uid="{D91D6BCF-F4C3-47DB-B63B-5E65DFBBEF90}"/>
    <cellStyle name="40% - Accent5 2 5 2 3" xfId="20213" xr:uid="{2AEE0442-F606-43D1-B789-AB5CDD1E8C55}"/>
    <cellStyle name="40% - Accent5 2 5 2 4" xfId="11779" xr:uid="{72C04744-5BC7-4F8F-8DB1-C3A9959C2A13}"/>
    <cellStyle name="40% - Accent5 2 5 3" xfId="5413" xr:uid="{00000000-0005-0000-0000-000086060000}"/>
    <cellStyle name="40% - Accent5 2 5 3 2" xfId="22285" xr:uid="{9969B668-CCBF-4C27-9FC8-1B7F5CB662DD}"/>
    <cellStyle name="40% - Accent5 2 5 3 3" xfId="13851" xr:uid="{0DA8A697-E995-4CD6-B9E4-98946E6F0FC2}"/>
    <cellStyle name="40% - Accent5 2 5 4" xfId="18068" xr:uid="{3F29C688-9D5F-499E-9503-B140746E4C41}"/>
    <cellStyle name="40% - Accent5 2 5 5" xfId="9634" xr:uid="{C12D411F-2ED1-47E8-BBC9-6D3AB55DCB13}"/>
    <cellStyle name="40% - Accent5 2 6" xfId="1518" xr:uid="{00000000-0005-0000-0000-000087060000}"/>
    <cellStyle name="40% - Accent5 2 6 2" xfId="3748" xr:uid="{00000000-0005-0000-0000-000088060000}"/>
    <cellStyle name="40% - Accent5 2 6 2 2" xfId="7971" xr:uid="{00000000-0005-0000-0000-000089060000}"/>
    <cellStyle name="40% - Accent5 2 6 2 2 2" xfId="24843" xr:uid="{C7D65138-B13A-4679-B3FA-8186713499F2}"/>
    <cellStyle name="40% - Accent5 2 6 2 2 3" xfId="16409" xr:uid="{1D928D49-E2C0-4974-B49F-E86F5891A6B7}"/>
    <cellStyle name="40% - Accent5 2 6 2 3" xfId="20626" xr:uid="{301AD7FD-B337-475B-9A6A-7CA8545E1C4F}"/>
    <cellStyle name="40% - Accent5 2 6 2 4" xfId="12192" xr:uid="{07B75264-3E53-4D64-9E57-142B127E12ED}"/>
    <cellStyle name="40% - Accent5 2 6 3" xfId="5826" xr:uid="{00000000-0005-0000-0000-00008A060000}"/>
    <cellStyle name="40% - Accent5 2 6 3 2" xfId="22698" xr:uid="{C65470DB-5F65-4FD1-98D5-76AD3B01F64D}"/>
    <cellStyle name="40% - Accent5 2 6 3 3" xfId="14264" xr:uid="{FB70A184-5F86-40A5-A299-10DC3F17945A}"/>
    <cellStyle name="40% - Accent5 2 6 4" xfId="18481" xr:uid="{5762FB98-4090-4EB7-BBDD-15B35B9FD224}"/>
    <cellStyle name="40% - Accent5 2 6 5" xfId="10047" xr:uid="{A0D7ED42-7B3B-4CC9-9608-1C498DAF1CD0}"/>
    <cellStyle name="40% - Accent5 2 7" xfId="1932" xr:uid="{00000000-0005-0000-0000-00008B060000}"/>
    <cellStyle name="40% - Accent5 2 7 2" xfId="4161" xr:uid="{00000000-0005-0000-0000-00008C060000}"/>
    <cellStyle name="40% - Accent5 2 7 2 2" xfId="8384" xr:uid="{00000000-0005-0000-0000-00008D060000}"/>
    <cellStyle name="40% - Accent5 2 7 2 2 2" xfId="25256" xr:uid="{B24CE4D6-45F6-459A-A109-1CA2805AC3B3}"/>
    <cellStyle name="40% - Accent5 2 7 2 2 3" xfId="16822" xr:uid="{9356AEFB-7A65-4C39-B7F7-474E05EB7EA7}"/>
    <cellStyle name="40% - Accent5 2 7 2 3" xfId="21039" xr:uid="{88205252-BCE0-4C06-8481-D3C55D0DA0F9}"/>
    <cellStyle name="40% - Accent5 2 7 2 4" xfId="12605" xr:uid="{BDE7F625-BE34-4B9C-9C2B-EAD4775EB913}"/>
    <cellStyle name="40% - Accent5 2 7 3" xfId="6239" xr:uid="{00000000-0005-0000-0000-00008E060000}"/>
    <cellStyle name="40% - Accent5 2 7 3 2" xfId="23111" xr:uid="{1FF67B09-B893-48E3-9A71-1A5BA1A1753D}"/>
    <cellStyle name="40% - Accent5 2 7 3 3" xfId="14677" xr:uid="{759160E7-3899-4BE2-AD50-673B20CBB068}"/>
    <cellStyle name="40% - Accent5 2 7 4" xfId="18894" xr:uid="{47981EDE-48AD-44EA-8FD9-2196F76B2EF3}"/>
    <cellStyle name="40% - Accent5 2 7 5" xfId="10460" xr:uid="{2F7C8D6E-2BB7-4A85-A6B6-2D5B5D0D3B50}"/>
    <cellStyle name="40% - Accent5 2 8" xfId="2345" xr:uid="{00000000-0005-0000-0000-00008F060000}"/>
    <cellStyle name="40% - Accent5 2 8 2" xfId="6652" xr:uid="{00000000-0005-0000-0000-000090060000}"/>
    <cellStyle name="40% - Accent5 2 8 2 2" xfId="23524" xr:uid="{CD9B5A9A-8665-4826-8AEE-7341CC630516}"/>
    <cellStyle name="40% - Accent5 2 8 2 3" xfId="15090" xr:uid="{A6720B58-B1CE-4487-8035-D6779D60EB33}"/>
    <cellStyle name="40% - Accent5 2 8 3" xfId="19307" xr:uid="{A197A818-5CC7-4BCE-99EC-C08E40E4AC95}"/>
    <cellStyle name="40% - Accent5 2 8 4" xfId="10873" xr:uid="{AE572573-3A09-4455-9C7F-685A9E030DC5}"/>
    <cellStyle name="40% - Accent5 2 9" xfId="4586" xr:uid="{00000000-0005-0000-0000-000091060000}"/>
    <cellStyle name="40% - Accent5 2 9 2" xfId="21458" xr:uid="{777E04CB-005B-4E8F-AEE6-59A6C5C86501}"/>
    <cellStyle name="40% - Accent5 2 9 3" xfId="13024" xr:uid="{FFA6AFA2-AD9A-4B20-87C2-E56086DE06A7}"/>
    <cellStyle name="40% - Accent5 3" xfId="86" xr:uid="{00000000-0005-0000-0000-000092060000}"/>
    <cellStyle name="40% - Accent5 3 10" xfId="8811" xr:uid="{46D79CCD-36BE-4165-854A-3143FA513228}"/>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24022" xr:uid="{31B0EB74-81C2-4CE5-9FEB-922C8FA98874}"/>
    <cellStyle name="40% - Accent5 3 2 2 2 2 3" xfId="15588" xr:uid="{75A88456-C896-4602-8905-60C0D052D5BF}"/>
    <cellStyle name="40% - Accent5 3 2 2 2 3" xfId="19805" xr:uid="{090F0CCB-B032-48A1-9905-A1FD120AFBC8}"/>
    <cellStyle name="40% - Accent5 3 2 2 2 4" xfId="11371" xr:uid="{5DC7037B-CF88-4EE0-B3F8-48F1CA05D25E}"/>
    <cellStyle name="40% - Accent5 3 2 2 3" xfId="5005" xr:uid="{00000000-0005-0000-0000-000097060000}"/>
    <cellStyle name="40% - Accent5 3 2 2 3 2" xfId="21877" xr:uid="{A3A17214-00AE-4E3D-88C5-C0DBC93BA4B1}"/>
    <cellStyle name="40% - Accent5 3 2 2 3 3" xfId="13443" xr:uid="{02F6BB40-244A-4B4A-954F-2728EBB9EB83}"/>
    <cellStyle name="40% - Accent5 3 2 2 4" xfId="17660" xr:uid="{E2A24D01-42B6-4BFE-99AB-76C5D39D7589}"/>
    <cellStyle name="40% - Accent5 3 2 2 5" xfId="9226" xr:uid="{FD42633D-F1E7-4A3E-A98A-49528C34F8D9}"/>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24435" xr:uid="{2BF7E23B-CA11-491F-9E87-D9F36AEA8835}"/>
    <cellStyle name="40% - Accent5 3 2 3 2 2 3" xfId="16001" xr:uid="{4CB190C2-9D17-4D56-B719-B1C703B94923}"/>
    <cellStyle name="40% - Accent5 3 2 3 2 3" xfId="20218" xr:uid="{283F30A1-AA8A-41F9-AAFF-8425087DAA18}"/>
    <cellStyle name="40% - Accent5 3 2 3 2 4" xfId="11784" xr:uid="{A5CCA155-5E02-43F3-A274-65E18D952726}"/>
    <cellStyle name="40% - Accent5 3 2 3 3" xfId="5418" xr:uid="{00000000-0005-0000-0000-00009B060000}"/>
    <cellStyle name="40% - Accent5 3 2 3 3 2" xfId="22290" xr:uid="{21F17D64-690B-4815-A819-DDFE27882DA9}"/>
    <cellStyle name="40% - Accent5 3 2 3 3 3" xfId="13856" xr:uid="{85021714-9FF3-4D3D-85D6-128C841A259F}"/>
    <cellStyle name="40% - Accent5 3 2 3 4" xfId="18073" xr:uid="{5A71E67B-415B-43C0-944E-43FEA2BAC151}"/>
    <cellStyle name="40% - Accent5 3 2 3 5" xfId="9639" xr:uid="{E8A34158-80D8-4136-9C30-B3EC021DF8EE}"/>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24848" xr:uid="{497C0FB8-BC99-4228-AF86-5F8FFB296E6A}"/>
    <cellStyle name="40% - Accent5 3 2 4 2 2 3" xfId="16414" xr:uid="{E4C10916-C13E-4585-83B4-8CE23071E514}"/>
    <cellStyle name="40% - Accent5 3 2 4 2 3" xfId="20631" xr:uid="{7A8C2A59-2648-4C4A-8A9B-370E31F4D13F}"/>
    <cellStyle name="40% - Accent5 3 2 4 2 4" xfId="12197" xr:uid="{0508501A-9994-4CA4-89C0-0D185B4C4B8D}"/>
    <cellStyle name="40% - Accent5 3 2 4 3" xfId="5831" xr:uid="{00000000-0005-0000-0000-00009F060000}"/>
    <cellStyle name="40% - Accent5 3 2 4 3 2" xfId="22703" xr:uid="{7A812638-32A2-40A1-AB48-9CECAA47C78A}"/>
    <cellStyle name="40% - Accent5 3 2 4 3 3" xfId="14269" xr:uid="{0B0D936A-7B81-4B3A-A121-CEB8BCC22F31}"/>
    <cellStyle name="40% - Accent5 3 2 4 4" xfId="18486" xr:uid="{066F229D-0AA0-4294-A95C-04350DC0134E}"/>
    <cellStyle name="40% - Accent5 3 2 4 5" xfId="10052" xr:uid="{E091447A-B151-4489-A3F1-313AF26A3528}"/>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25261" xr:uid="{65B79B44-27E6-479C-8D4E-6A79C96A197E}"/>
    <cellStyle name="40% - Accent5 3 2 5 2 2 3" xfId="16827" xr:uid="{25688EA9-D082-4500-869E-0FC01091D75B}"/>
    <cellStyle name="40% - Accent5 3 2 5 2 3" xfId="21044" xr:uid="{61EF0004-F32A-46AD-875B-9747DA0A0F59}"/>
    <cellStyle name="40% - Accent5 3 2 5 2 4" xfId="12610" xr:uid="{62CB2EA7-99A2-455A-9AB0-C1456ED3BF51}"/>
    <cellStyle name="40% - Accent5 3 2 5 3" xfId="6244" xr:uid="{00000000-0005-0000-0000-0000A3060000}"/>
    <cellStyle name="40% - Accent5 3 2 5 3 2" xfId="23116" xr:uid="{98AEB042-85BB-4793-8ADE-47A317AFF983}"/>
    <cellStyle name="40% - Accent5 3 2 5 3 3" xfId="14682" xr:uid="{8A9003AB-A09A-4E4D-9DB5-0A478104F7D0}"/>
    <cellStyle name="40% - Accent5 3 2 5 4" xfId="18899" xr:uid="{CA38F8D9-8751-47D7-82E3-2B2EF312A0B0}"/>
    <cellStyle name="40% - Accent5 3 2 5 5" xfId="10465" xr:uid="{66D3E71E-3EC6-4B7A-920D-55872C03505E}"/>
    <cellStyle name="40% - Accent5 3 2 6" xfId="2350" xr:uid="{00000000-0005-0000-0000-0000A4060000}"/>
    <cellStyle name="40% - Accent5 3 2 6 2" xfId="6657" xr:uid="{00000000-0005-0000-0000-0000A5060000}"/>
    <cellStyle name="40% - Accent5 3 2 6 2 2" xfId="23529" xr:uid="{B7E2F8D2-9A19-4C60-8966-20EEC739D65E}"/>
    <cellStyle name="40% - Accent5 3 2 6 2 3" xfId="15095" xr:uid="{B990610E-F263-46C6-8BE7-6A4F35ABC4E4}"/>
    <cellStyle name="40% - Accent5 3 2 6 3" xfId="19312" xr:uid="{8AF96B06-036E-45AD-B865-E4F1B23E95BB}"/>
    <cellStyle name="40% - Accent5 3 2 6 4" xfId="10878" xr:uid="{72A6EEB7-4D22-48A7-845D-7B2F74FE3BA7}"/>
    <cellStyle name="40% - Accent5 3 2 7" xfId="4591" xr:uid="{00000000-0005-0000-0000-0000A6060000}"/>
    <cellStyle name="40% - Accent5 3 2 7 2" xfId="21463" xr:uid="{932EECEC-50E0-47B4-BD71-47D9B8A55A28}"/>
    <cellStyle name="40% - Accent5 3 2 7 3" xfId="13029" xr:uid="{389E26AE-197B-4C46-9E23-C4563497C679}"/>
    <cellStyle name="40% - Accent5 3 2 8" xfId="17246" xr:uid="{995DADB6-AF78-49EB-92BC-8FE8273EF354}"/>
    <cellStyle name="40% - Accent5 3 2 9" xfId="8812" xr:uid="{3E3FD9C1-0F70-4A69-8D6A-6DDCE05F5D23}"/>
    <cellStyle name="40% - Accent5 3 3" xfId="655" xr:uid="{00000000-0005-0000-0000-0000A7060000}"/>
    <cellStyle name="40% - Accent5 3 3 2" xfId="2926" xr:uid="{00000000-0005-0000-0000-0000A8060000}"/>
    <cellStyle name="40% - Accent5 3 3 2 2" xfId="7149" xr:uid="{00000000-0005-0000-0000-0000A9060000}"/>
    <cellStyle name="40% - Accent5 3 3 2 2 2" xfId="24021" xr:uid="{0BCFB0AD-CB6C-4E3A-988D-E8790A374278}"/>
    <cellStyle name="40% - Accent5 3 3 2 2 3" xfId="15587" xr:uid="{BA9ADF5C-9E5D-4537-8405-DB848D9810DD}"/>
    <cellStyle name="40% - Accent5 3 3 2 3" xfId="19804" xr:uid="{3CE6ECA1-400A-4412-A786-AF84F9A06B5A}"/>
    <cellStyle name="40% - Accent5 3 3 2 4" xfId="11370" xr:uid="{546D53EE-1DCB-46A9-B035-D4D7A8B45C89}"/>
    <cellStyle name="40% - Accent5 3 3 3" xfId="5004" xr:uid="{00000000-0005-0000-0000-0000AA060000}"/>
    <cellStyle name="40% - Accent5 3 3 3 2" xfId="21876" xr:uid="{185CED42-A66D-42FD-B93C-20454155EC21}"/>
    <cellStyle name="40% - Accent5 3 3 3 3" xfId="13442" xr:uid="{8132A13F-46B4-4ED5-901D-D7F098B3066C}"/>
    <cellStyle name="40% - Accent5 3 3 4" xfId="17659" xr:uid="{42270C38-EAE0-4454-9809-CD2C431F529E}"/>
    <cellStyle name="40% - Accent5 3 3 5" xfId="9225" xr:uid="{1040C01F-E63A-4637-AD02-319D483CF6D5}"/>
    <cellStyle name="40% - Accent5 3 4" xfId="1108" xr:uid="{00000000-0005-0000-0000-0000AB060000}"/>
    <cellStyle name="40% - Accent5 3 4 2" xfId="3339" xr:uid="{00000000-0005-0000-0000-0000AC060000}"/>
    <cellStyle name="40% - Accent5 3 4 2 2" xfId="7562" xr:uid="{00000000-0005-0000-0000-0000AD060000}"/>
    <cellStyle name="40% - Accent5 3 4 2 2 2" xfId="24434" xr:uid="{75202DD1-79E9-41C5-9B97-9FD908127377}"/>
    <cellStyle name="40% - Accent5 3 4 2 2 3" xfId="16000" xr:uid="{F23A03DB-1BC5-4BAE-A127-14755CBF7BA5}"/>
    <cellStyle name="40% - Accent5 3 4 2 3" xfId="20217" xr:uid="{76F3EDAF-5DF4-4B8F-8FA1-3110713D34BC}"/>
    <cellStyle name="40% - Accent5 3 4 2 4" xfId="11783" xr:uid="{8D940C1D-E11D-4A58-8326-46C3E247CEE3}"/>
    <cellStyle name="40% - Accent5 3 4 3" xfId="5417" xr:uid="{00000000-0005-0000-0000-0000AE060000}"/>
    <cellStyle name="40% - Accent5 3 4 3 2" xfId="22289" xr:uid="{81280D62-150E-4C8C-ACE4-2D95817A3112}"/>
    <cellStyle name="40% - Accent5 3 4 3 3" xfId="13855" xr:uid="{D431F43D-4562-400A-8A60-8864FB380620}"/>
    <cellStyle name="40% - Accent5 3 4 4" xfId="18072" xr:uid="{44B344C9-9AA5-43AC-BA31-7725D699120C}"/>
    <cellStyle name="40% - Accent5 3 4 5" xfId="9638" xr:uid="{D151D1F8-B6F4-424F-9E8A-1F54D50C8ACC}"/>
    <cellStyle name="40% - Accent5 3 5" xfId="1522" xr:uid="{00000000-0005-0000-0000-0000AF060000}"/>
    <cellStyle name="40% - Accent5 3 5 2" xfId="3752" xr:uid="{00000000-0005-0000-0000-0000B0060000}"/>
    <cellStyle name="40% - Accent5 3 5 2 2" xfId="7975" xr:uid="{00000000-0005-0000-0000-0000B1060000}"/>
    <cellStyle name="40% - Accent5 3 5 2 2 2" xfId="24847" xr:uid="{76B76318-8A25-4FED-A38B-C45D9B56A357}"/>
    <cellStyle name="40% - Accent5 3 5 2 2 3" xfId="16413" xr:uid="{96D65ADB-B484-464C-80DD-46C799CD744E}"/>
    <cellStyle name="40% - Accent5 3 5 2 3" xfId="20630" xr:uid="{6346D457-4214-4B9B-9009-B4E2A5817054}"/>
    <cellStyle name="40% - Accent5 3 5 2 4" xfId="12196" xr:uid="{65C80280-E4AD-46C0-9603-3BC67059045A}"/>
    <cellStyle name="40% - Accent5 3 5 3" xfId="5830" xr:uid="{00000000-0005-0000-0000-0000B2060000}"/>
    <cellStyle name="40% - Accent5 3 5 3 2" xfId="22702" xr:uid="{AFB43FCF-CCBD-4B1D-8B21-3FCC925D6A2A}"/>
    <cellStyle name="40% - Accent5 3 5 3 3" xfId="14268" xr:uid="{4001A874-2AEB-42D3-B005-070C0538D391}"/>
    <cellStyle name="40% - Accent5 3 5 4" xfId="18485" xr:uid="{D455F3D1-9758-4FF2-B7AB-F214258BFA08}"/>
    <cellStyle name="40% - Accent5 3 5 5" xfId="10051" xr:uid="{BD2E7330-5FAE-47D1-974D-9316C4FD28B8}"/>
    <cellStyle name="40% - Accent5 3 6" xfId="1936" xr:uid="{00000000-0005-0000-0000-0000B3060000}"/>
    <cellStyle name="40% - Accent5 3 6 2" xfId="4165" xr:uid="{00000000-0005-0000-0000-0000B4060000}"/>
    <cellStyle name="40% - Accent5 3 6 2 2" xfId="8388" xr:uid="{00000000-0005-0000-0000-0000B5060000}"/>
    <cellStyle name="40% - Accent5 3 6 2 2 2" xfId="25260" xr:uid="{366FB24F-9B88-4B0F-BD1C-C9DB2AB2A046}"/>
    <cellStyle name="40% - Accent5 3 6 2 2 3" xfId="16826" xr:uid="{8CF1588A-55FC-4374-A69F-15368D2C7208}"/>
    <cellStyle name="40% - Accent5 3 6 2 3" xfId="21043" xr:uid="{99FFAEFD-D24B-4963-B84F-2562ECFB9E02}"/>
    <cellStyle name="40% - Accent5 3 6 2 4" xfId="12609" xr:uid="{ABF0D406-5BD4-46B3-8163-1321F2FA29DF}"/>
    <cellStyle name="40% - Accent5 3 6 3" xfId="6243" xr:uid="{00000000-0005-0000-0000-0000B6060000}"/>
    <cellStyle name="40% - Accent5 3 6 3 2" xfId="23115" xr:uid="{F61053F7-B705-4692-83A7-7BAA8E7E91BA}"/>
    <cellStyle name="40% - Accent5 3 6 3 3" xfId="14681" xr:uid="{4A3AB6FD-A087-4DC8-BC05-E3C839C237B8}"/>
    <cellStyle name="40% - Accent5 3 6 4" xfId="18898" xr:uid="{34977582-887D-4FD8-9E0D-3C2F0A7EDA0D}"/>
    <cellStyle name="40% - Accent5 3 6 5" xfId="10464" xr:uid="{134AC603-F327-47DF-B423-E7DCAF4E2F87}"/>
    <cellStyle name="40% - Accent5 3 7" xfId="2349" xr:uid="{00000000-0005-0000-0000-0000B7060000}"/>
    <cellStyle name="40% - Accent5 3 7 2" xfId="6656" xr:uid="{00000000-0005-0000-0000-0000B8060000}"/>
    <cellStyle name="40% - Accent5 3 7 2 2" xfId="23528" xr:uid="{A6414729-4839-40F4-9C27-5B44D52F1629}"/>
    <cellStyle name="40% - Accent5 3 7 2 3" xfId="15094" xr:uid="{EFC51632-F9C4-4E57-8F50-02F5F63CC1A7}"/>
    <cellStyle name="40% - Accent5 3 7 3" xfId="19311" xr:uid="{449C50D8-FA39-47D0-9D14-18404B82DC16}"/>
    <cellStyle name="40% - Accent5 3 7 4" xfId="10877" xr:uid="{F1AE9464-B58C-4BE4-B4C5-E3A73FD7DEFD}"/>
    <cellStyle name="40% - Accent5 3 8" xfId="4590" xr:uid="{00000000-0005-0000-0000-0000B9060000}"/>
    <cellStyle name="40% - Accent5 3 8 2" xfId="21462" xr:uid="{D2A6953B-1A7B-4531-BC2E-2ABDA2AB14C5}"/>
    <cellStyle name="40% - Accent5 3 8 3" xfId="13028" xr:uid="{C7040353-79B4-40A7-B0D9-D2BED8FBB29F}"/>
    <cellStyle name="40% - Accent5 3 9" xfId="17245" xr:uid="{FDB34A5C-7C28-49D5-A997-3C2F707030A6}"/>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24023" xr:uid="{7FD34186-F36F-401D-B9DA-AA37AFB620DC}"/>
    <cellStyle name="40% - Accent5 4 2 2 2 3" xfId="15589" xr:uid="{5078BE15-BC44-4129-85B4-DB9B47EBC87A}"/>
    <cellStyle name="40% - Accent5 4 2 2 3" xfId="19806" xr:uid="{A52FD8C9-A888-47B5-851B-F68223D00AC5}"/>
    <cellStyle name="40% - Accent5 4 2 2 4" xfId="11372" xr:uid="{9A44734A-384F-41D1-9168-5BA1141EF56D}"/>
    <cellStyle name="40% - Accent5 4 2 3" xfId="5006" xr:uid="{00000000-0005-0000-0000-0000BE060000}"/>
    <cellStyle name="40% - Accent5 4 2 3 2" xfId="21878" xr:uid="{CB0DD78C-B6AF-437C-AFCE-25B06EFF4882}"/>
    <cellStyle name="40% - Accent5 4 2 3 3" xfId="13444" xr:uid="{EA95BDBC-3B3F-4C7C-9B3B-48C45F215C1B}"/>
    <cellStyle name="40% - Accent5 4 2 4" xfId="17661" xr:uid="{756AAC99-4FA5-472D-8152-7981AD4F2BE0}"/>
    <cellStyle name="40% - Accent5 4 2 5" xfId="9227" xr:uid="{97C72B02-7AB5-428B-8420-E6EBC06057D6}"/>
    <cellStyle name="40% - Accent5 4 3" xfId="1110" xr:uid="{00000000-0005-0000-0000-0000BF060000}"/>
    <cellStyle name="40% - Accent5 4 3 2" xfId="3341" xr:uid="{00000000-0005-0000-0000-0000C0060000}"/>
    <cellStyle name="40% - Accent5 4 3 2 2" xfId="7564" xr:uid="{00000000-0005-0000-0000-0000C1060000}"/>
    <cellStyle name="40% - Accent5 4 3 2 2 2" xfId="24436" xr:uid="{6E97D637-B12E-4515-AE27-F87C84526BFD}"/>
    <cellStyle name="40% - Accent5 4 3 2 2 3" xfId="16002" xr:uid="{238B8E89-B186-4201-8859-0EFADBB77EEC}"/>
    <cellStyle name="40% - Accent5 4 3 2 3" xfId="20219" xr:uid="{2E034764-A1C4-4EDF-8A56-27DE2EC99719}"/>
    <cellStyle name="40% - Accent5 4 3 2 4" xfId="11785" xr:uid="{D2DA4B63-EA93-4057-93B2-10C9170C8519}"/>
    <cellStyle name="40% - Accent5 4 3 3" xfId="5419" xr:uid="{00000000-0005-0000-0000-0000C2060000}"/>
    <cellStyle name="40% - Accent5 4 3 3 2" xfId="22291" xr:uid="{60F7C383-5C43-4830-9783-7269F80A688A}"/>
    <cellStyle name="40% - Accent5 4 3 3 3" xfId="13857" xr:uid="{2F870128-5DA8-4730-97AD-4CF627947CD8}"/>
    <cellStyle name="40% - Accent5 4 3 4" xfId="18074" xr:uid="{8E32419F-187E-4DFA-9328-26BBF3ADE0A5}"/>
    <cellStyle name="40% - Accent5 4 3 5" xfId="9640" xr:uid="{98FC1E49-11D6-4420-82CE-36C0B9C1C239}"/>
    <cellStyle name="40% - Accent5 4 4" xfId="1524" xr:uid="{00000000-0005-0000-0000-0000C3060000}"/>
    <cellStyle name="40% - Accent5 4 4 2" xfId="3754" xr:uid="{00000000-0005-0000-0000-0000C4060000}"/>
    <cellStyle name="40% - Accent5 4 4 2 2" xfId="7977" xr:uid="{00000000-0005-0000-0000-0000C5060000}"/>
    <cellStyle name="40% - Accent5 4 4 2 2 2" xfId="24849" xr:uid="{7387C78E-BFB4-4E53-8253-B89B61C975C9}"/>
    <cellStyle name="40% - Accent5 4 4 2 2 3" xfId="16415" xr:uid="{8398CFFF-9429-4B4F-9EDF-551E6652A220}"/>
    <cellStyle name="40% - Accent5 4 4 2 3" xfId="20632" xr:uid="{E1CD3EBC-4BE3-4A65-A92D-2D8AA5BBE9C0}"/>
    <cellStyle name="40% - Accent5 4 4 2 4" xfId="12198" xr:uid="{FD1BD7BF-4863-4D18-A2E5-7DAF97CCDC17}"/>
    <cellStyle name="40% - Accent5 4 4 3" xfId="5832" xr:uid="{00000000-0005-0000-0000-0000C6060000}"/>
    <cellStyle name="40% - Accent5 4 4 3 2" xfId="22704" xr:uid="{6D5347E2-930B-4192-A868-615174490D36}"/>
    <cellStyle name="40% - Accent5 4 4 3 3" xfId="14270" xr:uid="{360B417B-6F12-4055-AFD4-EF605AB75F8C}"/>
    <cellStyle name="40% - Accent5 4 4 4" xfId="18487" xr:uid="{B53A4D26-CB07-49A3-ABDC-ED84F2184905}"/>
    <cellStyle name="40% - Accent5 4 4 5" xfId="10053" xr:uid="{1B8E47A4-D06C-4362-AA30-0E95CB119C47}"/>
    <cellStyle name="40% - Accent5 4 5" xfId="1938" xr:uid="{00000000-0005-0000-0000-0000C7060000}"/>
    <cellStyle name="40% - Accent5 4 5 2" xfId="4167" xr:uid="{00000000-0005-0000-0000-0000C8060000}"/>
    <cellStyle name="40% - Accent5 4 5 2 2" xfId="8390" xr:uid="{00000000-0005-0000-0000-0000C9060000}"/>
    <cellStyle name="40% - Accent5 4 5 2 2 2" xfId="25262" xr:uid="{DE7365A4-96EE-4F0F-9660-C6855FDA9AD1}"/>
    <cellStyle name="40% - Accent5 4 5 2 2 3" xfId="16828" xr:uid="{1904E0D6-737A-4A1E-8A96-4C9812FE42A1}"/>
    <cellStyle name="40% - Accent5 4 5 2 3" xfId="21045" xr:uid="{AA2D6FF0-1042-4136-9AB6-849027D5B162}"/>
    <cellStyle name="40% - Accent5 4 5 2 4" xfId="12611" xr:uid="{5AC643A9-4186-428A-959D-ED76D07B9AA2}"/>
    <cellStyle name="40% - Accent5 4 5 3" xfId="6245" xr:uid="{00000000-0005-0000-0000-0000CA060000}"/>
    <cellStyle name="40% - Accent5 4 5 3 2" xfId="23117" xr:uid="{985DF4AD-9362-498B-9934-684681275851}"/>
    <cellStyle name="40% - Accent5 4 5 3 3" xfId="14683" xr:uid="{66995A74-B2D5-48D1-AD72-F9F2E3F5F739}"/>
    <cellStyle name="40% - Accent5 4 5 4" xfId="18900" xr:uid="{8A55BD5B-195C-4B51-82AF-5351B5C780FA}"/>
    <cellStyle name="40% - Accent5 4 5 5" xfId="10466" xr:uid="{262AADE7-6210-4AF5-94DF-FD03B809B976}"/>
    <cellStyle name="40% - Accent5 4 6" xfId="2351" xr:uid="{00000000-0005-0000-0000-0000CB060000}"/>
    <cellStyle name="40% - Accent5 4 6 2" xfId="6658" xr:uid="{00000000-0005-0000-0000-0000CC060000}"/>
    <cellStyle name="40% - Accent5 4 6 2 2" xfId="23530" xr:uid="{E6DDA721-AEC8-41A2-B2FD-39F5295A7075}"/>
    <cellStyle name="40% - Accent5 4 6 2 3" xfId="15096" xr:uid="{202C97C5-6EB3-4D4C-8DE1-E96BAE06C3EE}"/>
    <cellStyle name="40% - Accent5 4 6 3" xfId="19313" xr:uid="{73C11503-A241-4AC7-934C-5260C6E2E8F9}"/>
    <cellStyle name="40% - Accent5 4 6 4" xfId="10879" xr:uid="{091569AE-90B2-4B23-86BA-A25877C13B24}"/>
    <cellStyle name="40% - Accent5 4 7" xfId="4592" xr:uid="{00000000-0005-0000-0000-0000CD060000}"/>
    <cellStyle name="40% - Accent5 4 7 2" xfId="21464" xr:uid="{13212896-BBE2-4600-9BBE-B04E11400BAF}"/>
    <cellStyle name="40% - Accent5 4 7 3" xfId="13030" xr:uid="{CC06D681-7B38-45AF-A489-B7FF75998EC2}"/>
    <cellStyle name="40% - Accent5 4 8" xfId="17247" xr:uid="{E5D8DD17-9A14-4DDF-9EA1-FF6FA934C6FE}"/>
    <cellStyle name="40% - Accent5 4 9" xfId="8813" xr:uid="{9D56003C-0CAA-455F-B968-09D8BD211950}"/>
    <cellStyle name="40% - Accent5 5" xfId="650" xr:uid="{00000000-0005-0000-0000-0000CE060000}"/>
    <cellStyle name="40% - Accent5 5 2" xfId="2921" xr:uid="{00000000-0005-0000-0000-0000CF060000}"/>
    <cellStyle name="40% - Accent5 5 2 2" xfId="7144" xr:uid="{00000000-0005-0000-0000-0000D0060000}"/>
    <cellStyle name="40% - Accent5 5 2 2 2" xfId="24016" xr:uid="{18488D64-1280-43A4-A1CC-0E3082D561E5}"/>
    <cellStyle name="40% - Accent5 5 2 2 3" xfId="15582" xr:uid="{D8E52AF0-5479-4BB8-AABA-C11E643CC628}"/>
    <cellStyle name="40% - Accent5 5 2 3" xfId="19799" xr:uid="{A050FA59-F1E7-416C-ADB2-53D084549565}"/>
    <cellStyle name="40% - Accent5 5 2 4" xfId="11365" xr:uid="{82B3EF5D-3EE9-4C19-8ADF-B65F95E4F903}"/>
    <cellStyle name="40% - Accent5 5 3" xfId="4999" xr:uid="{00000000-0005-0000-0000-0000D1060000}"/>
    <cellStyle name="40% - Accent5 5 3 2" xfId="21871" xr:uid="{63F51F87-F370-48B5-BA6F-47957787A4D6}"/>
    <cellStyle name="40% - Accent5 5 3 3" xfId="13437" xr:uid="{2F8D2D38-7646-4275-84F8-398F498876E6}"/>
    <cellStyle name="40% - Accent5 5 4" xfId="17654" xr:uid="{5E8B5090-0018-426B-9671-2103EC8B4CC1}"/>
    <cellStyle name="40% - Accent5 5 5" xfId="9220" xr:uid="{7EBF9A07-7CF4-421F-A55C-C1D7F5F6FF04}"/>
    <cellStyle name="40% - Accent5 6" xfId="1103" xr:uid="{00000000-0005-0000-0000-0000D2060000}"/>
    <cellStyle name="40% - Accent5 6 2" xfId="3334" xr:uid="{00000000-0005-0000-0000-0000D3060000}"/>
    <cellStyle name="40% - Accent5 6 2 2" xfId="7557" xr:uid="{00000000-0005-0000-0000-0000D4060000}"/>
    <cellStyle name="40% - Accent5 6 2 2 2" xfId="24429" xr:uid="{B9872053-B6A3-468C-AB7A-372D87EEF489}"/>
    <cellStyle name="40% - Accent5 6 2 2 3" xfId="15995" xr:uid="{AF921D16-37E2-40BD-A63A-94DBA0D165BC}"/>
    <cellStyle name="40% - Accent5 6 2 3" xfId="20212" xr:uid="{5F5B89F0-AEB7-4CE1-8D2C-0582EB392694}"/>
    <cellStyle name="40% - Accent5 6 2 4" xfId="11778" xr:uid="{0588727B-F227-40DC-849A-AF2E3F2087F9}"/>
    <cellStyle name="40% - Accent5 6 3" xfId="5412" xr:uid="{00000000-0005-0000-0000-0000D5060000}"/>
    <cellStyle name="40% - Accent5 6 3 2" xfId="22284" xr:uid="{848373D3-EB9A-4935-B3A6-CF72D3D88D06}"/>
    <cellStyle name="40% - Accent5 6 3 3" xfId="13850" xr:uid="{6A854E0C-0BA2-42B4-9ADE-BE9D9F8C879B}"/>
    <cellStyle name="40% - Accent5 6 4" xfId="18067" xr:uid="{3F773EA8-12FF-4419-A6B5-4BDD94C44D75}"/>
    <cellStyle name="40% - Accent5 6 5" xfId="9633" xr:uid="{DE8BB0E3-187B-417F-8798-F19FFD49AF33}"/>
    <cellStyle name="40% - Accent5 7" xfId="1517" xr:uid="{00000000-0005-0000-0000-0000D6060000}"/>
    <cellStyle name="40% - Accent5 7 2" xfId="3747" xr:uid="{00000000-0005-0000-0000-0000D7060000}"/>
    <cellStyle name="40% - Accent5 7 2 2" xfId="7970" xr:uid="{00000000-0005-0000-0000-0000D8060000}"/>
    <cellStyle name="40% - Accent5 7 2 2 2" xfId="24842" xr:uid="{26115A04-A3A5-4694-AF3D-B6A1D1E4D02F}"/>
    <cellStyle name="40% - Accent5 7 2 2 3" xfId="16408" xr:uid="{8C9EDA49-34B0-4D2D-B9EA-011D79DAA86D}"/>
    <cellStyle name="40% - Accent5 7 2 3" xfId="20625" xr:uid="{7E446580-A22B-4AE9-ABCF-64F4131EDE5C}"/>
    <cellStyle name="40% - Accent5 7 2 4" xfId="12191" xr:uid="{3CC29DD3-6E96-4D4E-A8A6-86BD9DFDD643}"/>
    <cellStyle name="40% - Accent5 7 3" xfId="5825" xr:uid="{00000000-0005-0000-0000-0000D9060000}"/>
    <cellStyle name="40% - Accent5 7 3 2" xfId="22697" xr:uid="{1166064F-A891-4346-82C3-D4F2AD426DCE}"/>
    <cellStyle name="40% - Accent5 7 3 3" xfId="14263" xr:uid="{EEA4630C-AEFD-4839-BC9A-D6EF15CF001A}"/>
    <cellStyle name="40% - Accent5 7 4" xfId="18480" xr:uid="{3D47B07A-6528-41E8-AFDC-C4094D4745C1}"/>
    <cellStyle name="40% - Accent5 7 5" xfId="10046" xr:uid="{86345BD0-0EC6-442D-898B-04A9961B58C1}"/>
    <cellStyle name="40% - Accent5 8" xfId="1931" xr:uid="{00000000-0005-0000-0000-0000DA060000}"/>
    <cellStyle name="40% - Accent5 8 2" xfId="4160" xr:uid="{00000000-0005-0000-0000-0000DB060000}"/>
    <cellStyle name="40% - Accent5 8 2 2" xfId="8383" xr:uid="{00000000-0005-0000-0000-0000DC060000}"/>
    <cellStyle name="40% - Accent5 8 2 2 2" xfId="25255" xr:uid="{D03103C6-0A13-43D0-8709-D69937C56172}"/>
    <cellStyle name="40% - Accent5 8 2 2 3" xfId="16821" xr:uid="{A4D4735D-E485-4FF2-8746-6BAEC4917DA9}"/>
    <cellStyle name="40% - Accent5 8 2 3" xfId="21038" xr:uid="{2015E8EC-E909-49D7-A4A8-C4DC472693A1}"/>
    <cellStyle name="40% - Accent5 8 2 4" xfId="12604" xr:uid="{3289CA0A-E08C-4BCF-A7B1-BF87AAF3930F}"/>
    <cellStyle name="40% - Accent5 8 3" xfId="6238" xr:uid="{00000000-0005-0000-0000-0000DD060000}"/>
    <cellStyle name="40% - Accent5 8 3 2" xfId="23110" xr:uid="{7BBE658C-0837-456F-B386-02B9881E7328}"/>
    <cellStyle name="40% - Accent5 8 3 3" xfId="14676" xr:uid="{52589EDF-BA08-4FE8-AF38-33F1A27A2566}"/>
    <cellStyle name="40% - Accent5 8 4" xfId="18893" xr:uid="{3E8F1D2F-1E1F-41F6-9EC6-9A06B5C3499A}"/>
    <cellStyle name="40% - Accent5 8 5" xfId="10459" xr:uid="{FA672CA6-DF13-44ED-88FD-96EE363EE89B}"/>
    <cellStyle name="40% - Accent5 9" xfId="2344" xr:uid="{00000000-0005-0000-0000-0000DE060000}"/>
    <cellStyle name="40% - Accent5 9 2" xfId="6651" xr:uid="{00000000-0005-0000-0000-0000DF060000}"/>
    <cellStyle name="40% - Accent5 9 2 2" xfId="23523" xr:uid="{1A63086C-97B1-44F5-A2C8-5F270447D0FC}"/>
    <cellStyle name="40% - Accent5 9 2 3" xfId="15089" xr:uid="{1D4C8A30-F3E5-41C6-90D2-2B2401E096B4}"/>
    <cellStyle name="40% - Accent5 9 3" xfId="19306" xr:uid="{015AEF37-E379-46CF-94BD-31B6C7F2FF3B}"/>
    <cellStyle name="40% - Accent5 9 4" xfId="10872" xr:uid="{0DCB992D-B0AF-4E37-8E44-41BD3F5958F5}"/>
    <cellStyle name="40% - Accent6" xfId="89" builtinId="51" customBuiltin="1"/>
    <cellStyle name="40% - Accent6 10" xfId="4593" xr:uid="{00000000-0005-0000-0000-0000E1060000}"/>
    <cellStyle name="40% - Accent6 10 2" xfId="21465" xr:uid="{2683F575-7ECD-4ED8-9A60-E65B9F9EFEAC}"/>
    <cellStyle name="40% - Accent6 10 3" xfId="13031" xr:uid="{21F7FF1D-3FFE-40E4-9104-A93CFA58F9FD}"/>
    <cellStyle name="40% - Accent6 11" xfId="17248" xr:uid="{65E88DFB-26F9-430C-B723-F83ABFF59473}"/>
    <cellStyle name="40% - Accent6 12" xfId="8814" xr:uid="{119625C1-F365-4403-A329-D51439F12E14}"/>
    <cellStyle name="40% - Accent6 2" xfId="90" xr:uid="{00000000-0005-0000-0000-0000E2060000}"/>
    <cellStyle name="40% - Accent6 2 10" xfId="17249" xr:uid="{A4F93529-60D8-4BF8-9665-81869B048139}"/>
    <cellStyle name="40% - Accent6 2 11" xfId="8815" xr:uid="{1A8B67D9-0D01-49E4-B797-7EDDA1F40699}"/>
    <cellStyle name="40% - Accent6 2 2" xfId="91" xr:uid="{00000000-0005-0000-0000-0000E3060000}"/>
    <cellStyle name="40% - Accent6 2 2 10" xfId="8816" xr:uid="{0F26EDF6-24C4-4478-9D07-27BC5FA406AC}"/>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24027" xr:uid="{246858C9-B782-4D82-87A5-4441670963E1}"/>
    <cellStyle name="40% - Accent6 2 2 2 2 2 2 3" xfId="15593" xr:uid="{CB23E575-7B4A-4F5B-8F2A-EDD851FE5073}"/>
    <cellStyle name="40% - Accent6 2 2 2 2 2 3" xfId="19810" xr:uid="{AE1F487E-2B0E-436B-9459-34EDA8C614E7}"/>
    <cellStyle name="40% - Accent6 2 2 2 2 2 4" xfId="11376" xr:uid="{AEEA8AC1-C756-4265-B808-64401279E143}"/>
    <cellStyle name="40% - Accent6 2 2 2 2 3" xfId="5010" xr:uid="{00000000-0005-0000-0000-0000E8060000}"/>
    <cellStyle name="40% - Accent6 2 2 2 2 3 2" xfId="21882" xr:uid="{6651C33D-2C21-43E7-8E7F-EEF1E272C59C}"/>
    <cellStyle name="40% - Accent6 2 2 2 2 3 3" xfId="13448" xr:uid="{37341056-4B27-4D15-9765-57A13E53F9AF}"/>
    <cellStyle name="40% - Accent6 2 2 2 2 4" xfId="17665" xr:uid="{E3EA56DD-C7B1-4708-97A2-EFB17E671CBA}"/>
    <cellStyle name="40% - Accent6 2 2 2 2 5" xfId="9231" xr:uid="{ADA2ACB0-873C-4B41-AC22-5FBDA43EA83A}"/>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24440" xr:uid="{A5099974-982F-46EC-90BC-DB51F8A915F2}"/>
    <cellStyle name="40% - Accent6 2 2 2 3 2 2 3" xfId="16006" xr:uid="{75E73CAA-876D-440A-B16F-9EBDE62D496D}"/>
    <cellStyle name="40% - Accent6 2 2 2 3 2 3" xfId="20223" xr:uid="{E284A6CB-57A1-447A-A102-06ED37F8D3ED}"/>
    <cellStyle name="40% - Accent6 2 2 2 3 2 4" xfId="11789" xr:uid="{DB024B60-DCDB-4552-9D2A-9F51CDBDE87C}"/>
    <cellStyle name="40% - Accent6 2 2 2 3 3" xfId="5423" xr:uid="{00000000-0005-0000-0000-0000EC060000}"/>
    <cellStyle name="40% - Accent6 2 2 2 3 3 2" xfId="22295" xr:uid="{479CF5FE-820B-4086-9E37-4E29BCBA0C3E}"/>
    <cellStyle name="40% - Accent6 2 2 2 3 3 3" xfId="13861" xr:uid="{2626882E-EF6A-46E1-9FCC-77AEEE9B7DEF}"/>
    <cellStyle name="40% - Accent6 2 2 2 3 4" xfId="18078" xr:uid="{5704A89E-C612-4C8B-835F-E08FED85FDB2}"/>
    <cellStyle name="40% - Accent6 2 2 2 3 5" xfId="9644" xr:uid="{70951652-646A-4DE1-BA72-62402E35D475}"/>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24853" xr:uid="{0FB94018-397B-4EC2-8625-1473E1746CD9}"/>
    <cellStyle name="40% - Accent6 2 2 2 4 2 2 3" xfId="16419" xr:uid="{EF625886-CC19-47CA-AF7A-F42003D97830}"/>
    <cellStyle name="40% - Accent6 2 2 2 4 2 3" xfId="20636" xr:uid="{F318E777-C9B4-4588-A738-AA5B408F1DF6}"/>
    <cellStyle name="40% - Accent6 2 2 2 4 2 4" xfId="12202" xr:uid="{96D900D3-F9A6-49E2-AD1D-466C2BC51F35}"/>
    <cellStyle name="40% - Accent6 2 2 2 4 3" xfId="5836" xr:uid="{00000000-0005-0000-0000-0000F0060000}"/>
    <cellStyle name="40% - Accent6 2 2 2 4 3 2" xfId="22708" xr:uid="{D2E684D3-4D65-4A80-9E69-E52B4382031E}"/>
    <cellStyle name="40% - Accent6 2 2 2 4 3 3" xfId="14274" xr:uid="{C9A9536A-52EC-4946-AFF4-2220FC5064BF}"/>
    <cellStyle name="40% - Accent6 2 2 2 4 4" xfId="18491" xr:uid="{A216A502-8152-4AB1-B616-F4A1F230BA5F}"/>
    <cellStyle name="40% - Accent6 2 2 2 4 5" xfId="10057" xr:uid="{2F9C4757-3D22-4FE1-97C1-10B60F40B12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25266" xr:uid="{58234D8D-4561-4D08-8961-414C37F55E5D}"/>
    <cellStyle name="40% - Accent6 2 2 2 5 2 2 3" xfId="16832" xr:uid="{57B94D40-D534-4BC0-BEA6-E1262046A464}"/>
    <cellStyle name="40% - Accent6 2 2 2 5 2 3" xfId="21049" xr:uid="{44658934-CCB2-4B91-8E95-752CB14E3C86}"/>
    <cellStyle name="40% - Accent6 2 2 2 5 2 4" xfId="12615" xr:uid="{6FBC436B-83D0-4D11-AB07-9D98AB463CBA}"/>
    <cellStyle name="40% - Accent6 2 2 2 5 3" xfId="6249" xr:uid="{00000000-0005-0000-0000-0000F4060000}"/>
    <cellStyle name="40% - Accent6 2 2 2 5 3 2" xfId="23121" xr:uid="{64A0E857-233C-4F59-BAB2-4F7ADADA4044}"/>
    <cellStyle name="40% - Accent6 2 2 2 5 3 3" xfId="14687" xr:uid="{51C1D7AF-2F6F-430C-B641-F74E4C83FCBC}"/>
    <cellStyle name="40% - Accent6 2 2 2 5 4" xfId="18904" xr:uid="{D76CA08C-2E30-4B89-A96B-0E73F3470F42}"/>
    <cellStyle name="40% - Accent6 2 2 2 5 5" xfId="10470" xr:uid="{422CDA70-06AB-45CC-B6B7-A1CDA37FE18A}"/>
    <cellStyle name="40% - Accent6 2 2 2 6" xfId="2355" xr:uid="{00000000-0005-0000-0000-0000F5060000}"/>
    <cellStyle name="40% - Accent6 2 2 2 6 2" xfId="6662" xr:uid="{00000000-0005-0000-0000-0000F6060000}"/>
    <cellStyle name="40% - Accent6 2 2 2 6 2 2" xfId="23534" xr:uid="{BD618928-B4AD-45A1-8F0B-BB49372CA982}"/>
    <cellStyle name="40% - Accent6 2 2 2 6 2 3" xfId="15100" xr:uid="{49965E49-F1BB-4433-AFFE-97EB819CBF2C}"/>
    <cellStyle name="40% - Accent6 2 2 2 6 3" xfId="19317" xr:uid="{E1A3F5DD-8AB7-4F88-8C77-59E277194E01}"/>
    <cellStyle name="40% - Accent6 2 2 2 6 4" xfId="10883" xr:uid="{DDD8629A-F9AF-436A-AE91-D2F45598174B}"/>
    <cellStyle name="40% - Accent6 2 2 2 7" xfId="4596" xr:uid="{00000000-0005-0000-0000-0000F7060000}"/>
    <cellStyle name="40% - Accent6 2 2 2 7 2" xfId="21468" xr:uid="{D4E70B59-A8CB-4333-AB7E-34718192363D}"/>
    <cellStyle name="40% - Accent6 2 2 2 7 3" xfId="13034" xr:uid="{90422970-0A31-4CFD-9857-A29990D95B7A}"/>
    <cellStyle name="40% - Accent6 2 2 2 8" xfId="17251" xr:uid="{FA991285-DD5D-4528-A468-A6A496227708}"/>
    <cellStyle name="40% - Accent6 2 2 2 9" xfId="8817" xr:uid="{32D5AE1C-1966-4E43-987F-99BBD33C5874}"/>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24026" xr:uid="{8EA17F5F-AE2F-4219-960A-0736044319AF}"/>
    <cellStyle name="40% - Accent6 2 2 3 2 2 3" xfId="15592" xr:uid="{D84BC084-9105-46D6-B619-7643B57634C0}"/>
    <cellStyle name="40% - Accent6 2 2 3 2 3" xfId="19809" xr:uid="{1EE1F5BD-7474-45A9-8355-496C54972C80}"/>
    <cellStyle name="40% - Accent6 2 2 3 2 4" xfId="11375" xr:uid="{7D2B901B-FB4E-403F-9416-E51A40BE5571}"/>
    <cellStyle name="40% - Accent6 2 2 3 3" xfId="5009" xr:uid="{00000000-0005-0000-0000-0000FB060000}"/>
    <cellStyle name="40% - Accent6 2 2 3 3 2" xfId="21881" xr:uid="{334A51D3-4A4D-4548-B666-C53D2A843289}"/>
    <cellStyle name="40% - Accent6 2 2 3 3 3" xfId="13447" xr:uid="{FED521D7-741B-4D8C-B12C-43C42304EB52}"/>
    <cellStyle name="40% - Accent6 2 2 3 4" xfId="17664" xr:uid="{63B6A477-2145-4810-BA48-5E604B91BC99}"/>
    <cellStyle name="40% - Accent6 2 2 3 5" xfId="9230" xr:uid="{B100B273-7B69-4DD9-BBC1-4325C14AEE6B}"/>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24439" xr:uid="{15E04A59-ABF4-4B21-95E3-9526E4CDD83C}"/>
    <cellStyle name="40% - Accent6 2 2 4 2 2 3" xfId="16005" xr:uid="{FD51C803-F99F-4BB5-AC3C-30903A921B24}"/>
    <cellStyle name="40% - Accent6 2 2 4 2 3" xfId="20222" xr:uid="{DC5FFEE1-59D3-43B1-8552-C55EEF8C289A}"/>
    <cellStyle name="40% - Accent6 2 2 4 2 4" xfId="11788" xr:uid="{CE9147BE-1B2F-4F5F-926F-091BA08963D1}"/>
    <cellStyle name="40% - Accent6 2 2 4 3" xfId="5422" xr:uid="{00000000-0005-0000-0000-0000FF060000}"/>
    <cellStyle name="40% - Accent6 2 2 4 3 2" xfId="22294" xr:uid="{4F2E7299-9EE9-459B-98CA-1BAD72B2C25E}"/>
    <cellStyle name="40% - Accent6 2 2 4 3 3" xfId="13860" xr:uid="{4355525D-2E77-4112-A9DA-F47CCDE4194C}"/>
    <cellStyle name="40% - Accent6 2 2 4 4" xfId="18077" xr:uid="{9F88857F-7067-4F28-B594-8A7A62F0E21D}"/>
    <cellStyle name="40% - Accent6 2 2 4 5" xfId="9643" xr:uid="{07E186E9-A5FE-40F2-BDAE-3C27FECA9928}"/>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24852" xr:uid="{0AD13015-C550-4243-944B-9CEDA6A4CFCC}"/>
    <cellStyle name="40% - Accent6 2 2 5 2 2 3" xfId="16418" xr:uid="{FAE89647-33FD-460F-84CA-3A703FF53BFF}"/>
    <cellStyle name="40% - Accent6 2 2 5 2 3" xfId="20635" xr:uid="{2E5BDC20-808E-4135-8E5D-8F336B4381CF}"/>
    <cellStyle name="40% - Accent6 2 2 5 2 4" xfId="12201" xr:uid="{7A8EA4BA-E38D-4625-898A-09DDD8739FF5}"/>
    <cellStyle name="40% - Accent6 2 2 5 3" xfId="5835" xr:uid="{00000000-0005-0000-0000-000003070000}"/>
    <cellStyle name="40% - Accent6 2 2 5 3 2" xfId="22707" xr:uid="{D0A8989C-CD6F-4543-8377-8CAF05E28C9A}"/>
    <cellStyle name="40% - Accent6 2 2 5 3 3" xfId="14273" xr:uid="{AEDF12CD-97B5-4593-B175-437E5ABCDB6B}"/>
    <cellStyle name="40% - Accent6 2 2 5 4" xfId="18490" xr:uid="{2F0B872B-6DCB-4F92-B004-22D07C4E33DF}"/>
    <cellStyle name="40% - Accent6 2 2 5 5" xfId="10056" xr:uid="{72E81658-BAB2-46D7-93B8-B33AE6D1F612}"/>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25265" xr:uid="{1373A704-F086-4111-8B2F-D6EF704B5B4A}"/>
    <cellStyle name="40% - Accent6 2 2 6 2 2 3" xfId="16831" xr:uid="{27A36EB9-B643-4B28-BC5D-3AEA194820DD}"/>
    <cellStyle name="40% - Accent6 2 2 6 2 3" xfId="21048" xr:uid="{219E218C-0677-4640-B8FC-BDC88AB2BCDD}"/>
    <cellStyle name="40% - Accent6 2 2 6 2 4" xfId="12614" xr:uid="{C95BD91A-B48C-4831-A118-A9C95E1373D6}"/>
    <cellStyle name="40% - Accent6 2 2 6 3" xfId="6248" xr:uid="{00000000-0005-0000-0000-000007070000}"/>
    <cellStyle name="40% - Accent6 2 2 6 3 2" xfId="23120" xr:uid="{C2F21A68-8FDA-4287-9E5C-524FA754E24C}"/>
    <cellStyle name="40% - Accent6 2 2 6 3 3" xfId="14686" xr:uid="{0B587483-ABE8-4E6F-88BD-13A7667CB179}"/>
    <cellStyle name="40% - Accent6 2 2 6 4" xfId="18903" xr:uid="{8722272D-1CC0-4A8D-B56D-91B22D820E30}"/>
    <cellStyle name="40% - Accent6 2 2 6 5" xfId="10469" xr:uid="{C05FC749-CC42-48F2-884B-86704D5EBC62}"/>
    <cellStyle name="40% - Accent6 2 2 7" xfId="2354" xr:uid="{00000000-0005-0000-0000-000008070000}"/>
    <cellStyle name="40% - Accent6 2 2 7 2" xfId="6661" xr:uid="{00000000-0005-0000-0000-000009070000}"/>
    <cellStyle name="40% - Accent6 2 2 7 2 2" xfId="23533" xr:uid="{F8FE0439-9BB2-4D20-A57D-22F4DDB5285A}"/>
    <cellStyle name="40% - Accent6 2 2 7 2 3" xfId="15099" xr:uid="{6FE3B195-DBBC-4665-9EA5-75E434DFA6BB}"/>
    <cellStyle name="40% - Accent6 2 2 7 3" xfId="19316" xr:uid="{B1FB72C7-D916-46FD-9813-3907E9945548}"/>
    <cellStyle name="40% - Accent6 2 2 7 4" xfId="10882" xr:uid="{0E8B8F00-57BE-4901-93D6-08252CD06E49}"/>
    <cellStyle name="40% - Accent6 2 2 8" xfId="4595" xr:uid="{00000000-0005-0000-0000-00000A070000}"/>
    <cellStyle name="40% - Accent6 2 2 8 2" xfId="21467" xr:uid="{C5D81C79-B0CA-4705-A5AB-FCD3890AC15E}"/>
    <cellStyle name="40% - Accent6 2 2 8 3" xfId="13033" xr:uid="{6EC9F10F-CC3C-4481-AC99-101E6AF7246F}"/>
    <cellStyle name="40% - Accent6 2 2 9" xfId="17250" xr:uid="{891909DB-10FE-4993-B66C-EF25DBD0ADA9}"/>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24028" xr:uid="{F5EA032C-AFBB-4C45-B7BD-DB7B3F0ADC95}"/>
    <cellStyle name="40% - Accent6 2 3 2 2 2 3" xfId="15594" xr:uid="{C9959795-1C18-4454-8F71-1F88A86E3D4A}"/>
    <cellStyle name="40% - Accent6 2 3 2 2 3" xfId="19811" xr:uid="{C0D4FF77-03B2-4DDE-A93C-B236A2825877}"/>
    <cellStyle name="40% - Accent6 2 3 2 2 4" xfId="11377" xr:uid="{11D513B9-8E09-43AA-A344-3AD2DA57F813}"/>
    <cellStyle name="40% - Accent6 2 3 2 3" xfId="5011" xr:uid="{00000000-0005-0000-0000-00000F070000}"/>
    <cellStyle name="40% - Accent6 2 3 2 3 2" xfId="21883" xr:uid="{D3DB68BC-334C-4B9C-8860-CF0A8FABC99C}"/>
    <cellStyle name="40% - Accent6 2 3 2 3 3" xfId="13449" xr:uid="{E630E901-BEF8-42D9-B691-59A5A933D082}"/>
    <cellStyle name="40% - Accent6 2 3 2 4" xfId="17666" xr:uid="{BAB803F5-1E12-49C5-ABF8-5682AA873035}"/>
    <cellStyle name="40% - Accent6 2 3 2 5" xfId="9232" xr:uid="{5A1050E6-45C9-44B2-91FE-700C5F14C11D}"/>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24441" xr:uid="{4B97B161-6441-44DD-8382-63725C1D46A6}"/>
    <cellStyle name="40% - Accent6 2 3 3 2 2 3" xfId="16007" xr:uid="{6D518146-F068-470B-A2FD-04F562B93083}"/>
    <cellStyle name="40% - Accent6 2 3 3 2 3" xfId="20224" xr:uid="{B0D92669-0D15-43CD-823D-6895A5990FD1}"/>
    <cellStyle name="40% - Accent6 2 3 3 2 4" xfId="11790" xr:uid="{DBC84A34-F8F7-41E0-A5DB-CCD9B47E396F}"/>
    <cellStyle name="40% - Accent6 2 3 3 3" xfId="5424" xr:uid="{00000000-0005-0000-0000-000013070000}"/>
    <cellStyle name="40% - Accent6 2 3 3 3 2" xfId="22296" xr:uid="{AB90D43E-756F-4A69-8C2C-8AF42FDB3675}"/>
    <cellStyle name="40% - Accent6 2 3 3 3 3" xfId="13862" xr:uid="{32B55C63-9C40-4FA7-950F-6F9C02936C96}"/>
    <cellStyle name="40% - Accent6 2 3 3 4" xfId="18079" xr:uid="{04E9EE57-85FA-42F4-871A-2F5814517F93}"/>
    <cellStyle name="40% - Accent6 2 3 3 5" xfId="9645" xr:uid="{41A8A51D-8FF8-438E-9469-894ADD7B4411}"/>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24854" xr:uid="{4C4838AE-91DB-4D67-A4F5-13D30D3AF523}"/>
    <cellStyle name="40% - Accent6 2 3 4 2 2 3" xfId="16420" xr:uid="{FD960650-06E0-4532-AA87-A6EDAF8D6886}"/>
    <cellStyle name="40% - Accent6 2 3 4 2 3" xfId="20637" xr:uid="{234B600F-D35B-4007-A9B3-EC3A68D056B9}"/>
    <cellStyle name="40% - Accent6 2 3 4 2 4" xfId="12203" xr:uid="{16516F56-7B73-46B5-8645-3C3E04C2C910}"/>
    <cellStyle name="40% - Accent6 2 3 4 3" xfId="5837" xr:uid="{00000000-0005-0000-0000-000017070000}"/>
    <cellStyle name="40% - Accent6 2 3 4 3 2" xfId="22709" xr:uid="{25E4C0FD-23AC-4481-80A1-FF944D7D715E}"/>
    <cellStyle name="40% - Accent6 2 3 4 3 3" xfId="14275" xr:uid="{9AF086B5-E10E-4A0A-95BA-3F4E77703420}"/>
    <cellStyle name="40% - Accent6 2 3 4 4" xfId="18492" xr:uid="{3468F982-F4A3-4492-BA11-CFDF03A7C738}"/>
    <cellStyle name="40% - Accent6 2 3 4 5" xfId="10058" xr:uid="{9AE13F1D-CC7E-4F37-A256-69DBD909D037}"/>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25267" xr:uid="{9766E9BD-9C26-4B73-AD7D-8341C4F6D591}"/>
    <cellStyle name="40% - Accent6 2 3 5 2 2 3" xfId="16833" xr:uid="{359A281A-7F67-44A6-8738-371ED6BA0AF9}"/>
    <cellStyle name="40% - Accent6 2 3 5 2 3" xfId="21050" xr:uid="{98865B28-F6D9-42DD-A1FC-9347DCB2331B}"/>
    <cellStyle name="40% - Accent6 2 3 5 2 4" xfId="12616" xr:uid="{F38855F7-6C06-4F2F-9FEA-412433BDB684}"/>
    <cellStyle name="40% - Accent6 2 3 5 3" xfId="6250" xr:uid="{00000000-0005-0000-0000-00001B070000}"/>
    <cellStyle name="40% - Accent6 2 3 5 3 2" xfId="23122" xr:uid="{6DD71C78-F273-4DAF-B8FA-6364B333B607}"/>
    <cellStyle name="40% - Accent6 2 3 5 3 3" xfId="14688" xr:uid="{C59F9937-E57A-4FD9-B43B-DA8275F720F8}"/>
    <cellStyle name="40% - Accent6 2 3 5 4" xfId="18905" xr:uid="{0840111F-FA51-4CB1-8642-C4932D889287}"/>
    <cellStyle name="40% - Accent6 2 3 5 5" xfId="10471" xr:uid="{2709A405-2033-4DFB-8F0B-AD87DD2AC4D8}"/>
    <cellStyle name="40% - Accent6 2 3 6" xfId="2356" xr:uid="{00000000-0005-0000-0000-00001C070000}"/>
    <cellStyle name="40% - Accent6 2 3 6 2" xfId="6663" xr:uid="{00000000-0005-0000-0000-00001D070000}"/>
    <cellStyle name="40% - Accent6 2 3 6 2 2" xfId="23535" xr:uid="{1B6602E8-115F-4143-916A-07CE7A782D1E}"/>
    <cellStyle name="40% - Accent6 2 3 6 2 3" xfId="15101" xr:uid="{71F4B9FF-877C-4106-976A-AEAA7911D450}"/>
    <cellStyle name="40% - Accent6 2 3 6 3" xfId="19318" xr:uid="{979FA4AF-6CB9-4750-AC3B-11933F4A6D17}"/>
    <cellStyle name="40% - Accent6 2 3 6 4" xfId="10884" xr:uid="{EE922D5F-22AB-436B-934E-73D93552B9B1}"/>
    <cellStyle name="40% - Accent6 2 3 7" xfId="4597" xr:uid="{00000000-0005-0000-0000-00001E070000}"/>
    <cellStyle name="40% - Accent6 2 3 7 2" xfId="21469" xr:uid="{D37878B5-1D1E-4C1E-9908-6FDD7A5848DE}"/>
    <cellStyle name="40% - Accent6 2 3 7 3" xfId="13035" xr:uid="{4DE5EFE2-2291-4438-8B3B-0DEB69186220}"/>
    <cellStyle name="40% - Accent6 2 3 8" xfId="17252" xr:uid="{FB7A7A6A-91DA-4C0E-9B2D-06AB12A6D1D5}"/>
    <cellStyle name="40% - Accent6 2 3 9" xfId="8818" xr:uid="{17E90BBC-A223-4F07-B1C5-FB11874A1563}"/>
    <cellStyle name="40% - Accent6 2 4" xfId="659" xr:uid="{00000000-0005-0000-0000-00001F070000}"/>
    <cellStyle name="40% - Accent6 2 4 2" xfId="2930" xr:uid="{00000000-0005-0000-0000-000020070000}"/>
    <cellStyle name="40% - Accent6 2 4 2 2" xfId="7153" xr:uid="{00000000-0005-0000-0000-000021070000}"/>
    <cellStyle name="40% - Accent6 2 4 2 2 2" xfId="24025" xr:uid="{76013148-6780-40E6-835C-F8BF61CFCA17}"/>
    <cellStyle name="40% - Accent6 2 4 2 2 3" xfId="15591" xr:uid="{03CA64C7-0497-40E1-9E32-EDEA89E7B761}"/>
    <cellStyle name="40% - Accent6 2 4 2 3" xfId="19808" xr:uid="{1FB6F8BA-1225-401D-902A-A8CFB60CB1CB}"/>
    <cellStyle name="40% - Accent6 2 4 2 4" xfId="11374" xr:uid="{E54AF9D6-EBAE-4D9A-9A35-935FFAD7F2E4}"/>
    <cellStyle name="40% - Accent6 2 4 3" xfId="5008" xr:uid="{00000000-0005-0000-0000-000022070000}"/>
    <cellStyle name="40% - Accent6 2 4 3 2" xfId="21880" xr:uid="{F6E32CFC-0302-4BE0-8A5D-CF0647CB3A79}"/>
    <cellStyle name="40% - Accent6 2 4 3 3" xfId="13446" xr:uid="{5EF9A9BC-B5CB-4ABA-97E3-C7870D9F8BB6}"/>
    <cellStyle name="40% - Accent6 2 4 4" xfId="17663" xr:uid="{FCB9D2C1-AC0E-431A-BE41-3F84AE42D41A}"/>
    <cellStyle name="40% - Accent6 2 4 5" xfId="9229" xr:uid="{7D0E04AE-E542-44C5-A459-3B92721F823C}"/>
    <cellStyle name="40% - Accent6 2 5" xfId="1112" xr:uid="{00000000-0005-0000-0000-000023070000}"/>
    <cellStyle name="40% - Accent6 2 5 2" xfId="3343" xr:uid="{00000000-0005-0000-0000-000024070000}"/>
    <cellStyle name="40% - Accent6 2 5 2 2" xfId="7566" xr:uid="{00000000-0005-0000-0000-000025070000}"/>
    <cellStyle name="40% - Accent6 2 5 2 2 2" xfId="24438" xr:uid="{93268A6E-3B2D-462A-80B4-3987506B16ED}"/>
    <cellStyle name="40% - Accent6 2 5 2 2 3" xfId="16004" xr:uid="{42E3704C-2ECB-44B2-AF97-83A3E65B1232}"/>
    <cellStyle name="40% - Accent6 2 5 2 3" xfId="20221" xr:uid="{6F08977D-FCA9-4720-84F8-D6353BEFEFC7}"/>
    <cellStyle name="40% - Accent6 2 5 2 4" xfId="11787" xr:uid="{F454CE1A-FC18-421E-9832-B9F6BBDACF8E}"/>
    <cellStyle name="40% - Accent6 2 5 3" xfId="5421" xr:uid="{00000000-0005-0000-0000-000026070000}"/>
    <cellStyle name="40% - Accent6 2 5 3 2" xfId="22293" xr:uid="{40B6E7F9-BCBD-476F-8781-9DA5F7F07083}"/>
    <cellStyle name="40% - Accent6 2 5 3 3" xfId="13859" xr:uid="{1E2F4685-13FD-4705-961B-765FE8BF96FC}"/>
    <cellStyle name="40% - Accent6 2 5 4" xfId="18076" xr:uid="{1B3FADC4-C8F0-4F42-AA2B-BA1B7A053B59}"/>
    <cellStyle name="40% - Accent6 2 5 5" xfId="9642" xr:uid="{5E1B78C7-E672-4A05-86ED-190A4E5F699C}"/>
    <cellStyle name="40% - Accent6 2 6" xfId="1526" xr:uid="{00000000-0005-0000-0000-000027070000}"/>
    <cellStyle name="40% - Accent6 2 6 2" xfId="3756" xr:uid="{00000000-0005-0000-0000-000028070000}"/>
    <cellStyle name="40% - Accent6 2 6 2 2" xfId="7979" xr:uid="{00000000-0005-0000-0000-000029070000}"/>
    <cellStyle name="40% - Accent6 2 6 2 2 2" xfId="24851" xr:uid="{B9DC447B-6185-46B0-BC42-3C342F368E71}"/>
    <cellStyle name="40% - Accent6 2 6 2 2 3" xfId="16417" xr:uid="{C850D387-099B-43F0-959A-C14D8E87DECE}"/>
    <cellStyle name="40% - Accent6 2 6 2 3" xfId="20634" xr:uid="{16988149-53AE-45B1-89C1-7099D72E9247}"/>
    <cellStyle name="40% - Accent6 2 6 2 4" xfId="12200" xr:uid="{EB9A334C-8AF5-4317-A7C6-16AB22144D8D}"/>
    <cellStyle name="40% - Accent6 2 6 3" xfId="5834" xr:uid="{00000000-0005-0000-0000-00002A070000}"/>
    <cellStyle name="40% - Accent6 2 6 3 2" xfId="22706" xr:uid="{2AE6D8BE-5816-445A-B5D0-006FE9CDEBBC}"/>
    <cellStyle name="40% - Accent6 2 6 3 3" xfId="14272" xr:uid="{4DBF72BD-BB21-4A39-AE70-E697CAF9C482}"/>
    <cellStyle name="40% - Accent6 2 6 4" xfId="18489" xr:uid="{862FEB43-2F89-4E47-BF09-79D227AED3B1}"/>
    <cellStyle name="40% - Accent6 2 6 5" xfId="10055" xr:uid="{BA1075F4-0CBF-439D-B364-2A3B73D9721D}"/>
    <cellStyle name="40% - Accent6 2 7" xfId="1940" xr:uid="{00000000-0005-0000-0000-00002B070000}"/>
    <cellStyle name="40% - Accent6 2 7 2" xfId="4169" xr:uid="{00000000-0005-0000-0000-00002C070000}"/>
    <cellStyle name="40% - Accent6 2 7 2 2" xfId="8392" xr:uid="{00000000-0005-0000-0000-00002D070000}"/>
    <cellStyle name="40% - Accent6 2 7 2 2 2" xfId="25264" xr:uid="{71AFCEB5-4261-4CB0-9751-B5EC29694849}"/>
    <cellStyle name="40% - Accent6 2 7 2 2 3" xfId="16830" xr:uid="{D3CC8621-A7DF-48AD-B4F4-D57A85CE0E50}"/>
    <cellStyle name="40% - Accent6 2 7 2 3" xfId="21047" xr:uid="{05311BE1-03C2-46BD-9F51-606A785C358E}"/>
    <cellStyle name="40% - Accent6 2 7 2 4" xfId="12613" xr:uid="{69383C8C-DE4A-4CFC-892D-2CFDEAFA2A19}"/>
    <cellStyle name="40% - Accent6 2 7 3" xfId="6247" xr:uid="{00000000-0005-0000-0000-00002E070000}"/>
    <cellStyle name="40% - Accent6 2 7 3 2" xfId="23119" xr:uid="{30DB88AB-9F7C-4290-81C3-0181733C89B9}"/>
    <cellStyle name="40% - Accent6 2 7 3 3" xfId="14685" xr:uid="{C7CE425F-D63D-4889-92AC-15EB17EF6FD4}"/>
    <cellStyle name="40% - Accent6 2 7 4" xfId="18902" xr:uid="{173E7389-4BBA-4856-B223-4F8DE1E8B3F6}"/>
    <cellStyle name="40% - Accent6 2 7 5" xfId="10468" xr:uid="{B03D3A44-7C65-41D2-B2E5-B4DAF992E793}"/>
    <cellStyle name="40% - Accent6 2 8" xfId="2353" xr:uid="{00000000-0005-0000-0000-00002F070000}"/>
    <cellStyle name="40% - Accent6 2 8 2" xfId="6660" xr:uid="{00000000-0005-0000-0000-000030070000}"/>
    <cellStyle name="40% - Accent6 2 8 2 2" xfId="23532" xr:uid="{3BB3C76E-07BA-4BFE-89CC-54C4D094DDFB}"/>
    <cellStyle name="40% - Accent6 2 8 2 3" xfId="15098" xr:uid="{62B598B2-342D-4DA9-BA08-F8A221CF68C9}"/>
    <cellStyle name="40% - Accent6 2 8 3" xfId="19315" xr:uid="{86DEC2E7-5F0F-4A01-BB0E-05BCD528B405}"/>
    <cellStyle name="40% - Accent6 2 8 4" xfId="10881" xr:uid="{DD28AE47-2ECA-46FD-B48C-C4BD317AE03F}"/>
    <cellStyle name="40% - Accent6 2 9" xfId="4594" xr:uid="{00000000-0005-0000-0000-000031070000}"/>
    <cellStyle name="40% - Accent6 2 9 2" xfId="21466" xr:uid="{A004FA43-8320-46F5-B93B-BD8DB96AF470}"/>
    <cellStyle name="40% - Accent6 2 9 3" xfId="13032" xr:uid="{A378AFD9-83C7-41A3-88BC-D7544DF5F4D5}"/>
    <cellStyle name="40% - Accent6 3" xfId="94" xr:uid="{00000000-0005-0000-0000-000032070000}"/>
    <cellStyle name="40% - Accent6 3 10" xfId="8819" xr:uid="{D45CED36-5FE9-44EA-9D49-48BC4436D57C}"/>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24030" xr:uid="{71DCF4FE-225C-44D7-B43B-D1D9FAFEF470}"/>
    <cellStyle name="40% - Accent6 3 2 2 2 2 3" xfId="15596" xr:uid="{48B2E773-C2FD-4FF9-90EC-218B56C0F778}"/>
    <cellStyle name="40% - Accent6 3 2 2 2 3" xfId="19813" xr:uid="{73912DF5-E045-419D-AD8B-0081F1285BC4}"/>
    <cellStyle name="40% - Accent6 3 2 2 2 4" xfId="11379" xr:uid="{C0DBA8D5-1B32-4F57-B075-79C6B04CDD30}"/>
    <cellStyle name="40% - Accent6 3 2 2 3" xfId="5013" xr:uid="{00000000-0005-0000-0000-000037070000}"/>
    <cellStyle name="40% - Accent6 3 2 2 3 2" xfId="21885" xr:uid="{32765267-6D21-457E-AE5C-EBADAD4FCB18}"/>
    <cellStyle name="40% - Accent6 3 2 2 3 3" xfId="13451" xr:uid="{D4207476-8CEB-4F18-84A9-81B8F4DDE1E9}"/>
    <cellStyle name="40% - Accent6 3 2 2 4" xfId="17668" xr:uid="{76D3120D-C753-4A42-8064-B3FC0FE0D395}"/>
    <cellStyle name="40% - Accent6 3 2 2 5" xfId="9234" xr:uid="{F5852F34-9716-4CE9-9668-C5C9211A1CB8}"/>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24443" xr:uid="{E4FC2A0D-0ABC-465C-AB8A-5C0B48321B8C}"/>
    <cellStyle name="40% - Accent6 3 2 3 2 2 3" xfId="16009" xr:uid="{46499CF5-81AA-4E35-96CE-AAE1A4B31803}"/>
    <cellStyle name="40% - Accent6 3 2 3 2 3" xfId="20226" xr:uid="{10E7B2D4-552E-43C8-95C1-753A0191B011}"/>
    <cellStyle name="40% - Accent6 3 2 3 2 4" xfId="11792" xr:uid="{68D3A241-1BFF-4323-8668-9B652F3C99A5}"/>
    <cellStyle name="40% - Accent6 3 2 3 3" xfId="5426" xr:uid="{00000000-0005-0000-0000-00003B070000}"/>
    <cellStyle name="40% - Accent6 3 2 3 3 2" xfId="22298" xr:uid="{E08C4B5D-7675-49FC-8186-44DCD601D071}"/>
    <cellStyle name="40% - Accent6 3 2 3 3 3" xfId="13864" xr:uid="{83BAC438-87A5-49CE-9646-B77FDB913CEC}"/>
    <cellStyle name="40% - Accent6 3 2 3 4" xfId="18081" xr:uid="{64752E76-DB44-43F7-8A95-F8B4020B9B84}"/>
    <cellStyle name="40% - Accent6 3 2 3 5" xfId="9647" xr:uid="{92668771-4DED-4EA8-9B37-82F6FA15DC6C}"/>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24856" xr:uid="{6E0DA3AE-7D0B-42E6-89B0-5AF8EBB3F6FD}"/>
    <cellStyle name="40% - Accent6 3 2 4 2 2 3" xfId="16422" xr:uid="{4D37957F-FD18-477B-815A-04ADC43C4C7A}"/>
    <cellStyle name="40% - Accent6 3 2 4 2 3" xfId="20639" xr:uid="{53C1C985-1A6A-4FAB-9FAA-D5D19D04947A}"/>
    <cellStyle name="40% - Accent6 3 2 4 2 4" xfId="12205" xr:uid="{65AE07CF-71B4-4C46-8D3F-771714036AFD}"/>
    <cellStyle name="40% - Accent6 3 2 4 3" xfId="5839" xr:uid="{00000000-0005-0000-0000-00003F070000}"/>
    <cellStyle name="40% - Accent6 3 2 4 3 2" xfId="22711" xr:uid="{779BFBBE-C235-4B18-984C-98FF9691B1ED}"/>
    <cellStyle name="40% - Accent6 3 2 4 3 3" xfId="14277" xr:uid="{FB5DA8C9-F661-4AA4-BAC5-63FBBC6800FE}"/>
    <cellStyle name="40% - Accent6 3 2 4 4" xfId="18494" xr:uid="{E2D353AC-6F2C-4754-967D-ED30AAF4781F}"/>
    <cellStyle name="40% - Accent6 3 2 4 5" xfId="10060" xr:uid="{BB23442C-C08F-49D7-8BD1-A0BEE93E328B}"/>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25269" xr:uid="{748CC9E0-2AAB-4DB1-AB9A-8F34E78A5643}"/>
    <cellStyle name="40% - Accent6 3 2 5 2 2 3" xfId="16835" xr:uid="{828128ED-F86B-4EFD-86FF-2EB333C980D2}"/>
    <cellStyle name="40% - Accent6 3 2 5 2 3" xfId="21052" xr:uid="{0A53FA2A-E25E-4DB1-864C-3BDE7C932407}"/>
    <cellStyle name="40% - Accent6 3 2 5 2 4" xfId="12618" xr:uid="{D43EC13E-CAA2-4792-B26E-9786EB007AF3}"/>
    <cellStyle name="40% - Accent6 3 2 5 3" xfId="6252" xr:uid="{00000000-0005-0000-0000-000043070000}"/>
    <cellStyle name="40% - Accent6 3 2 5 3 2" xfId="23124" xr:uid="{C581BD58-8470-4657-9942-137631D0EDCB}"/>
    <cellStyle name="40% - Accent6 3 2 5 3 3" xfId="14690" xr:uid="{76593ECA-0918-47B1-87A2-9CC18B798278}"/>
    <cellStyle name="40% - Accent6 3 2 5 4" xfId="18907" xr:uid="{07DABC31-1275-4E8F-94F5-3B3353F398C0}"/>
    <cellStyle name="40% - Accent6 3 2 5 5" xfId="10473" xr:uid="{408A9FB7-1313-436E-BB8C-5CAB16C81990}"/>
    <cellStyle name="40% - Accent6 3 2 6" xfId="2358" xr:uid="{00000000-0005-0000-0000-000044070000}"/>
    <cellStyle name="40% - Accent6 3 2 6 2" xfId="6665" xr:uid="{00000000-0005-0000-0000-000045070000}"/>
    <cellStyle name="40% - Accent6 3 2 6 2 2" xfId="23537" xr:uid="{460CA9EA-A8B9-4226-A250-29A6728E4D7B}"/>
    <cellStyle name="40% - Accent6 3 2 6 2 3" xfId="15103" xr:uid="{88EE794E-81AA-4505-ADA0-D16D7DC48126}"/>
    <cellStyle name="40% - Accent6 3 2 6 3" xfId="19320" xr:uid="{1181BEAC-A9AA-47FD-AFD2-4C8E0A3F0801}"/>
    <cellStyle name="40% - Accent6 3 2 6 4" xfId="10886" xr:uid="{74184151-4541-4898-9E8C-91227F0FADA2}"/>
    <cellStyle name="40% - Accent6 3 2 7" xfId="4599" xr:uid="{00000000-0005-0000-0000-000046070000}"/>
    <cellStyle name="40% - Accent6 3 2 7 2" xfId="21471" xr:uid="{BB10C7C7-9E8B-44BD-A4F3-119AD87EB01A}"/>
    <cellStyle name="40% - Accent6 3 2 7 3" xfId="13037" xr:uid="{C58F059B-28A1-449A-A31C-15EE71AED2EE}"/>
    <cellStyle name="40% - Accent6 3 2 8" xfId="17254" xr:uid="{6E28AE53-0947-4E1C-9D57-3D6B2C38383B}"/>
    <cellStyle name="40% - Accent6 3 2 9" xfId="8820" xr:uid="{F6918205-CF94-489F-B4FA-939D7B7EE9A1}"/>
    <cellStyle name="40% - Accent6 3 3" xfId="663" xr:uid="{00000000-0005-0000-0000-000047070000}"/>
    <cellStyle name="40% - Accent6 3 3 2" xfId="2934" xr:uid="{00000000-0005-0000-0000-000048070000}"/>
    <cellStyle name="40% - Accent6 3 3 2 2" xfId="7157" xr:uid="{00000000-0005-0000-0000-000049070000}"/>
    <cellStyle name="40% - Accent6 3 3 2 2 2" xfId="24029" xr:uid="{EC492845-682A-422A-A8A3-1E24AFA07C7A}"/>
    <cellStyle name="40% - Accent6 3 3 2 2 3" xfId="15595" xr:uid="{6E62BC7A-6D47-45C4-8626-0D3E6FA21332}"/>
    <cellStyle name="40% - Accent6 3 3 2 3" xfId="19812" xr:uid="{D2AC1464-E50C-47AB-BA97-457D82CB6CE5}"/>
    <cellStyle name="40% - Accent6 3 3 2 4" xfId="11378" xr:uid="{CFFFD852-A78F-4E72-B04F-9119BB02C9E8}"/>
    <cellStyle name="40% - Accent6 3 3 3" xfId="5012" xr:uid="{00000000-0005-0000-0000-00004A070000}"/>
    <cellStyle name="40% - Accent6 3 3 3 2" xfId="21884" xr:uid="{258C906D-4AA0-4857-B5DE-3C74E9AA19E0}"/>
    <cellStyle name="40% - Accent6 3 3 3 3" xfId="13450" xr:uid="{A9F2D934-B6C7-43D2-9859-6D483A6B02F3}"/>
    <cellStyle name="40% - Accent6 3 3 4" xfId="17667" xr:uid="{B0C5EFCE-550D-4261-922B-D779411A127B}"/>
    <cellStyle name="40% - Accent6 3 3 5" xfId="9233" xr:uid="{46E43757-BE0C-4F44-BAE8-783D130C9D18}"/>
    <cellStyle name="40% - Accent6 3 4" xfId="1116" xr:uid="{00000000-0005-0000-0000-00004B070000}"/>
    <cellStyle name="40% - Accent6 3 4 2" xfId="3347" xr:uid="{00000000-0005-0000-0000-00004C070000}"/>
    <cellStyle name="40% - Accent6 3 4 2 2" xfId="7570" xr:uid="{00000000-0005-0000-0000-00004D070000}"/>
    <cellStyle name="40% - Accent6 3 4 2 2 2" xfId="24442" xr:uid="{7FDA42EF-E72F-4FDC-B879-CC1B3E18D270}"/>
    <cellStyle name="40% - Accent6 3 4 2 2 3" xfId="16008" xr:uid="{9A210345-C624-4DBA-8235-A23BC314745A}"/>
    <cellStyle name="40% - Accent6 3 4 2 3" xfId="20225" xr:uid="{C4BFDBD5-7590-40F3-B5AD-22E2CF20BE2A}"/>
    <cellStyle name="40% - Accent6 3 4 2 4" xfId="11791" xr:uid="{311038DB-AE27-4DCB-A64E-48FA55C39FCC}"/>
    <cellStyle name="40% - Accent6 3 4 3" xfId="5425" xr:uid="{00000000-0005-0000-0000-00004E070000}"/>
    <cellStyle name="40% - Accent6 3 4 3 2" xfId="22297" xr:uid="{DBF14B96-B3A0-4B49-970E-CFA39B319A3E}"/>
    <cellStyle name="40% - Accent6 3 4 3 3" xfId="13863" xr:uid="{FA9C3E31-28FF-4036-B482-5CF92FF37B6A}"/>
    <cellStyle name="40% - Accent6 3 4 4" xfId="18080" xr:uid="{F48303A7-9693-40C9-BC25-3EA8DBEB9C49}"/>
    <cellStyle name="40% - Accent6 3 4 5" xfId="9646" xr:uid="{2A53F691-BEF9-47EA-850F-F94AD4902182}"/>
    <cellStyle name="40% - Accent6 3 5" xfId="1530" xr:uid="{00000000-0005-0000-0000-00004F070000}"/>
    <cellStyle name="40% - Accent6 3 5 2" xfId="3760" xr:uid="{00000000-0005-0000-0000-000050070000}"/>
    <cellStyle name="40% - Accent6 3 5 2 2" xfId="7983" xr:uid="{00000000-0005-0000-0000-000051070000}"/>
    <cellStyle name="40% - Accent6 3 5 2 2 2" xfId="24855" xr:uid="{AD87C875-3C06-4813-B1D7-76FD9AD00229}"/>
    <cellStyle name="40% - Accent6 3 5 2 2 3" xfId="16421" xr:uid="{F53FB29B-D45E-4AF5-9A39-836443C1B416}"/>
    <cellStyle name="40% - Accent6 3 5 2 3" xfId="20638" xr:uid="{689D9C23-3B37-4324-85E7-BB89DA0AEACA}"/>
    <cellStyle name="40% - Accent6 3 5 2 4" xfId="12204" xr:uid="{DC48AC81-1AF1-45A8-8B53-1C126A2AE67A}"/>
    <cellStyle name="40% - Accent6 3 5 3" xfId="5838" xr:uid="{00000000-0005-0000-0000-000052070000}"/>
    <cellStyle name="40% - Accent6 3 5 3 2" xfId="22710" xr:uid="{57128491-243D-4B9E-A47D-62C76C922FC5}"/>
    <cellStyle name="40% - Accent6 3 5 3 3" xfId="14276" xr:uid="{26AF517E-7736-4E45-AF49-72EEC5B1BD9F}"/>
    <cellStyle name="40% - Accent6 3 5 4" xfId="18493" xr:uid="{BF86689D-7DE2-465E-8B0B-3620AB1EE476}"/>
    <cellStyle name="40% - Accent6 3 5 5" xfId="10059" xr:uid="{851D0C80-31C9-4E7C-A586-10061B4C2A5A}"/>
    <cellStyle name="40% - Accent6 3 6" xfId="1944" xr:uid="{00000000-0005-0000-0000-000053070000}"/>
    <cellStyle name="40% - Accent6 3 6 2" xfId="4173" xr:uid="{00000000-0005-0000-0000-000054070000}"/>
    <cellStyle name="40% - Accent6 3 6 2 2" xfId="8396" xr:uid="{00000000-0005-0000-0000-000055070000}"/>
    <cellStyle name="40% - Accent6 3 6 2 2 2" xfId="25268" xr:uid="{199FF378-664E-40C4-BECB-65443744EE3F}"/>
    <cellStyle name="40% - Accent6 3 6 2 2 3" xfId="16834" xr:uid="{E4AFB1E8-AC3A-4827-A59A-FFC63EC98FA8}"/>
    <cellStyle name="40% - Accent6 3 6 2 3" xfId="21051" xr:uid="{BBA29EF6-9953-4489-A9BD-06AE53C0B51D}"/>
    <cellStyle name="40% - Accent6 3 6 2 4" xfId="12617" xr:uid="{1CB3E3EC-6704-4F02-A6A5-4BD6B3E3612F}"/>
    <cellStyle name="40% - Accent6 3 6 3" xfId="6251" xr:uid="{00000000-0005-0000-0000-000056070000}"/>
    <cellStyle name="40% - Accent6 3 6 3 2" xfId="23123" xr:uid="{9993E51B-D484-4464-B43E-C3E0443E93F1}"/>
    <cellStyle name="40% - Accent6 3 6 3 3" xfId="14689" xr:uid="{242E322B-3B03-4FB4-985E-EC976A5FD490}"/>
    <cellStyle name="40% - Accent6 3 6 4" xfId="18906" xr:uid="{41F0AD61-6895-4F63-AACA-F44576737BA6}"/>
    <cellStyle name="40% - Accent6 3 6 5" xfId="10472" xr:uid="{E0973A9C-519F-41CE-B8A6-A480C2EF588E}"/>
    <cellStyle name="40% - Accent6 3 7" xfId="2357" xr:uid="{00000000-0005-0000-0000-000057070000}"/>
    <cellStyle name="40% - Accent6 3 7 2" xfId="6664" xr:uid="{00000000-0005-0000-0000-000058070000}"/>
    <cellStyle name="40% - Accent6 3 7 2 2" xfId="23536" xr:uid="{09042A6B-8EEF-46CA-A22F-7F21D0F39B47}"/>
    <cellStyle name="40% - Accent6 3 7 2 3" xfId="15102" xr:uid="{FE4CE6B6-94C7-4BD6-A330-06819BE50FD9}"/>
    <cellStyle name="40% - Accent6 3 7 3" xfId="19319" xr:uid="{C9902A99-BC78-4140-B99B-1A5AD0489DFE}"/>
    <cellStyle name="40% - Accent6 3 7 4" xfId="10885" xr:uid="{135ADA2D-A8FC-4CC0-A60E-4148778F1F3B}"/>
    <cellStyle name="40% - Accent6 3 8" xfId="4598" xr:uid="{00000000-0005-0000-0000-000059070000}"/>
    <cellStyle name="40% - Accent6 3 8 2" xfId="21470" xr:uid="{0BC2D242-A692-465A-9937-250054829F70}"/>
    <cellStyle name="40% - Accent6 3 8 3" xfId="13036" xr:uid="{985C7C10-E09F-41F4-AE41-C3852AB36AB0}"/>
    <cellStyle name="40% - Accent6 3 9" xfId="17253" xr:uid="{880B9D50-BCB1-468D-998B-D26A15210E85}"/>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24031" xr:uid="{2A7C1ABE-B415-4A27-9BC2-00D48D114D73}"/>
    <cellStyle name="40% - Accent6 4 2 2 2 3" xfId="15597" xr:uid="{8731DD69-CBC3-41DD-8054-BB789C191157}"/>
    <cellStyle name="40% - Accent6 4 2 2 3" xfId="19814" xr:uid="{F388BF74-CBB4-4706-9472-DC4D7733EC2E}"/>
    <cellStyle name="40% - Accent6 4 2 2 4" xfId="11380" xr:uid="{D955F002-EF10-42D9-AAF6-9C0CB0F74523}"/>
    <cellStyle name="40% - Accent6 4 2 3" xfId="5014" xr:uid="{00000000-0005-0000-0000-00005E070000}"/>
    <cellStyle name="40% - Accent6 4 2 3 2" xfId="21886" xr:uid="{748E1873-AD9C-44E4-A0F4-714207397F28}"/>
    <cellStyle name="40% - Accent6 4 2 3 3" xfId="13452" xr:uid="{38A2C6C1-DDF8-4B02-9696-494AD19CD256}"/>
    <cellStyle name="40% - Accent6 4 2 4" xfId="17669" xr:uid="{379D2025-0678-4230-8E4B-B0041513C795}"/>
    <cellStyle name="40% - Accent6 4 2 5" xfId="9235" xr:uid="{8F42C4BA-F919-4768-A60F-104160D6338D}"/>
    <cellStyle name="40% - Accent6 4 3" xfId="1118" xr:uid="{00000000-0005-0000-0000-00005F070000}"/>
    <cellStyle name="40% - Accent6 4 3 2" xfId="3349" xr:uid="{00000000-0005-0000-0000-000060070000}"/>
    <cellStyle name="40% - Accent6 4 3 2 2" xfId="7572" xr:uid="{00000000-0005-0000-0000-000061070000}"/>
    <cellStyle name="40% - Accent6 4 3 2 2 2" xfId="24444" xr:uid="{225E29FF-F225-42AC-A3F1-FDAD57F6CD42}"/>
    <cellStyle name="40% - Accent6 4 3 2 2 3" xfId="16010" xr:uid="{7D66D1C3-894F-48ED-BF2C-BADEC19A98E6}"/>
    <cellStyle name="40% - Accent6 4 3 2 3" xfId="20227" xr:uid="{6686E0F7-D5A9-4EF6-AB4C-D361FDB3DB8B}"/>
    <cellStyle name="40% - Accent6 4 3 2 4" xfId="11793" xr:uid="{3F88807F-517F-470E-B2E0-A49DA4A91A5C}"/>
    <cellStyle name="40% - Accent6 4 3 3" xfId="5427" xr:uid="{00000000-0005-0000-0000-000062070000}"/>
    <cellStyle name="40% - Accent6 4 3 3 2" xfId="22299" xr:uid="{CEE9F567-DBB1-4ECF-AA3A-F80EEF63DB31}"/>
    <cellStyle name="40% - Accent6 4 3 3 3" xfId="13865" xr:uid="{39EE17F2-02DA-45A3-AD9C-FDAE464C2801}"/>
    <cellStyle name="40% - Accent6 4 3 4" xfId="18082" xr:uid="{9D3EAC14-8934-4770-B0A5-BE46A5AFB895}"/>
    <cellStyle name="40% - Accent6 4 3 5" xfId="9648" xr:uid="{4C01CDCE-12D2-4333-8CD2-D26B9097A3B9}"/>
    <cellStyle name="40% - Accent6 4 4" xfId="1532" xr:uid="{00000000-0005-0000-0000-000063070000}"/>
    <cellStyle name="40% - Accent6 4 4 2" xfId="3762" xr:uid="{00000000-0005-0000-0000-000064070000}"/>
    <cellStyle name="40% - Accent6 4 4 2 2" xfId="7985" xr:uid="{00000000-0005-0000-0000-000065070000}"/>
    <cellStyle name="40% - Accent6 4 4 2 2 2" xfId="24857" xr:uid="{CD45E251-5CEE-42A8-AF43-10EB484C2EEF}"/>
    <cellStyle name="40% - Accent6 4 4 2 2 3" xfId="16423" xr:uid="{1C1B0B20-D344-43F7-A398-2C969281933E}"/>
    <cellStyle name="40% - Accent6 4 4 2 3" xfId="20640" xr:uid="{ADF23C9D-BFB1-48DE-BC5B-F628E11E6E1E}"/>
    <cellStyle name="40% - Accent6 4 4 2 4" xfId="12206" xr:uid="{E1512722-F324-4B99-8C5D-FBDF9179DDC4}"/>
    <cellStyle name="40% - Accent6 4 4 3" xfId="5840" xr:uid="{00000000-0005-0000-0000-000066070000}"/>
    <cellStyle name="40% - Accent6 4 4 3 2" xfId="22712" xr:uid="{C668CA07-4B2F-4001-BE96-AEF1BF23017C}"/>
    <cellStyle name="40% - Accent6 4 4 3 3" xfId="14278" xr:uid="{D31EE0D9-1EF9-47E4-B87D-D72464EC835D}"/>
    <cellStyle name="40% - Accent6 4 4 4" xfId="18495" xr:uid="{A8741659-0D9E-473E-A5B3-A59586C2878E}"/>
    <cellStyle name="40% - Accent6 4 4 5" xfId="10061" xr:uid="{B21857C4-B79F-44AC-B491-92022E05C832}"/>
    <cellStyle name="40% - Accent6 4 5" xfId="1946" xr:uid="{00000000-0005-0000-0000-000067070000}"/>
    <cellStyle name="40% - Accent6 4 5 2" xfId="4175" xr:uid="{00000000-0005-0000-0000-000068070000}"/>
    <cellStyle name="40% - Accent6 4 5 2 2" xfId="8398" xr:uid="{00000000-0005-0000-0000-000069070000}"/>
    <cellStyle name="40% - Accent6 4 5 2 2 2" xfId="25270" xr:uid="{3E6C4694-EE9F-4A43-9AAF-57504BDBA497}"/>
    <cellStyle name="40% - Accent6 4 5 2 2 3" xfId="16836" xr:uid="{042D8F5A-E452-489B-8501-96FC99677943}"/>
    <cellStyle name="40% - Accent6 4 5 2 3" xfId="21053" xr:uid="{84A8969B-AE38-4164-8B9E-913787E60AE9}"/>
    <cellStyle name="40% - Accent6 4 5 2 4" xfId="12619" xr:uid="{006DAE5E-56CC-46C0-9367-275082860B05}"/>
    <cellStyle name="40% - Accent6 4 5 3" xfId="6253" xr:uid="{00000000-0005-0000-0000-00006A070000}"/>
    <cellStyle name="40% - Accent6 4 5 3 2" xfId="23125" xr:uid="{07C6A216-47A3-40B6-A825-16F0043B07C9}"/>
    <cellStyle name="40% - Accent6 4 5 3 3" xfId="14691" xr:uid="{FECAF99F-814E-46D9-8D70-C0A845019C28}"/>
    <cellStyle name="40% - Accent6 4 5 4" xfId="18908" xr:uid="{1990F731-974D-464C-8507-C6246A492C5E}"/>
    <cellStyle name="40% - Accent6 4 5 5" xfId="10474" xr:uid="{63CF38FA-0D99-4721-80EE-110893B22A0A}"/>
    <cellStyle name="40% - Accent6 4 6" xfId="2359" xr:uid="{00000000-0005-0000-0000-00006B070000}"/>
    <cellStyle name="40% - Accent6 4 6 2" xfId="6666" xr:uid="{00000000-0005-0000-0000-00006C070000}"/>
    <cellStyle name="40% - Accent6 4 6 2 2" xfId="23538" xr:uid="{4A8176FE-C116-4888-9B0C-A43AB851B4B6}"/>
    <cellStyle name="40% - Accent6 4 6 2 3" xfId="15104" xr:uid="{5439B1BB-6871-4691-B40A-4361F39A5079}"/>
    <cellStyle name="40% - Accent6 4 6 3" xfId="19321" xr:uid="{9FB8BCF8-B1E1-4606-9CD6-578397AEBC64}"/>
    <cellStyle name="40% - Accent6 4 6 4" xfId="10887" xr:uid="{FFF49092-E888-4AD5-99BC-0AB8471D56B9}"/>
    <cellStyle name="40% - Accent6 4 7" xfId="4600" xr:uid="{00000000-0005-0000-0000-00006D070000}"/>
    <cellStyle name="40% - Accent6 4 7 2" xfId="21472" xr:uid="{B899CDE2-0C2E-4E5E-8E8D-C5BF81155E9C}"/>
    <cellStyle name="40% - Accent6 4 7 3" xfId="13038" xr:uid="{F0818D3A-9BA4-4D40-9092-78AE7455837F}"/>
    <cellStyle name="40% - Accent6 4 8" xfId="17255" xr:uid="{90D02E45-B6A5-4CD0-8007-B70DD7B7F13A}"/>
    <cellStyle name="40% - Accent6 4 9" xfId="8821" xr:uid="{46F66B46-A469-4F7E-A19C-431920C00B2B}"/>
    <cellStyle name="40% - Accent6 5" xfId="658" xr:uid="{00000000-0005-0000-0000-00006E070000}"/>
    <cellStyle name="40% - Accent6 5 2" xfId="2929" xr:uid="{00000000-0005-0000-0000-00006F070000}"/>
    <cellStyle name="40% - Accent6 5 2 2" xfId="7152" xr:uid="{00000000-0005-0000-0000-000070070000}"/>
    <cellStyle name="40% - Accent6 5 2 2 2" xfId="24024" xr:uid="{2F375863-1578-41C9-A117-FDF3E47AFBB2}"/>
    <cellStyle name="40% - Accent6 5 2 2 3" xfId="15590" xr:uid="{EDB6C119-C576-4B36-AFE6-5B03136A9FF7}"/>
    <cellStyle name="40% - Accent6 5 2 3" xfId="19807" xr:uid="{5F9EEB3B-BC1D-4A6A-AC0E-E81F3049B048}"/>
    <cellStyle name="40% - Accent6 5 2 4" xfId="11373" xr:uid="{67D931B0-D22A-44D4-AD90-E245C3C63B5E}"/>
    <cellStyle name="40% - Accent6 5 3" xfId="5007" xr:uid="{00000000-0005-0000-0000-000071070000}"/>
    <cellStyle name="40% - Accent6 5 3 2" xfId="21879" xr:uid="{645B7835-C435-4BFF-A10F-861865FD1D61}"/>
    <cellStyle name="40% - Accent6 5 3 3" xfId="13445" xr:uid="{09D51C28-E849-4CE4-83E0-2BF95C60D93E}"/>
    <cellStyle name="40% - Accent6 5 4" xfId="17662" xr:uid="{A2BEE873-09B7-495A-8F8D-93043C16C7D8}"/>
    <cellStyle name="40% - Accent6 5 5" xfId="9228" xr:uid="{5522863C-D9CF-4B4E-8E47-9F86AA738CC6}"/>
    <cellStyle name="40% - Accent6 6" xfId="1111" xr:uid="{00000000-0005-0000-0000-000072070000}"/>
    <cellStyle name="40% - Accent6 6 2" xfId="3342" xr:uid="{00000000-0005-0000-0000-000073070000}"/>
    <cellStyle name="40% - Accent6 6 2 2" xfId="7565" xr:uid="{00000000-0005-0000-0000-000074070000}"/>
    <cellStyle name="40% - Accent6 6 2 2 2" xfId="24437" xr:uid="{95160E36-95C7-48F1-92E8-DAA7DB5160C1}"/>
    <cellStyle name="40% - Accent6 6 2 2 3" xfId="16003" xr:uid="{3A1EC3BD-8D4F-40EF-949B-53E6A1671D7F}"/>
    <cellStyle name="40% - Accent6 6 2 3" xfId="20220" xr:uid="{67BF7739-A47E-4B70-BFD6-E8A1CD0492B1}"/>
    <cellStyle name="40% - Accent6 6 2 4" xfId="11786" xr:uid="{B97D60C0-989B-4C25-85B9-6042E01EAEF9}"/>
    <cellStyle name="40% - Accent6 6 3" xfId="5420" xr:uid="{00000000-0005-0000-0000-000075070000}"/>
    <cellStyle name="40% - Accent6 6 3 2" xfId="22292" xr:uid="{1CB216D1-8A22-49C3-84CE-BCE333E2CC20}"/>
    <cellStyle name="40% - Accent6 6 3 3" xfId="13858" xr:uid="{D2748BFF-D2DA-4429-AA28-70879A112905}"/>
    <cellStyle name="40% - Accent6 6 4" xfId="18075" xr:uid="{6CE0F138-26FE-42D3-9A53-5DC514391A7B}"/>
    <cellStyle name="40% - Accent6 6 5" xfId="9641" xr:uid="{BA59C4F3-BB3A-4F35-8DD0-A60C8D051F3B}"/>
    <cellStyle name="40% - Accent6 7" xfId="1525" xr:uid="{00000000-0005-0000-0000-000076070000}"/>
    <cellStyle name="40% - Accent6 7 2" xfId="3755" xr:uid="{00000000-0005-0000-0000-000077070000}"/>
    <cellStyle name="40% - Accent6 7 2 2" xfId="7978" xr:uid="{00000000-0005-0000-0000-000078070000}"/>
    <cellStyle name="40% - Accent6 7 2 2 2" xfId="24850" xr:uid="{E53CC8FB-7975-46D9-9CC7-6D8CA8FA2175}"/>
    <cellStyle name="40% - Accent6 7 2 2 3" xfId="16416" xr:uid="{656E4C79-E4F0-4217-90B6-3363731EA17D}"/>
    <cellStyle name="40% - Accent6 7 2 3" xfId="20633" xr:uid="{8E89099A-5BE7-4BA0-B058-1262212C0E9A}"/>
    <cellStyle name="40% - Accent6 7 2 4" xfId="12199" xr:uid="{7008CC5E-514C-4F77-B83D-7FA7D5EE3EED}"/>
    <cellStyle name="40% - Accent6 7 3" xfId="5833" xr:uid="{00000000-0005-0000-0000-000079070000}"/>
    <cellStyle name="40% - Accent6 7 3 2" xfId="22705" xr:uid="{AEDD1B99-F116-4BF0-8FD9-F30908AB5520}"/>
    <cellStyle name="40% - Accent6 7 3 3" xfId="14271" xr:uid="{80D6AAE6-A607-45B0-B48E-DF2E2174144A}"/>
    <cellStyle name="40% - Accent6 7 4" xfId="18488" xr:uid="{8A909276-8097-4A71-8DF1-8D32A5A090B5}"/>
    <cellStyle name="40% - Accent6 7 5" xfId="10054" xr:uid="{0783EB48-F210-4E0B-9F65-371890ECCBB6}"/>
    <cellStyle name="40% - Accent6 8" xfId="1939" xr:uid="{00000000-0005-0000-0000-00007A070000}"/>
    <cellStyle name="40% - Accent6 8 2" xfId="4168" xr:uid="{00000000-0005-0000-0000-00007B070000}"/>
    <cellStyle name="40% - Accent6 8 2 2" xfId="8391" xr:uid="{00000000-0005-0000-0000-00007C070000}"/>
    <cellStyle name="40% - Accent6 8 2 2 2" xfId="25263" xr:uid="{EEBD51C5-6487-4711-93E3-BD969E9D5367}"/>
    <cellStyle name="40% - Accent6 8 2 2 3" xfId="16829" xr:uid="{655BA73D-6001-4C2E-AE56-D2806CB7576E}"/>
    <cellStyle name="40% - Accent6 8 2 3" xfId="21046" xr:uid="{9AF9784C-B746-4758-85CC-ED171746A73D}"/>
    <cellStyle name="40% - Accent6 8 2 4" xfId="12612" xr:uid="{859DA620-0ABD-4A81-B542-E0F5C3FCC43D}"/>
    <cellStyle name="40% - Accent6 8 3" xfId="6246" xr:uid="{00000000-0005-0000-0000-00007D070000}"/>
    <cellStyle name="40% - Accent6 8 3 2" xfId="23118" xr:uid="{7E870714-3010-42A7-BACD-E27F9020F008}"/>
    <cellStyle name="40% - Accent6 8 3 3" xfId="14684" xr:uid="{186B3448-00E1-455B-8505-954E3E17141E}"/>
    <cellStyle name="40% - Accent6 8 4" xfId="18901" xr:uid="{5DF558A2-36A1-4C45-B3D7-F362F368C92D}"/>
    <cellStyle name="40% - Accent6 8 5" xfId="10467" xr:uid="{FF7CDFEF-60D9-44BE-BB66-5EB89F6D15E2}"/>
    <cellStyle name="40% - Accent6 9" xfId="2352" xr:uid="{00000000-0005-0000-0000-00007E070000}"/>
    <cellStyle name="40% - Accent6 9 2" xfId="6659" xr:uid="{00000000-0005-0000-0000-00007F070000}"/>
    <cellStyle name="40% - Accent6 9 2 2" xfId="23531" xr:uid="{A2E45E25-0E1A-4473-B4BD-61C58F6451B5}"/>
    <cellStyle name="40% - Accent6 9 2 3" xfId="15097" xr:uid="{1D4FB3BA-764F-4E31-948C-D997616CF169}"/>
    <cellStyle name="40% - Accent6 9 3" xfId="19314" xr:uid="{AB28651A-8D7B-4069-911F-B4D5F793D0CD}"/>
    <cellStyle name="40% - Accent6 9 4" xfId="10880" xr:uid="{D2E442F1-1507-4496-9A8D-1C43F8249B2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23856" xr:uid="{69289F09-12F0-4C2F-BE19-8DDA7C1DCDDC}"/>
    <cellStyle name="Comma 4 2 2 2 10 2 3" xfId="15422" xr:uid="{27E73154-E051-4CAC-B2FB-E172F33B5311}"/>
    <cellStyle name="Comma 4 2 2 2 10 3" xfId="19639" xr:uid="{2C4655E0-1ABE-4005-ACB4-A514571C1A35}"/>
    <cellStyle name="Comma 4 2 2 2 10 4" xfId="11205" xr:uid="{3A582A6C-FFD8-492C-B843-A28648D99D5F}"/>
    <cellStyle name="Comma 4 2 2 2 11" xfId="4601" xr:uid="{00000000-0005-0000-0000-0000A3070000}"/>
    <cellStyle name="Comma 4 2 2 2 11 2" xfId="21473" xr:uid="{A8AE2511-2621-4241-8B2D-E97992049B8C}"/>
    <cellStyle name="Comma 4 2 2 2 11 3" xfId="13039" xr:uid="{F905F27B-92F1-45AF-9DBC-48F540EBE2A9}"/>
    <cellStyle name="Comma 4 2 2 2 12" xfId="17256" xr:uid="{D320474C-00DF-4851-8434-A2C8B6F75DE0}"/>
    <cellStyle name="Comma 4 2 2 2 13" xfId="8822" xr:uid="{A4B4928B-6F0C-465D-B03D-3C5B8ED76FE7}"/>
    <cellStyle name="Comma 4 2 2 2 2" xfId="129" xr:uid="{00000000-0005-0000-0000-0000A4070000}"/>
    <cellStyle name="Comma 4 2 2 2 2 10" xfId="4602" xr:uid="{00000000-0005-0000-0000-0000A5070000}"/>
    <cellStyle name="Comma 4 2 2 2 2 10 2" xfId="21474" xr:uid="{D99F917E-23EE-400A-A491-B4D643BD8D57}"/>
    <cellStyle name="Comma 4 2 2 2 2 10 3" xfId="13040" xr:uid="{67FF1336-4697-40B0-836D-7AAAEBDAFD1A}"/>
    <cellStyle name="Comma 4 2 2 2 2 11" xfId="17257" xr:uid="{96216451-98AD-457D-8956-112DFCE5509B}"/>
    <cellStyle name="Comma 4 2 2 2 2 12" xfId="8823" xr:uid="{D3E5016D-E7E4-414C-9CE8-E51D7BCD6D88}"/>
    <cellStyle name="Comma 4 2 2 2 2 2" xfId="130" xr:uid="{00000000-0005-0000-0000-0000A6070000}"/>
    <cellStyle name="Comma 4 2 2 2 2 2 10" xfId="17258" xr:uid="{94B8BAFF-E6A0-45E5-9FC0-37EC12514CFD}"/>
    <cellStyle name="Comma 4 2 2 2 2 2 11" xfId="8824" xr:uid="{86FFCF67-3073-44D6-A36A-0E1112E19C3B}"/>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24034" xr:uid="{A799CD9F-AAA5-4B3C-A34C-D63A6BB3273A}"/>
    <cellStyle name="Comma 4 2 2 2 2 2 2 2 2 3" xfId="15600" xr:uid="{9B6C4639-690A-4F20-8881-89F0D50FBE8B}"/>
    <cellStyle name="Comma 4 2 2 2 2 2 2 2 3" xfId="19817" xr:uid="{F24E7CB4-518B-4EC0-8F38-1AC422256131}"/>
    <cellStyle name="Comma 4 2 2 2 2 2 2 2 4" xfId="11383" xr:uid="{6437C52C-1DE0-4217-B49A-C4D459BADE47}"/>
    <cellStyle name="Comma 4 2 2 2 2 2 2 3" xfId="5017" xr:uid="{00000000-0005-0000-0000-0000AA070000}"/>
    <cellStyle name="Comma 4 2 2 2 2 2 2 3 2" xfId="21889" xr:uid="{F4252866-B848-439E-B5CA-4A5804CED9C7}"/>
    <cellStyle name="Comma 4 2 2 2 2 2 2 3 3" xfId="13455" xr:uid="{DECF41D6-723C-4E5C-8E83-931C8718198C}"/>
    <cellStyle name="Comma 4 2 2 2 2 2 2 4" xfId="17672" xr:uid="{7BE5C459-DB0F-46CE-8728-411C9B22B87E}"/>
    <cellStyle name="Comma 4 2 2 2 2 2 2 5" xfId="9238" xr:uid="{724D9702-1980-4573-A730-4C6D97C7D9E6}"/>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24447" xr:uid="{0FA7FE27-7C81-4F41-9D82-AD10B488F04B}"/>
    <cellStyle name="Comma 4 2 2 2 2 2 3 2 2 3" xfId="16013" xr:uid="{248D16CE-DE03-4EBD-80F0-2BD184C0E128}"/>
    <cellStyle name="Comma 4 2 2 2 2 2 3 2 3" xfId="20230" xr:uid="{A66AB631-A612-472C-81A0-6352E0B6C035}"/>
    <cellStyle name="Comma 4 2 2 2 2 2 3 2 4" xfId="11796" xr:uid="{C21A01A3-EBB3-4F7C-BBF4-2A76A7910F9B}"/>
    <cellStyle name="Comma 4 2 2 2 2 2 3 3" xfId="5430" xr:uid="{00000000-0005-0000-0000-0000AE070000}"/>
    <cellStyle name="Comma 4 2 2 2 2 2 3 3 2" xfId="22302" xr:uid="{3EF7DC12-1318-4F24-9B69-E75451C8E084}"/>
    <cellStyle name="Comma 4 2 2 2 2 2 3 3 3" xfId="13868" xr:uid="{047EBC25-55E0-4066-A491-C7D8ADEF92C4}"/>
    <cellStyle name="Comma 4 2 2 2 2 2 3 4" xfId="18085" xr:uid="{6105D587-EB71-4132-954A-93E0B7612A8D}"/>
    <cellStyle name="Comma 4 2 2 2 2 2 3 5" xfId="9651" xr:uid="{29B943BC-9CA1-49B6-8396-FCBB0C923EE6}"/>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24860" xr:uid="{93488E66-A2EA-4C53-9305-F0617BB90D4D}"/>
    <cellStyle name="Comma 4 2 2 2 2 2 4 2 2 3" xfId="16426" xr:uid="{1B1783C3-6553-49F0-ADB4-0B13E7A99736}"/>
    <cellStyle name="Comma 4 2 2 2 2 2 4 2 3" xfId="20643" xr:uid="{128A6305-E734-47F3-B97C-7C9F6E34642A}"/>
    <cellStyle name="Comma 4 2 2 2 2 2 4 2 4" xfId="12209" xr:uid="{8F4A44E2-F7A9-4762-AE1A-69791C110550}"/>
    <cellStyle name="Comma 4 2 2 2 2 2 4 3" xfId="5843" xr:uid="{00000000-0005-0000-0000-0000B2070000}"/>
    <cellStyle name="Comma 4 2 2 2 2 2 4 3 2" xfId="22715" xr:uid="{8AA52C07-F5EC-4D87-86DD-D3CEF10ED5BA}"/>
    <cellStyle name="Comma 4 2 2 2 2 2 4 3 3" xfId="14281" xr:uid="{19F33D61-97CF-4A32-B690-98D74EF5815B}"/>
    <cellStyle name="Comma 4 2 2 2 2 2 4 4" xfId="18498" xr:uid="{DA845564-3DF6-486F-B00C-2F0FD836F3AA}"/>
    <cellStyle name="Comma 4 2 2 2 2 2 4 5" xfId="10064" xr:uid="{874940D1-7ED7-4374-BED8-D3C0AAD344E4}"/>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25273" xr:uid="{7C44D5A1-0EBD-4FAE-B9D0-C36CA51EB1D3}"/>
    <cellStyle name="Comma 4 2 2 2 2 2 5 2 2 3" xfId="16839" xr:uid="{7A461C7C-3F1F-489F-A673-E836BBD1DCC5}"/>
    <cellStyle name="Comma 4 2 2 2 2 2 5 2 3" xfId="21056" xr:uid="{F52F0389-A77F-4531-B1E5-1BE7AD90AA41}"/>
    <cellStyle name="Comma 4 2 2 2 2 2 5 2 4" xfId="12622" xr:uid="{DE013577-6003-4C14-A6A1-2BD0CFE85000}"/>
    <cellStyle name="Comma 4 2 2 2 2 2 5 3" xfId="6256" xr:uid="{00000000-0005-0000-0000-0000B6070000}"/>
    <cellStyle name="Comma 4 2 2 2 2 2 5 3 2" xfId="23128" xr:uid="{BB2D0202-B406-4CBC-AE24-4758BB2D4885}"/>
    <cellStyle name="Comma 4 2 2 2 2 2 5 3 3" xfId="14694" xr:uid="{A98398F4-ED0D-450A-B369-79AA77010008}"/>
    <cellStyle name="Comma 4 2 2 2 2 2 5 4" xfId="18911" xr:uid="{7698CEFF-18E0-4959-BCF5-EC33FCF0070A}"/>
    <cellStyle name="Comma 4 2 2 2 2 2 5 5" xfId="10477" xr:uid="{16B28CD9-B438-43CD-937B-0AB7E05CD91C}"/>
    <cellStyle name="Comma 4 2 2 2 2 2 6" xfId="2384" xr:uid="{00000000-0005-0000-0000-0000B7070000}"/>
    <cellStyle name="Comma 4 2 2 2 2 2 6 2" xfId="6669" xr:uid="{00000000-0005-0000-0000-0000B8070000}"/>
    <cellStyle name="Comma 4 2 2 2 2 2 6 2 2" xfId="23541" xr:uid="{5CE9BA16-685C-4ADB-A46F-A8A27E232EE3}"/>
    <cellStyle name="Comma 4 2 2 2 2 2 6 2 3" xfId="15107" xr:uid="{641B50B8-347A-4B69-B7F3-318D0E1DA4A6}"/>
    <cellStyle name="Comma 4 2 2 2 2 2 6 3" xfId="19324" xr:uid="{6AA95790-7443-4577-B546-4D815BDECB9C}"/>
    <cellStyle name="Comma 4 2 2 2 2 2 6 4" xfId="10890" xr:uid="{5364FC29-1CD5-4ED4-8465-9BEADFA62803}"/>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23858" xr:uid="{4DCE063F-79F9-4299-8988-A3250D62EA37}"/>
    <cellStyle name="Comma 4 2 2 2 2 2 8 2 3" xfId="15424" xr:uid="{A889C1C4-70BB-46E3-A828-AD4623474C64}"/>
    <cellStyle name="Comma 4 2 2 2 2 2 8 3" xfId="19641" xr:uid="{7DC4C5A8-EB21-4EF5-9E48-FADC1A81E851}"/>
    <cellStyle name="Comma 4 2 2 2 2 2 8 4" xfId="11207" xr:uid="{5A6DF3D4-D3DF-4D0D-B02D-2D7BBE54BFAE}"/>
    <cellStyle name="Comma 4 2 2 2 2 2 9" xfId="4603" xr:uid="{00000000-0005-0000-0000-0000BC070000}"/>
    <cellStyle name="Comma 4 2 2 2 2 2 9 2" xfId="21475" xr:uid="{2BB12369-7CCB-4190-AB8C-13BB549C26C1}"/>
    <cellStyle name="Comma 4 2 2 2 2 2 9 3" xfId="13041" xr:uid="{54B8DE4B-84D1-4904-AF20-45235954694B}"/>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24033" xr:uid="{972E7B73-B478-404F-81A7-CBE8BEF1ACA0}"/>
    <cellStyle name="Comma 4 2 2 2 2 3 2 2 3" xfId="15599" xr:uid="{A23B572A-4401-4696-A79C-88866709B4EA}"/>
    <cellStyle name="Comma 4 2 2 2 2 3 2 3" xfId="19816" xr:uid="{352BD858-70CA-44B8-A90A-6D43132C3405}"/>
    <cellStyle name="Comma 4 2 2 2 2 3 2 4" xfId="11382" xr:uid="{E2A48439-A826-430F-954F-AEA408FE633F}"/>
    <cellStyle name="Comma 4 2 2 2 2 3 3" xfId="5016" xr:uid="{00000000-0005-0000-0000-0000C0070000}"/>
    <cellStyle name="Comma 4 2 2 2 2 3 3 2" xfId="21888" xr:uid="{D30AE4EA-C92F-41BE-9953-4034BC656696}"/>
    <cellStyle name="Comma 4 2 2 2 2 3 3 3" xfId="13454" xr:uid="{69A4DA67-B1E0-4A60-A21D-118C3F606B72}"/>
    <cellStyle name="Comma 4 2 2 2 2 3 4" xfId="17671" xr:uid="{B97D0BB9-B876-4322-B280-E098D65054B7}"/>
    <cellStyle name="Comma 4 2 2 2 2 3 5" xfId="9237" xr:uid="{5201F1F6-69CE-4B3D-80A4-5B0FC6D60BA7}"/>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24446" xr:uid="{25407430-7F87-490D-8DE1-537AA9F213B6}"/>
    <cellStyle name="Comma 4 2 2 2 2 4 2 2 3" xfId="16012" xr:uid="{0B4543D0-EAE2-45B1-886D-7A30B70AC9E4}"/>
    <cellStyle name="Comma 4 2 2 2 2 4 2 3" xfId="20229" xr:uid="{6EBBCF96-FB8E-4E45-8B69-427729116EA1}"/>
    <cellStyle name="Comma 4 2 2 2 2 4 2 4" xfId="11795" xr:uid="{14B4D209-CCAA-461A-A748-2EE9211D7C12}"/>
    <cellStyle name="Comma 4 2 2 2 2 4 3" xfId="5429" xr:uid="{00000000-0005-0000-0000-0000C4070000}"/>
    <cellStyle name="Comma 4 2 2 2 2 4 3 2" xfId="22301" xr:uid="{F359BB20-C128-4060-A743-4F963514966A}"/>
    <cellStyle name="Comma 4 2 2 2 2 4 3 3" xfId="13867" xr:uid="{9A97C900-8FCE-4C4A-B5B7-8149D7909A01}"/>
    <cellStyle name="Comma 4 2 2 2 2 4 4" xfId="18084" xr:uid="{222AB228-0D72-4557-9AF2-3F498895149C}"/>
    <cellStyle name="Comma 4 2 2 2 2 4 5" xfId="9650" xr:uid="{A6464C08-3C4A-48B5-A3E4-8A5273D09C1B}"/>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24859" xr:uid="{BEFE6C33-EB61-4040-ADA7-FD92CD34F530}"/>
    <cellStyle name="Comma 4 2 2 2 2 5 2 2 3" xfId="16425" xr:uid="{F2EDCDC7-0069-4E84-83D4-2D418E27C5E2}"/>
    <cellStyle name="Comma 4 2 2 2 2 5 2 3" xfId="20642" xr:uid="{B35D5A55-8C1F-4B6E-A29A-B8115D754BEC}"/>
    <cellStyle name="Comma 4 2 2 2 2 5 2 4" xfId="12208" xr:uid="{04AD76F5-CDF2-488B-9AD5-FA32DE77AA58}"/>
    <cellStyle name="Comma 4 2 2 2 2 5 3" xfId="5842" xr:uid="{00000000-0005-0000-0000-0000C8070000}"/>
    <cellStyle name="Comma 4 2 2 2 2 5 3 2" xfId="22714" xr:uid="{DCE19F8F-E3E3-4E36-997E-26F360908A48}"/>
    <cellStyle name="Comma 4 2 2 2 2 5 3 3" xfId="14280" xr:uid="{4AF91B30-0F71-46A6-889E-36BCA8DB8C28}"/>
    <cellStyle name="Comma 4 2 2 2 2 5 4" xfId="18497" xr:uid="{A9533B75-0B87-4349-9208-B437FA0C0A92}"/>
    <cellStyle name="Comma 4 2 2 2 2 5 5" xfId="10063" xr:uid="{3082E158-74A4-4271-BC6F-826AF57F1DD1}"/>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25272" xr:uid="{61EC60DF-F1AD-483D-B65A-80BA17420CE3}"/>
    <cellStyle name="Comma 4 2 2 2 2 6 2 2 3" xfId="16838" xr:uid="{5605F87C-546F-4093-9807-AF4F17BC1732}"/>
    <cellStyle name="Comma 4 2 2 2 2 6 2 3" xfId="21055" xr:uid="{B9033C17-C87F-453B-8303-80023EA3BCCB}"/>
    <cellStyle name="Comma 4 2 2 2 2 6 2 4" xfId="12621" xr:uid="{D615769A-5364-45C4-9D20-96CE4585BCC9}"/>
    <cellStyle name="Comma 4 2 2 2 2 6 3" xfId="6255" xr:uid="{00000000-0005-0000-0000-0000CC070000}"/>
    <cellStyle name="Comma 4 2 2 2 2 6 3 2" xfId="23127" xr:uid="{6272B085-F6DD-42D9-AFD3-ABAA59ECDE9D}"/>
    <cellStyle name="Comma 4 2 2 2 2 6 3 3" xfId="14693" xr:uid="{680E2DD1-9C33-4464-9B39-56B840A5F682}"/>
    <cellStyle name="Comma 4 2 2 2 2 6 4" xfId="18910" xr:uid="{4EA73065-17E8-4193-B359-41A974A27C4D}"/>
    <cellStyle name="Comma 4 2 2 2 2 6 5" xfId="10476" xr:uid="{CE6261CB-666C-4194-B654-0A0EE515DD85}"/>
    <cellStyle name="Comma 4 2 2 2 2 7" xfId="2383" xr:uid="{00000000-0005-0000-0000-0000CD070000}"/>
    <cellStyle name="Comma 4 2 2 2 2 7 2" xfId="6668" xr:uid="{00000000-0005-0000-0000-0000CE070000}"/>
    <cellStyle name="Comma 4 2 2 2 2 7 2 2" xfId="23540" xr:uid="{F96922D3-677E-4D8B-9250-C5AA0AE5A949}"/>
    <cellStyle name="Comma 4 2 2 2 2 7 2 3" xfId="15106" xr:uid="{77B5601A-F7AD-45A6-BA16-24040FBC4E4F}"/>
    <cellStyle name="Comma 4 2 2 2 2 7 3" xfId="19323" xr:uid="{B0ABD9A5-3164-4035-A2D2-D3B3B5381AE8}"/>
    <cellStyle name="Comma 4 2 2 2 2 7 4" xfId="10889" xr:uid="{E4D45B11-7843-40B5-9136-387ABA6A27BF}"/>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23857" xr:uid="{5B2E2B25-44AD-4117-8177-A6C26CC940E8}"/>
    <cellStyle name="Comma 4 2 2 2 2 9 2 3" xfId="15423" xr:uid="{C34FA605-06B0-4088-AFC6-4C30416387CD}"/>
    <cellStyle name="Comma 4 2 2 2 2 9 3" xfId="19640" xr:uid="{C9CD81B0-3F75-4BE9-B4FF-69578FB30E77}"/>
    <cellStyle name="Comma 4 2 2 2 2 9 4" xfId="11206" xr:uid="{609B0A54-E9A7-432C-A93A-25F45BD533AD}"/>
    <cellStyle name="Comma 4 2 2 2 3" xfId="131" xr:uid="{00000000-0005-0000-0000-0000D2070000}"/>
    <cellStyle name="Comma 4 2 2 2 3 10" xfId="17259" xr:uid="{8BE57ADA-031A-4006-B976-048633DF10F6}"/>
    <cellStyle name="Comma 4 2 2 2 3 11" xfId="8825" xr:uid="{229C5613-B52F-4D20-A196-A166D0BD36B9}"/>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24035" xr:uid="{60EC1F09-F25F-4443-A942-1E8F76B67919}"/>
    <cellStyle name="Comma 4 2 2 2 3 2 2 2 3" xfId="15601" xr:uid="{48BD9264-C194-4927-8B84-71FEDEB40341}"/>
    <cellStyle name="Comma 4 2 2 2 3 2 2 3" xfId="19818" xr:uid="{A5B1408F-D344-4346-A7C7-866D8024227D}"/>
    <cellStyle name="Comma 4 2 2 2 3 2 2 4" xfId="11384" xr:uid="{0606FC25-94A1-4007-913F-65857FBBC0F6}"/>
    <cellStyle name="Comma 4 2 2 2 3 2 3" xfId="5018" xr:uid="{00000000-0005-0000-0000-0000D6070000}"/>
    <cellStyle name="Comma 4 2 2 2 3 2 3 2" xfId="21890" xr:uid="{412CA5E4-FB05-4B0F-A8B2-DAC76D75A2A7}"/>
    <cellStyle name="Comma 4 2 2 2 3 2 3 3" xfId="13456" xr:uid="{EE999067-F8E9-48FE-869C-CB1B466A3252}"/>
    <cellStyle name="Comma 4 2 2 2 3 2 4" xfId="17673" xr:uid="{20D5554A-5572-42B6-B929-1B1C0E5B59F8}"/>
    <cellStyle name="Comma 4 2 2 2 3 2 5" xfId="9239" xr:uid="{A45F537F-83E6-451E-AF02-28832A4ED0EC}"/>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24448" xr:uid="{0774B29B-1D8B-4312-94BB-2932D0407F74}"/>
    <cellStyle name="Comma 4 2 2 2 3 3 2 2 3" xfId="16014" xr:uid="{DBCD9595-013C-41A8-A409-478C7E53504C}"/>
    <cellStyle name="Comma 4 2 2 2 3 3 2 3" xfId="20231" xr:uid="{0F89F2BF-89B4-4206-8CA1-9AD632DAC932}"/>
    <cellStyle name="Comma 4 2 2 2 3 3 2 4" xfId="11797" xr:uid="{C530EC80-CBCD-4E6B-B48C-9166E50B3E75}"/>
    <cellStyle name="Comma 4 2 2 2 3 3 3" xfId="5431" xr:uid="{00000000-0005-0000-0000-0000DA070000}"/>
    <cellStyle name="Comma 4 2 2 2 3 3 3 2" xfId="22303" xr:uid="{E209D729-B22F-4B41-8CBC-9773FEAFF2B7}"/>
    <cellStyle name="Comma 4 2 2 2 3 3 3 3" xfId="13869" xr:uid="{A957035F-3DB7-4C5B-9AAC-40B233374871}"/>
    <cellStyle name="Comma 4 2 2 2 3 3 4" xfId="18086" xr:uid="{C0514199-AB24-472B-BB3E-5273DB6CA014}"/>
    <cellStyle name="Comma 4 2 2 2 3 3 5" xfId="9652" xr:uid="{4C63DDB0-DEC3-4669-8E2B-0C573D35FD0F}"/>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24861" xr:uid="{A9F60168-1DB1-4603-ACA1-3E549C1EF4CD}"/>
    <cellStyle name="Comma 4 2 2 2 3 4 2 2 3" xfId="16427" xr:uid="{97B976DE-F86E-4DC1-875D-448934C4955F}"/>
    <cellStyle name="Comma 4 2 2 2 3 4 2 3" xfId="20644" xr:uid="{3D2A724B-A3EB-47A0-BBBA-248B42FE84FD}"/>
    <cellStyle name="Comma 4 2 2 2 3 4 2 4" xfId="12210" xr:uid="{ABA98BE4-A92B-4FA6-A0A1-6CB12ABF8F37}"/>
    <cellStyle name="Comma 4 2 2 2 3 4 3" xfId="5844" xr:uid="{00000000-0005-0000-0000-0000DE070000}"/>
    <cellStyle name="Comma 4 2 2 2 3 4 3 2" xfId="22716" xr:uid="{6E2BD88A-4132-4ADB-9394-E99E004124A5}"/>
    <cellStyle name="Comma 4 2 2 2 3 4 3 3" xfId="14282" xr:uid="{46B74E9B-D67B-4F20-862A-50B343FF529F}"/>
    <cellStyle name="Comma 4 2 2 2 3 4 4" xfId="18499" xr:uid="{9ECB76E2-BC1E-4AAE-BF95-6EBC93D6C45C}"/>
    <cellStyle name="Comma 4 2 2 2 3 4 5" xfId="10065" xr:uid="{ECB2B49D-9A23-4F45-AB47-EED5CEEC2B15}"/>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25274" xr:uid="{16A48EB5-C97D-487B-9392-2CE4DB8E3F9F}"/>
    <cellStyle name="Comma 4 2 2 2 3 5 2 2 3" xfId="16840" xr:uid="{9EBBA830-0900-4221-8958-DF8242D9CE64}"/>
    <cellStyle name="Comma 4 2 2 2 3 5 2 3" xfId="21057" xr:uid="{6E81CAB3-4EDA-41E9-A6A4-FB1A23F607D7}"/>
    <cellStyle name="Comma 4 2 2 2 3 5 2 4" xfId="12623" xr:uid="{22FD1C03-620D-4D74-99F3-439D7842803D}"/>
    <cellStyle name="Comma 4 2 2 2 3 5 3" xfId="6257" xr:uid="{00000000-0005-0000-0000-0000E2070000}"/>
    <cellStyle name="Comma 4 2 2 2 3 5 3 2" xfId="23129" xr:uid="{536ABE88-BB1A-44F9-84B0-9F66F0717741}"/>
    <cellStyle name="Comma 4 2 2 2 3 5 3 3" xfId="14695" xr:uid="{C3430558-9155-42C0-8E43-FFD43FD000C8}"/>
    <cellStyle name="Comma 4 2 2 2 3 5 4" xfId="18912" xr:uid="{CB24D874-CF48-47F7-B92F-0DF3278265B8}"/>
    <cellStyle name="Comma 4 2 2 2 3 5 5" xfId="10478" xr:uid="{06E72B75-9411-4C12-BE6E-4E123914039C}"/>
    <cellStyle name="Comma 4 2 2 2 3 6" xfId="2385" xr:uid="{00000000-0005-0000-0000-0000E3070000}"/>
    <cellStyle name="Comma 4 2 2 2 3 6 2" xfId="6670" xr:uid="{00000000-0005-0000-0000-0000E4070000}"/>
    <cellStyle name="Comma 4 2 2 2 3 6 2 2" xfId="23542" xr:uid="{E3B1E502-58BA-4780-81F5-CA3814C06097}"/>
    <cellStyle name="Comma 4 2 2 2 3 6 2 3" xfId="15108" xr:uid="{48305747-1B90-47A8-9199-CA9FFDAC347C}"/>
    <cellStyle name="Comma 4 2 2 2 3 6 3" xfId="19325" xr:uid="{439078AF-88BF-4AD1-ACFD-CCA698A55172}"/>
    <cellStyle name="Comma 4 2 2 2 3 6 4" xfId="10891" xr:uid="{A16B8C29-2166-4E6F-8D41-A127F31EDFCE}"/>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23859" xr:uid="{326ECA25-B1D0-45F8-A488-9E45984BC601}"/>
    <cellStyle name="Comma 4 2 2 2 3 8 2 3" xfId="15425" xr:uid="{F1550458-64DA-474A-B2B1-D5E0F86E078C}"/>
    <cellStyle name="Comma 4 2 2 2 3 8 3" xfId="19642" xr:uid="{3C4E604B-CA65-44CC-B5C8-CF105E006F37}"/>
    <cellStyle name="Comma 4 2 2 2 3 8 4" xfId="11208" xr:uid="{7BD2FFB2-7D9C-4307-9E6B-4B8513C010B0}"/>
    <cellStyle name="Comma 4 2 2 2 3 9" xfId="4604" xr:uid="{00000000-0005-0000-0000-0000E8070000}"/>
    <cellStyle name="Comma 4 2 2 2 3 9 2" xfId="21476" xr:uid="{21B1C30C-04C1-4690-B461-F603A8B6A5B8}"/>
    <cellStyle name="Comma 4 2 2 2 3 9 3" xfId="13042" xr:uid="{A27C440B-978B-4AAF-BC28-D3571B617E4B}"/>
    <cellStyle name="Comma 4 2 2 2 4" xfId="666" xr:uid="{00000000-0005-0000-0000-0000E9070000}"/>
    <cellStyle name="Comma 4 2 2 2 4 2" xfId="2937" xr:uid="{00000000-0005-0000-0000-0000EA070000}"/>
    <cellStyle name="Comma 4 2 2 2 4 2 2" xfId="7160" xr:uid="{00000000-0005-0000-0000-0000EB070000}"/>
    <cellStyle name="Comma 4 2 2 2 4 2 2 2" xfId="24032" xr:uid="{77F128D4-656F-4B04-B7A9-DB46D8E6451D}"/>
    <cellStyle name="Comma 4 2 2 2 4 2 2 3" xfId="15598" xr:uid="{62237AA6-E05E-4274-A34B-970F5ED3B5A2}"/>
    <cellStyle name="Comma 4 2 2 2 4 2 3" xfId="19815" xr:uid="{FB84E341-CE0E-4C10-8B0E-AE277F4125D3}"/>
    <cellStyle name="Comma 4 2 2 2 4 2 4" xfId="11381" xr:uid="{3B3FE925-36FE-46BF-99C1-651BD3CEA4EA}"/>
    <cellStyle name="Comma 4 2 2 2 4 3" xfId="5015" xr:uid="{00000000-0005-0000-0000-0000EC070000}"/>
    <cellStyle name="Comma 4 2 2 2 4 3 2" xfId="21887" xr:uid="{7CDCFA4E-1FFF-411F-8D19-AB5DC1D5B2F1}"/>
    <cellStyle name="Comma 4 2 2 2 4 3 3" xfId="13453" xr:uid="{6760CE42-573F-4E3E-8A44-644D0B564CB6}"/>
    <cellStyle name="Comma 4 2 2 2 4 4" xfId="17670" xr:uid="{3789D520-0DA2-4CF7-8984-790BA1EB8DC8}"/>
    <cellStyle name="Comma 4 2 2 2 4 5" xfId="9236" xr:uid="{A6EECEDE-8F5C-4E86-ACD2-27896651F5C9}"/>
    <cellStyle name="Comma 4 2 2 2 5" xfId="1119" xr:uid="{00000000-0005-0000-0000-0000ED070000}"/>
    <cellStyle name="Comma 4 2 2 2 5 2" xfId="3350" xr:uid="{00000000-0005-0000-0000-0000EE070000}"/>
    <cellStyle name="Comma 4 2 2 2 5 2 2" xfId="7573" xr:uid="{00000000-0005-0000-0000-0000EF070000}"/>
    <cellStyle name="Comma 4 2 2 2 5 2 2 2" xfId="24445" xr:uid="{B7231669-FFB7-4192-BC4B-3F8C16B2B60B}"/>
    <cellStyle name="Comma 4 2 2 2 5 2 2 3" xfId="16011" xr:uid="{143971EA-A298-46F0-B74D-DC9871AD934D}"/>
    <cellStyle name="Comma 4 2 2 2 5 2 3" xfId="20228" xr:uid="{60EA4341-07BD-483A-BDDE-F701F599C15C}"/>
    <cellStyle name="Comma 4 2 2 2 5 2 4" xfId="11794" xr:uid="{B2D07A07-557D-489E-82D3-D60248814F78}"/>
    <cellStyle name="Comma 4 2 2 2 5 3" xfId="5428" xr:uid="{00000000-0005-0000-0000-0000F0070000}"/>
    <cellStyle name="Comma 4 2 2 2 5 3 2" xfId="22300" xr:uid="{4A48DABF-F220-49A7-890D-E952860AEA6D}"/>
    <cellStyle name="Comma 4 2 2 2 5 3 3" xfId="13866" xr:uid="{011A432E-5CA0-4518-A834-1B0BD8F31345}"/>
    <cellStyle name="Comma 4 2 2 2 5 4" xfId="18083" xr:uid="{040124BD-7A76-4DA3-A252-A78797B6039B}"/>
    <cellStyle name="Comma 4 2 2 2 5 5" xfId="9649" xr:uid="{AC02F011-CF60-4184-B931-260041B28540}"/>
    <cellStyle name="Comma 4 2 2 2 6" xfId="1533" xr:uid="{00000000-0005-0000-0000-0000F1070000}"/>
    <cellStyle name="Comma 4 2 2 2 6 2" xfId="3763" xr:uid="{00000000-0005-0000-0000-0000F2070000}"/>
    <cellStyle name="Comma 4 2 2 2 6 2 2" xfId="7986" xr:uid="{00000000-0005-0000-0000-0000F3070000}"/>
    <cellStyle name="Comma 4 2 2 2 6 2 2 2" xfId="24858" xr:uid="{4A64561F-889B-47A6-87DC-E970E83C6F72}"/>
    <cellStyle name="Comma 4 2 2 2 6 2 2 3" xfId="16424" xr:uid="{42229A0D-BF6C-4A70-97ED-B9438F28D593}"/>
    <cellStyle name="Comma 4 2 2 2 6 2 3" xfId="20641" xr:uid="{E6D09066-3ABB-441A-8445-F8D7F440C5CD}"/>
    <cellStyle name="Comma 4 2 2 2 6 2 4" xfId="12207" xr:uid="{023A32D0-0EFF-4099-9E8D-8B45D458880D}"/>
    <cellStyle name="Comma 4 2 2 2 6 3" xfId="5841" xr:uid="{00000000-0005-0000-0000-0000F4070000}"/>
    <cellStyle name="Comma 4 2 2 2 6 3 2" xfId="22713" xr:uid="{1AA608FF-5C90-4EDF-8B92-6868D770A0A6}"/>
    <cellStyle name="Comma 4 2 2 2 6 3 3" xfId="14279" xr:uid="{C327C656-B531-4024-9876-31334B0677CC}"/>
    <cellStyle name="Comma 4 2 2 2 6 4" xfId="18496" xr:uid="{CF5FEC04-742A-409C-A332-C70E70A1842C}"/>
    <cellStyle name="Comma 4 2 2 2 6 5" xfId="10062" xr:uid="{AD5BCB76-D4A3-40A7-9F9C-BB388008CFDD}"/>
    <cellStyle name="Comma 4 2 2 2 7" xfId="1947" xr:uid="{00000000-0005-0000-0000-0000F5070000}"/>
    <cellStyle name="Comma 4 2 2 2 7 2" xfId="4176" xr:uid="{00000000-0005-0000-0000-0000F6070000}"/>
    <cellStyle name="Comma 4 2 2 2 7 2 2" xfId="8399" xr:uid="{00000000-0005-0000-0000-0000F7070000}"/>
    <cellStyle name="Comma 4 2 2 2 7 2 2 2" xfId="25271" xr:uid="{A96BE2FE-F85B-4E65-93AC-44490F3C9E76}"/>
    <cellStyle name="Comma 4 2 2 2 7 2 2 3" xfId="16837" xr:uid="{0758A821-97B2-48D9-910E-6E9F2B04585F}"/>
    <cellStyle name="Comma 4 2 2 2 7 2 3" xfId="21054" xr:uid="{5D2DC613-6510-4B19-83F9-B505FD7E78EA}"/>
    <cellStyle name="Comma 4 2 2 2 7 2 4" xfId="12620" xr:uid="{F472B0CD-3BB8-4608-8C4E-5A702FEF0BE0}"/>
    <cellStyle name="Comma 4 2 2 2 7 3" xfId="6254" xr:uid="{00000000-0005-0000-0000-0000F8070000}"/>
    <cellStyle name="Comma 4 2 2 2 7 3 2" xfId="23126" xr:uid="{BCEB8546-18EF-4962-A929-10440AE4D5B5}"/>
    <cellStyle name="Comma 4 2 2 2 7 3 3" xfId="14692" xr:uid="{3B365D00-5317-4D73-B756-CC186C2EA54F}"/>
    <cellStyle name="Comma 4 2 2 2 7 4" xfId="18909" xr:uid="{5693D723-0B46-4E0E-9954-2CE0B0C9F269}"/>
    <cellStyle name="Comma 4 2 2 2 7 5" xfId="10475" xr:uid="{3DBFB867-7B2B-43A3-BB96-82E176DC383B}"/>
    <cellStyle name="Comma 4 2 2 2 8" xfId="2382" xr:uid="{00000000-0005-0000-0000-0000F9070000}"/>
    <cellStyle name="Comma 4 2 2 2 8 2" xfId="6667" xr:uid="{00000000-0005-0000-0000-0000FA070000}"/>
    <cellStyle name="Comma 4 2 2 2 8 2 2" xfId="23539" xr:uid="{F4483CD7-84C3-4C0D-8048-7371C415E0F8}"/>
    <cellStyle name="Comma 4 2 2 2 8 2 3" xfId="15105" xr:uid="{C8F0E316-58B9-4BE8-8459-F77B209A9387}"/>
    <cellStyle name="Comma 4 2 2 2 8 3" xfId="19322" xr:uid="{B1F82100-D35A-4193-BAFD-778E2FF7CB9B}"/>
    <cellStyle name="Comma 4 2 2 2 8 4" xfId="10888" xr:uid="{F9752364-639D-4089-BACA-020F1F5124DF}"/>
    <cellStyle name="Comma 4 2 2 2 9" xfId="2381" xr:uid="{00000000-0005-0000-0000-0000FB070000}"/>
    <cellStyle name="Comma 4 2 2 3" xfId="132" xr:uid="{00000000-0005-0000-0000-0000FC070000}"/>
    <cellStyle name="Comma 4 2 2 3 10" xfId="4605" xr:uid="{00000000-0005-0000-0000-0000FD070000}"/>
    <cellStyle name="Comma 4 2 2 3 10 2" xfId="21477" xr:uid="{E62BB8DF-6C46-47BA-B755-B092B424BEC7}"/>
    <cellStyle name="Comma 4 2 2 3 10 3" xfId="13043" xr:uid="{BD313D41-EC65-446E-A178-AC9218DFF953}"/>
    <cellStyle name="Comma 4 2 2 3 11" xfId="17260" xr:uid="{EC97B9EA-3684-48B2-B511-65CE701732A8}"/>
    <cellStyle name="Comma 4 2 2 3 12" xfId="8826" xr:uid="{4EB162BE-CA9F-4D86-9AA4-2FDF61466176}"/>
    <cellStyle name="Comma 4 2 2 3 2" xfId="133" xr:uid="{00000000-0005-0000-0000-0000FE070000}"/>
    <cellStyle name="Comma 4 2 2 3 2 10" xfId="17261" xr:uid="{743F5D7D-B7B5-4F99-BA62-96550A628B7F}"/>
    <cellStyle name="Comma 4 2 2 3 2 11" xfId="8827" xr:uid="{3B792B55-D311-4FD3-B375-8B8E7FD24D5E}"/>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24037" xr:uid="{DBEE9A2B-627C-4A68-8AF7-898BE54C3298}"/>
    <cellStyle name="Comma 4 2 2 3 2 2 2 2 3" xfId="15603" xr:uid="{E654E37D-FD99-4419-9DEC-45381B5034B7}"/>
    <cellStyle name="Comma 4 2 2 3 2 2 2 3" xfId="19820" xr:uid="{BB0111F0-9309-4872-AE36-170082C7F573}"/>
    <cellStyle name="Comma 4 2 2 3 2 2 2 4" xfId="11386" xr:uid="{9B608E9D-8197-41E4-87A5-3E6DEA8E2265}"/>
    <cellStyle name="Comma 4 2 2 3 2 2 3" xfId="5020" xr:uid="{00000000-0005-0000-0000-000002080000}"/>
    <cellStyle name="Comma 4 2 2 3 2 2 3 2" xfId="21892" xr:uid="{7C24B017-D963-4314-9EA8-5C338DF0ECA4}"/>
    <cellStyle name="Comma 4 2 2 3 2 2 3 3" xfId="13458" xr:uid="{755B5E91-EE06-4289-84D9-DFA4FB4BCAE9}"/>
    <cellStyle name="Comma 4 2 2 3 2 2 4" xfId="17675" xr:uid="{CEB3DFD9-DDFA-40F9-B702-274299230D75}"/>
    <cellStyle name="Comma 4 2 2 3 2 2 5" xfId="9241" xr:uid="{F79451A7-8AFD-42A3-B5BA-EB3E3047560E}"/>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24450" xr:uid="{F42FA74E-1E5C-40DF-9500-4968FBB02438}"/>
    <cellStyle name="Comma 4 2 2 3 2 3 2 2 3" xfId="16016" xr:uid="{8C02E212-8E87-4252-854D-75EEEDE24DFE}"/>
    <cellStyle name="Comma 4 2 2 3 2 3 2 3" xfId="20233" xr:uid="{C63C334D-F0F3-4FCD-81D2-3E3C23A5DFFF}"/>
    <cellStyle name="Comma 4 2 2 3 2 3 2 4" xfId="11799" xr:uid="{9D600D59-B3B8-4A69-93F1-D90139D0CE2C}"/>
    <cellStyle name="Comma 4 2 2 3 2 3 3" xfId="5433" xr:uid="{00000000-0005-0000-0000-000006080000}"/>
    <cellStyle name="Comma 4 2 2 3 2 3 3 2" xfId="22305" xr:uid="{49C66E03-BE86-4863-B99B-2FF89CF05C3A}"/>
    <cellStyle name="Comma 4 2 2 3 2 3 3 3" xfId="13871" xr:uid="{4C3646EE-609A-4B33-AB5C-E2490D648EE0}"/>
    <cellStyle name="Comma 4 2 2 3 2 3 4" xfId="18088" xr:uid="{196D09E7-8634-4964-AE6A-83A305392399}"/>
    <cellStyle name="Comma 4 2 2 3 2 3 5" xfId="9654" xr:uid="{C0F89DC0-E936-4BB3-9581-25088073B8E4}"/>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24863" xr:uid="{45A7FD11-5BAE-4B70-8A5C-275BA799203F}"/>
    <cellStyle name="Comma 4 2 2 3 2 4 2 2 3" xfId="16429" xr:uid="{4FCE1686-EE09-4C30-9FF4-93036A84C865}"/>
    <cellStyle name="Comma 4 2 2 3 2 4 2 3" xfId="20646" xr:uid="{1A365E36-E170-4C76-A7F8-7236CDC643A3}"/>
    <cellStyle name="Comma 4 2 2 3 2 4 2 4" xfId="12212" xr:uid="{846BC90E-4075-4793-8385-A2761699FFCB}"/>
    <cellStyle name="Comma 4 2 2 3 2 4 3" xfId="5846" xr:uid="{00000000-0005-0000-0000-00000A080000}"/>
    <cellStyle name="Comma 4 2 2 3 2 4 3 2" xfId="22718" xr:uid="{22A7502A-40C7-42F3-8A39-609E9BF673AA}"/>
    <cellStyle name="Comma 4 2 2 3 2 4 3 3" xfId="14284" xr:uid="{9D7357E9-423E-44D4-87A5-5AD89A2203FF}"/>
    <cellStyle name="Comma 4 2 2 3 2 4 4" xfId="18501" xr:uid="{BE82BCE2-3200-4B7E-B07C-F1ED75ADCBAE}"/>
    <cellStyle name="Comma 4 2 2 3 2 4 5" xfId="10067" xr:uid="{268279D4-2038-44BD-9991-B120F61F439F}"/>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25276" xr:uid="{E547E66C-4447-4056-97E2-274644572562}"/>
    <cellStyle name="Comma 4 2 2 3 2 5 2 2 3" xfId="16842" xr:uid="{DAC2235C-F69C-4796-B33E-1B61D11CF4BE}"/>
    <cellStyle name="Comma 4 2 2 3 2 5 2 3" xfId="21059" xr:uid="{095C8C5A-22FF-4CDE-8B7D-86130C30E7D6}"/>
    <cellStyle name="Comma 4 2 2 3 2 5 2 4" xfId="12625" xr:uid="{9D6F1D12-E032-4C5A-935B-AFCB0F64F4DC}"/>
    <cellStyle name="Comma 4 2 2 3 2 5 3" xfId="6259" xr:uid="{00000000-0005-0000-0000-00000E080000}"/>
    <cellStyle name="Comma 4 2 2 3 2 5 3 2" xfId="23131" xr:uid="{EB86E00D-CD6B-4BC3-8C0E-C39BAD35405F}"/>
    <cellStyle name="Comma 4 2 2 3 2 5 3 3" xfId="14697" xr:uid="{B4C518E6-CCDE-4FD6-A92B-02F7E537306C}"/>
    <cellStyle name="Comma 4 2 2 3 2 5 4" xfId="18914" xr:uid="{A9620AB9-E5D4-4D79-B3D9-2108604B91AA}"/>
    <cellStyle name="Comma 4 2 2 3 2 5 5" xfId="10480" xr:uid="{19E2B416-272E-4A6B-A1AD-DD1E23B58C39}"/>
    <cellStyle name="Comma 4 2 2 3 2 6" xfId="2387" xr:uid="{00000000-0005-0000-0000-00000F080000}"/>
    <cellStyle name="Comma 4 2 2 3 2 6 2" xfId="6672" xr:uid="{00000000-0005-0000-0000-000010080000}"/>
    <cellStyle name="Comma 4 2 2 3 2 6 2 2" xfId="23544" xr:uid="{52C0EEC6-88FF-41C6-846E-330049B56408}"/>
    <cellStyle name="Comma 4 2 2 3 2 6 2 3" xfId="15110" xr:uid="{143E2408-4CB2-455C-B1A1-4A72A3B4FC76}"/>
    <cellStyle name="Comma 4 2 2 3 2 6 3" xfId="19327" xr:uid="{29E21ACC-016A-4E8D-AA64-0D197D469B98}"/>
    <cellStyle name="Comma 4 2 2 3 2 6 4" xfId="10893" xr:uid="{8D2573D4-55D0-441B-A78A-B8D27AE5D663}"/>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23861" xr:uid="{DDFCA889-8A87-44EE-86E3-ED6BEBDB6837}"/>
    <cellStyle name="Comma 4 2 2 3 2 8 2 3" xfId="15427" xr:uid="{0CEE629F-1AFF-45E0-AD10-78B878788B02}"/>
    <cellStyle name="Comma 4 2 2 3 2 8 3" xfId="19644" xr:uid="{52E76346-384F-4430-BF30-F33ED79AF5F7}"/>
    <cellStyle name="Comma 4 2 2 3 2 8 4" xfId="11210" xr:uid="{6777FFD7-48E9-4F01-B0BD-825B9B8DDD48}"/>
    <cellStyle name="Comma 4 2 2 3 2 9" xfId="4606" xr:uid="{00000000-0005-0000-0000-000014080000}"/>
    <cellStyle name="Comma 4 2 2 3 2 9 2" xfId="21478" xr:uid="{69FC1196-A5FF-48C5-8F16-8EE0CC1015C3}"/>
    <cellStyle name="Comma 4 2 2 3 2 9 3" xfId="13044" xr:uid="{7EC63E9D-5EA4-4B4F-A692-4682A0619D5B}"/>
    <cellStyle name="Comma 4 2 2 3 3" xfId="670" xr:uid="{00000000-0005-0000-0000-000015080000}"/>
    <cellStyle name="Comma 4 2 2 3 3 2" xfId="2941" xr:uid="{00000000-0005-0000-0000-000016080000}"/>
    <cellStyle name="Comma 4 2 2 3 3 2 2" xfId="7164" xr:uid="{00000000-0005-0000-0000-000017080000}"/>
    <cellStyle name="Comma 4 2 2 3 3 2 2 2" xfId="24036" xr:uid="{7909482D-208A-4287-9838-B4E01FC84B90}"/>
    <cellStyle name="Comma 4 2 2 3 3 2 2 3" xfId="15602" xr:uid="{7B3AD927-9244-4F76-8A68-514B770C8545}"/>
    <cellStyle name="Comma 4 2 2 3 3 2 3" xfId="19819" xr:uid="{96916F59-F8BA-4D17-8334-5684B32A46E0}"/>
    <cellStyle name="Comma 4 2 2 3 3 2 4" xfId="11385" xr:uid="{E59DA914-B30B-49EB-B6F4-5EE8F409F023}"/>
    <cellStyle name="Comma 4 2 2 3 3 3" xfId="5019" xr:uid="{00000000-0005-0000-0000-000018080000}"/>
    <cellStyle name="Comma 4 2 2 3 3 3 2" xfId="21891" xr:uid="{A9662000-60DB-40EB-BFCC-2CA8E1580B5D}"/>
    <cellStyle name="Comma 4 2 2 3 3 3 3" xfId="13457" xr:uid="{96254A21-0121-4361-8D1F-37A41BD6B7CB}"/>
    <cellStyle name="Comma 4 2 2 3 3 4" xfId="17674" xr:uid="{23A8737A-CF68-430D-8149-590C7E1CC880}"/>
    <cellStyle name="Comma 4 2 2 3 3 5" xfId="9240" xr:uid="{22A6CD04-4681-4CFD-A809-EC9110B7A71F}"/>
    <cellStyle name="Comma 4 2 2 3 4" xfId="1123" xr:uid="{00000000-0005-0000-0000-000019080000}"/>
    <cellStyle name="Comma 4 2 2 3 4 2" xfId="3354" xr:uid="{00000000-0005-0000-0000-00001A080000}"/>
    <cellStyle name="Comma 4 2 2 3 4 2 2" xfId="7577" xr:uid="{00000000-0005-0000-0000-00001B080000}"/>
    <cellStyle name="Comma 4 2 2 3 4 2 2 2" xfId="24449" xr:uid="{A8CA5F11-D3DB-4D38-BED4-1C8B979ABE66}"/>
    <cellStyle name="Comma 4 2 2 3 4 2 2 3" xfId="16015" xr:uid="{745FDEE3-4349-4262-AE84-787F4A2918F6}"/>
    <cellStyle name="Comma 4 2 2 3 4 2 3" xfId="20232" xr:uid="{3E5B7CC6-0FC5-4E61-B438-C35378268463}"/>
    <cellStyle name="Comma 4 2 2 3 4 2 4" xfId="11798" xr:uid="{A856C0ED-731B-472B-9582-1B00ADA90548}"/>
    <cellStyle name="Comma 4 2 2 3 4 3" xfId="5432" xr:uid="{00000000-0005-0000-0000-00001C080000}"/>
    <cellStyle name="Comma 4 2 2 3 4 3 2" xfId="22304" xr:uid="{C15A5842-A353-46C7-9F17-3745E80CC044}"/>
    <cellStyle name="Comma 4 2 2 3 4 3 3" xfId="13870" xr:uid="{D8A0552C-B9BD-4C86-894A-702B45927953}"/>
    <cellStyle name="Comma 4 2 2 3 4 4" xfId="18087" xr:uid="{1718CA61-C7C0-4838-80CD-88312FD0A2BD}"/>
    <cellStyle name="Comma 4 2 2 3 4 5" xfId="9653" xr:uid="{BD8EDBBA-D057-4204-BBF9-26B6F8663D9E}"/>
    <cellStyle name="Comma 4 2 2 3 5" xfId="1537" xr:uid="{00000000-0005-0000-0000-00001D080000}"/>
    <cellStyle name="Comma 4 2 2 3 5 2" xfId="3767" xr:uid="{00000000-0005-0000-0000-00001E080000}"/>
    <cellStyle name="Comma 4 2 2 3 5 2 2" xfId="7990" xr:uid="{00000000-0005-0000-0000-00001F080000}"/>
    <cellStyle name="Comma 4 2 2 3 5 2 2 2" xfId="24862" xr:uid="{93C59361-9FC0-42A7-939C-E0FB15F02BBA}"/>
    <cellStyle name="Comma 4 2 2 3 5 2 2 3" xfId="16428" xr:uid="{977A637D-F630-4EC0-A7C3-97D2316080CE}"/>
    <cellStyle name="Comma 4 2 2 3 5 2 3" xfId="20645" xr:uid="{C748DFAF-7F02-4970-B1E4-534F114C6F79}"/>
    <cellStyle name="Comma 4 2 2 3 5 2 4" xfId="12211" xr:uid="{DB9621DD-24A7-44ED-B1DC-108C984B5435}"/>
    <cellStyle name="Comma 4 2 2 3 5 3" xfId="5845" xr:uid="{00000000-0005-0000-0000-000020080000}"/>
    <cellStyle name="Comma 4 2 2 3 5 3 2" xfId="22717" xr:uid="{8E89D0F3-705C-4639-B128-3E5DD0ECB767}"/>
    <cellStyle name="Comma 4 2 2 3 5 3 3" xfId="14283" xr:uid="{63D95A83-1F1F-4BDA-BE1D-BD1855425DD7}"/>
    <cellStyle name="Comma 4 2 2 3 5 4" xfId="18500" xr:uid="{64DCAD14-C6E4-4B5A-A37C-6A7D0A03BA2A}"/>
    <cellStyle name="Comma 4 2 2 3 5 5" xfId="10066" xr:uid="{B8AD4DC4-B394-4853-89A0-A4D4AE4A5FC5}"/>
    <cellStyle name="Comma 4 2 2 3 6" xfId="1951" xr:uid="{00000000-0005-0000-0000-000021080000}"/>
    <cellStyle name="Comma 4 2 2 3 6 2" xfId="4180" xr:uid="{00000000-0005-0000-0000-000022080000}"/>
    <cellStyle name="Comma 4 2 2 3 6 2 2" xfId="8403" xr:uid="{00000000-0005-0000-0000-000023080000}"/>
    <cellStyle name="Comma 4 2 2 3 6 2 2 2" xfId="25275" xr:uid="{53B7102D-F47A-414B-B847-B8219AEDAA16}"/>
    <cellStyle name="Comma 4 2 2 3 6 2 2 3" xfId="16841" xr:uid="{ECC417E3-A08E-4E15-B717-3EC0F732901C}"/>
    <cellStyle name="Comma 4 2 2 3 6 2 3" xfId="21058" xr:uid="{12CA7E33-1F5C-4140-96CF-5425D777CCB1}"/>
    <cellStyle name="Comma 4 2 2 3 6 2 4" xfId="12624" xr:uid="{BDFC4E7A-095C-4EB4-9A20-69D2905C72DF}"/>
    <cellStyle name="Comma 4 2 2 3 6 3" xfId="6258" xr:uid="{00000000-0005-0000-0000-000024080000}"/>
    <cellStyle name="Comma 4 2 2 3 6 3 2" xfId="23130" xr:uid="{3FF7090A-E087-4966-B148-F66526400A9B}"/>
    <cellStyle name="Comma 4 2 2 3 6 3 3" xfId="14696" xr:uid="{14747250-8217-4554-81C6-951D1A8E86A3}"/>
    <cellStyle name="Comma 4 2 2 3 6 4" xfId="18913" xr:uid="{A6442268-4EE3-4797-8736-D06CDC47FD5D}"/>
    <cellStyle name="Comma 4 2 2 3 6 5" xfId="10479" xr:uid="{5D3C25AF-AF86-4E28-9D06-9291AFE26148}"/>
    <cellStyle name="Comma 4 2 2 3 7" xfId="2386" xr:uid="{00000000-0005-0000-0000-000025080000}"/>
    <cellStyle name="Comma 4 2 2 3 7 2" xfId="6671" xr:uid="{00000000-0005-0000-0000-000026080000}"/>
    <cellStyle name="Comma 4 2 2 3 7 2 2" xfId="23543" xr:uid="{BFD72DB6-D5D2-4816-99E3-D7203D217E97}"/>
    <cellStyle name="Comma 4 2 2 3 7 2 3" xfId="15109" xr:uid="{10A373D1-A22F-42CC-AFCB-83DFA930AB5D}"/>
    <cellStyle name="Comma 4 2 2 3 7 3" xfId="19326" xr:uid="{FEAAFD71-053F-4F20-9DF2-32C91FAEFF8E}"/>
    <cellStyle name="Comma 4 2 2 3 7 4" xfId="10892" xr:uid="{DAD3A283-4268-458D-BFC9-6208F0E3FA6C}"/>
    <cellStyle name="Comma 4 2 2 3 8" xfId="2377" xr:uid="{00000000-0005-0000-0000-000027080000}"/>
    <cellStyle name="Comma 4 2 2 3 9" xfId="2764" xr:uid="{00000000-0005-0000-0000-000028080000}"/>
    <cellStyle name="Comma 4 2 2 3 9 2" xfId="6988" xr:uid="{00000000-0005-0000-0000-000029080000}"/>
    <cellStyle name="Comma 4 2 2 3 9 2 2" xfId="23860" xr:uid="{28FBA1F2-5C80-4500-BB25-2BEAF44E0826}"/>
    <cellStyle name="Comma 4 2 2 3 9 2 3" xfId="15426" xr:uid="{911F3801-4BB5-4D60-9B39-09744E3B62A6}"/>
    <cellStyle name="Comma 4 2 2 3 9 3" xfId="19643" xr:uid="{271BCE95-7995-4F03-A6DC-ADC64E79FE7B}"/>
    <cellStyle name="Comma 4 2 2 3 9 4" xfId="11209" xr:uid="{4EEC974A-2CA6-433E-8DDE-EE106C90C27D}"/>
    <cellStyle name="Comma 4 2 2 4" xfId="134" xr:uid="{00000000-0005-0000-0000-00002A080000}"/>
    <cellStyle name="Comma 4 2 2 4 10" xfId="17262" xr:uid="{9827C1E3-7C7A-4957-99BF-A47CDC3F7DF0}"/>
    <cellStyle name="Comma 4 2 2 4 11" xfId="8828" xr:uid="{30FD07F5-E835-4659-970E-8A6441C9D3C6}"/>
    <cellStyle name="Comma 4 2 2 4 2" xfId="672" xr:uid="{00000000-0005-0000-0000-00002B080000}"/>
    <cellStyle name="Comma 4 2 2 4 2 2" xfId="2943" xr:uid="{00000000-0005-0000-0000-00002C080000}"/>
    <cellStyle name="Comma 4 2 2 4 2 2 2" xfId="7166" xr:uid="{00000000-0005-0000-0000-00002D080000}"/>
    <cellStyle name="Comma 4 2 2 4 2 2 2 2" xfId="24038" xr:uid="{035E3F80-4068-4F1D-B751-35031AB68A4A}"/>
    <cellStyle name="Comma 4 2 2 4 2 2 2 3" xfId="15604" xr:uid="{AFA59B77-A243-4D9D-BF9A-BDC0D222BAC3}"/>
    <cellStyle name="Comma 4 2 2 4 2 2 3" xfId="19821" xr:uid="{46AB1A3E-C018-4537-ACB1-A8E4AB5412FC}"/>
    <cellStyle name="Comma 4 2 2 4 2 2 4" xfId="11387" xr:uid="{5BDA0FC4-CAFB-4E0F-920F-1FADD343D87E}"/>
    <cellStyle name="Comma 4 2 2 4 2 3" xfId="5021" xr:uid="{00000000-0005-0000-0000-00002E080000}"/>
    <cellStyle name="Comma 4 2 2 4 2 3 2" xfId="21893" xr:uid="{1486675B-076D-4D43-AE28-763EF88FC3D1}"/>
    <cellStyle name="Comma 4 2 2 4 2 3 3" xfId="13459" xr:uid="{D967CF17-2AA5-42BB-A6C1-1775F9BC6561}"/>
    <cellStyle name="Comma 4 2 2 4 2 4" xfId="17676" xr:uid="{906A2673-4D59-4225-B7BA-19BBE77E266A}"/>
    <cellStyle name="Comma 4 2 2 4 2 5" xfId="9242" xr:uid="{A79D5447-25AA-4773-9D6A-34F05E638747}"/>
    <cellStyle name="Comma 4 2 2 4 3" xfId="1125" xr:uid="{00000000-0005-0000-0000-00002F080000}"/>
    <cellStyle name="Comma 4 2 2 4 3 2" xfId="3356" xr:uid="{00000000-0005-0000-0000-000030080000}"/>
    <cellStyle name="Comma 4 2 2 4 3 2 2" xfId="7579" xr:uid="{00000000-0005-0000-0000-000031080000}"/>
    <cellStyle name="Comma 4 2 2 4 3 2 2 2" xfId="24451" xr:uid="{44DEA956-BD81-4E24-B212-CAD105A3BC3D}"/>
    <cellStyle name="Comma 4 2 2 4 3 2 2 3" xfId="16017" xr:uid="{BA81206E-345F-4DB7-BE4F-D4F76B496996}"/>
    <cellStyle name="Comma 4 2 2 4 3 2 3" xfId="20234" xr:uid="{B1DDCC29-FCA6-448C-96A2-3D2882FE0731}"/>
    <cellStyle name="Comma 4 2 2 4 3 2 4" xfId="11800" xr:uid="{4D295922-6D66-4379-BD5C-F5A9A8167A5A}"/>
    <cellStyle name="Comma 4 2 2 4 3 3" xfId="5434" xr:uid="{00000000-0005-0000-0000-000032080000}"/>
    <cellStyle name="Comma 4 2 2 4 3 3 2" xfId="22306" xr:uid="{1FA3462F-CADF-4B60-9E98-3D7A7273AEDD}"/>
    <cellStyle name="Comma 4 2 2 4 3 3 3" xfId="13872" xr:uid="{A10A15DD-302E-4055-99CB-CAF507C2B60D}"/>
    <cellStyle name="Comma 4 2 2 4 3 4" xfId="18089" xr:uid="{78C684EB-2EE6-49EF-A86C-065A8C928508}"/>
    <cellStyle name="Comma 4 2 2 4 3 5" xfId="9655" xr:uid="{6A5794C2-A63B-48B5-83FF-4DE7E50FCA37}"/>
    <cellStyle name="Comma 4 2 2 4 4" xfId="1539" xr:uid="{00000000-0005-0000-0000-000033080000}"/>
    <cellStyle name="Comma 4 2 2 4 4 2" xfId="3769" xr:uid="{00000000-0005-0000-0000-000034080000}"/>
    <cellStyle name="Comma 4 2 2 4 4 2 2" xfId="7992" xr:uid="{00000000-0005-0000-0000-000035080000}"/>
    <cellStyle name="Comma 4 2 2 4 4 2 2 2" xfId="24864" xr:uid="{50C8748E-3B2C-424B-ACAE-8E0915F358D8}"/>
    <cellStyle name="Comma 4 2 2 4 4 2 2 3" xfId="16430" xr:uid="{183734D5-96B1-4F6A-875E-CB6B0EA8EE4D}"/>
    <cellStyle name="Comma 4 2 2 4 4 2 3" xfId="20647" xr:uid="{95FF4833-4C0C-411F-9581-380E8D67D134}"/>
    <cellStyle name="Comma 4 2 2 4 4 2 4" xfId="12213" xr:uid="{7E1581CC-76D4-4E46-BEFF-639675DBDF05}"/>
    <cellStyle name="Comma 4 2 2 4 4 3" xfId="5847" xr:uid="{00000000-0005-0000-0000-000036080000}"/>
    <cellStyle name="Comma 4 2 2 4 4 3 2" xfId="22719" xr:uid="{EC1C3F56-0AFE-4E1F-8DFD-2F190B6E596D}"/>
    <cellStyle name="Comma 4 2 2 4 4 3 3" xfId="14285" xr:uid="{789365DC-F7D5-41C9-95FC-CAFFC0ACA772}"/>
    <cellStyle name="Comma 4 2 2 4 4 4" xfId="18502" xr:uid="{8978E060-61CC-4479-B5C8-79C886BC8F32}"/>
    <cellStyle name="Comma 4 2 2 4 4 5" xfId="10068" xr:uid="{38CC37A6-B6D4-4123-A351-3A79E7BE56CF}"/>
    <cellStyle name="Comma 4 2 2 4 5" xfId="1953" xr:uid="{00000000-0005-0000-0000-000037080000}"/>
    <cellStyle name="Comma 4 2 2 4 5 2" xfId="4182" xr:uid="{00000000-0005-0000-0000-000038080000}"/>
    <cellStyle name="Comma 4 2 2 4 5 2 2" xfId="8405" xr:uid="{00000000-0005-0000-0000-000039080000}"/>
    <cellStyle name="Comma 4 2 2 4 5 2 2 2" xfId="25277" xr:uid="{E0DE488C-81B0-4ED5-A6C6-871F16AD7C01}"/>
    <cellStyle name="Comma 4 2 2 4 5 2 2 3" xfId="16843" xr:uid="{9B77AD4E-7656-4AEA-BEEF-D289FADA1FB7}"/>
    <cellStyle name="Comma 4 2 2 4 5 2 3" xfId="21060" xr:uid="{8E243671-E650-438E-BBD7-AA60B9D72BFE}"/>
    <cellStyle name="Comma 4 2 2 4 5 2 4" xfId="12626" xr:uid="{513D09D4-AD4F-492A-9604-A87F7D53A5A9}"/>
    <cellStyle name="Comma 4 2 2 4 5 3" xfId="6260" xr:uid="{00000000-0005-0000-0000-00003A080000}"/>
    <cellStyle name="Comma 4 2 2 4 5 3 2" xfId="23132" xr:uid="{386217D6-7B0B-44A0-917B-DDFF752814B4}"/>
    <cellStyle name="Comma 4 2 2 4 5 3 3" xfId="14698" xr:uid="{ED78D87C-B528-4703-B00A-BE86FBB7B2CA}"/>
    <cellStyle name="Comma 4 2 2 4 5 4" xfId="18915" xr:uid="{138C7D53-12EB-428F-9A8D-B584D3E71121}"/>
    <cellStyle name="Comma 4 2 2 4 5 5" xfId="10481" xr:uid="{949BADAB-C041-46E7-9115-D1C71EFF9AA4}"/>
    <cellStyle name="Comma 4 2 2 4 6" xfId="2388" xr:uid="{00000000-0005-0000-0000-00003B080000}"/>
    <cellStyle name="Comma 4 2 2 4 6 2" xfId="6673" xr:uid="{00000000-0005-0000-0000-00003C080000}"/>
    <cellStyle name="Comma 4 2 2 4 6 2 2" xfId="23545" xr:uid="{19AB1347-EB78-4BFC-9404-B1DF2C2884F4}"/>
    <cellStyle name="Comma 4 2 2 4 6 2 3" xfId="15111" xr:uid="{D7A9EA55-8037-47BC-97C5-F6165F81FE12}"/>
    <cellStyle name="Comma 4 2 2 4 6 3" xfId="19328" xr:uid="{AAC31ADA-7079-4463-A0EF-BE36C3C2721B}"/>
    <cellStyle name="Comma 4 2 2 4 6 4" xfId="10894" xr:uid="{3103A234-8638-425C-9621-2F52506616C9}"/>
    <cellStyle name="Comma 4 2 2 4 7" xfId="2375" xr:uid="{00000000-0005-0000-0000-00003D080000}"/>
    <cellStyle name="Comma 4 2 2 4 8" xfId="2766" xr:uid="{00000000-0005-0000-0000-00003E080000}"/>
    <cellStyle name="Comma 4 2 2 4 8 2" xfId="6990" xr:uid="{00000000-0005-0000-0000-00003F080000}"/>
    <cellStyle name="Comma 4 2 2 4 8 2 2" xfId="23862" xr:uid="{94E5CD39-0F02-48C0-ABE2-7E095CD1866E}"/>
    <cellStyle name="Comma 4 2 2 4 8 2 3" xfId="15428" xr:uid="{688FFCDD-4BBF-469D-A87D-FAC7ABAF6ADA}"/>
    <cellStyle name="Comma 4 2 2 4 8 3" xfId="19645" xr:uid="{AD75A480-C171-42A4-B5FA-E42A83A5A21F}"/>
    <cellStyle name="Comma 4 2 2 4 8 4" xfId="11211" xr:uid="{7260ED17-3D50-4D9C-B1C8-EC44CAA6D250}"/>
    <cellStyle name="Comma 4 2 2 4 9" xfId="4607" xr:uid="{00000000-0005-0000-0000-000040080000}"/>
    <cellStyle name="Comma 4 2 2 4 9 2" xfId="21479" xr:uid="{D8665A34-28DD-458F-AE13-F725F6D0C36B}"/>
    <cellStyle name="Comma 4 2 2 4 9 3" xfId="13045" xr:uid="{5FC77834-AE57-490C-919D-7D4CAB9F4290}"/>
    <cellStyle name="Comma 4 2 2 5" xfId="135" xr:uid="{00000000-0005-0000-0000-000041080000}"/>
    <cellStyle name="Comma 4 2 2 5 10" xfId="17263" xr:uid="{F69F013E-3763-451C-A90D-6BB6F96D6CE0}"/>
    <cellStyle name="Comma 4 2 2 5 11" xfId="8829" xr:uid="{65AD3160-A606-42F6-8631-B2DFD2267176}"/>
    <cellStyle name="Comma 4 2 2 5 2" xfId="673" xr:uid="{00000000-0005-0000-0000-000042080000}"/>
    <cellStyle name="Comma 4 2 2 5 2 2" xfId="2944" xr:uid="{00000000-0005-0000-0000-000043080000}"/>
    <cellStyle name="Comma 4 2 2 5 2 2 2" xfId="7167" xr:uid="{00000000-0005-0000-0000-000044080000}"/>
    <cellStyle name="Comma 4 2 2 5 2 2 2 2" xfId="24039" xr:uid="{F5AE9589-95F1-4817-BC28-B34B628B378B}"/>
    <cellStyle name="Comma 4 2 2 5 2 2 2 3" xfId="15605" xr:uid="{E13CC43B-3376-41DA-B713-B8E9EF395BB9}"/>
    <cellStyle name="Comma 4 2 2 5 2 2 3" xfId="19822" xr:uid="{692DF02D-CF50-4BD1-9016-A4E7029970EA}"/>
    <cellStyle name="Comma 4 2 2 5 2 2 4" xfId="11388" xr:uid="{916AE41D-2840-49E0-AE8F-2640782E6497}"/>
    <cellStyle name="Comma 4 2 2 5 2 3" xfId="5022" xr:uid="{00000000-0005-0000-0000-000045080000}"/>
    <cellStyle name="Comma 4 2 2 5 2 3 2" xfId="21894" xr:uid="{EF4CEF67-BA05-48A8-BE53-58CE5C5A29FE}"/>
    <cellStyle name="Comma 4 2 2 5 2 3 3" xfId="13460" xr:uid="{774445E3-3C3B-4B84-89D1-9135F957264F}"/>
    <cellStyle name="Comma 4 2 2 5 2 4" xfId="17677" xr:uid="{52B1D03B-7041-417B-B08E-3C6AE4F9D02D}"/>
    <cellStyle name="Comma 4 2 2 5 2 5" xfId="9243" xr:uid="{0B44EDCC-9DBF-491D-A896-EC494A7A47DC}"/>
    <cellStyle name="Comma 4 2 2 5 3" xfId="1126" xr:uid="{00000000-0005-0000-0000-000046080000}"/>
    <cellStyle name="Comma 4 2 2 5 3 2" xfId="3357" xr:uid="{00000000-0005-0000-0000-000047080000}"/>
    <cellStyle name="Comma 4 2 2 5 3 2 2" xfId="7580" xr:uid="{00000000-0005-0000-0000-000048080000}"/>
    <cellStyle name="Comma 4 2 2 5 3 2 2 2" xfId="24452" xr:uid="{0B4F3CE8-F3D4-447A-AEE4-C97C533B343F}"/>
    <cellStyle name="Comma 4 2 2 5 3 2 2 3" xfId="16018" xr:uid="{D29351AD-3348-4E1A-8A82-4A149174C941}"/>
    <cellStyle name="Comma 4 2 2 5 3 2 3" xfId="20235" xr:uid="{0E20EF13-9118-4AA5-9D38-9F228E297265}"/>
    <cellStyle name="Comma 4 2 2 5 3 2 4" xfId="11801" xr:uid="{4BB73FEC-ED91-4C76-BD81-47CE0CC1EFE9}"/>
    <cellStyle name="Comma 4 2 2 5 3 3" xfId="5435" xr:uid="{00000000-0005-0000-0000-000049080000}"/>
    <cellStyle name="Comma 4 2 2 5 3 3 2" xfId="22307" xr:uid="{E2187B32-3955-43B4-A841-47029D8D779B}"/>
    <cellStyle name="Comma 4 2 2 5 3 3 3" xfId="13873" xr:uid="{98101E38-552E-4F4F-96EB-18E303FAE923}"/>
    <cellStyle name="Comma 4 2 2 5 3 4" xfId="18090" xr:uid="{5DED2DBC-BF05-46B0-A0DE-A689AE24489F}"/>
    <cellStyle name="Comma 4 2 2 5 3 5" xfId="9656" xr:uid="{3A853F66-29BE-4092-B159-033CB3823ABE}"/>
    <cellStyle name="Comma 4 2 2 5 4" xfId="1540" xr:uid="{00000000-0005-0000-0000-00004A080000}"/>
    <cellStyle name="Comma 4 2 2 5 4 2" xfId="3770" xr:uid="{00000000-0005-0000-0000-00004B080000}"/>
    <cellStyle name="Comma 4 2 2 5 4 2 2" xfId="7993" xr:uid="{00000000-0005-0000-0000-00004C080000}"/>
    <cellStyle name="Comma 4 2 2 5 4 2 2 2" xfId="24865" xr:uid="{90888DF2-66F4-42CA-9CC8-F6A36E715952}"/>
    <cellStyle name="Comma 4 2 2 5 4 2 2 3" xfId="16431" xr:uid="{1E4E1480-41CC-4329-BD42-46F68ABE8560}"/>
    <cellStyle name="Comma 4 2 2 5 4 2 3" xfId="20648" xr:uid="{4A90C2F5-FD37-4171-8E12-35F7C77D0390}"/>
    <cellStyle name="Comma 4 2 2 5 4 2 4" xfId="12214" xr:uid="{9B067551-3F35-4011-BEC3-91604056FEE6}"/>
    <cellStyle name="Comma 4 2 2 5 4 3" xfId="5848" xr:uid="{00000000-0005-0000-0000-00004D080000}"/>
    <cellStyle name="Comma 4 2 2 5 4 3 2" xfId="22720" xr:uid="{BFAEAADE-31A3-45F5-8F68-4BC4A783D4AD}"/>
    <cellStyle name="Comma 4 2 2 5 4 3 3" xfId="14286" xr:uid="{4AAA5919-3951-4C00-BB1B-A27C1AC707D2}"/>
    <cellStyle name="Comma 4 2 2 5 4 4" xfId="18503" xr:uid="{8F975FA6-8DB1-47D7-A57E-A28221150204}"/>
    <cellStyle name="Comma 4 2 2 5 4 5" xfId="10069" xr:uid="{60455789-1794-4FB4-A4BD-32F97F56FC21}"/>
    <cellStyle name="Comma 4 2 2 5 5" xfId="1954" xr:uid="{00000000-0005-0000-0000-00004E080000}"/>
    <cellStyle name="Comma 4 2 2 5 5 2" xfId="4183" xr:uid="{00000000-0005-0000-0000-00004F080000}"/>
    <cellStyle name="Comma 4 2 2 5 5 2 2" xfId="8406" xr:uid="{00000000-0005-0000-0000-000050080000}"/>
    <cellStyle name="Comma 4 2 2 5 5 2 2 2" xfId="25278" xr:uid="{A1D33706-697E-4CB3-9B52-C1804C8CF64A}"/>
    <cellStyle name="Comma 4 2 2 5 5 2 2 3" xfId="16844" xr:uid="{D107DD88-1AC3-434D-92F1-55E51F1FC629}"/>
    <cellStyle name="Comma 4 2 2 5 5 2 3" xfId="21061" xr:uid="{B8CBB368-404F-4CED-BD7D-7643D510A9B6}"/>
    <cellStyle name="Comma 4 2 2 5 5 2 4" xfId="12627" xr:uid="{CCEBAC1D-4895-4159-A4C2-B58182A5DD51}"/>
    <cellStyle name="Comma 4 2 2 5 5 3" xfId="6261" xr:uid="{00000000-0005-0000-0000-000051080000}"/>
    <cellStyle name="Comma 4 2 2 5 5 3 2" xfId="23133" xr:uid="{3D684671-DC71-4FB0-A00D-893FD4553531}"/>
    <cellStyle name="Comma 4 2 2 5 5 3 3" xfId="14699" xr:uid="{E07E2051-5860-47B0-BDD6-94C314BABAB2}"/>
    <cellStyle name="Comma 4 2 2 5 5 4" xfId="18916" xr:uid="{9E0E9149-ACFD-43CA-B49C-7147098378E0}"/>
    <cellStyle name="Comma 4 2 2 5 5 5" xfId="10482" xr:uid="{6022BBBA-E024-43E5-B6F2-3EAB1B34BA83}"/>
    <cellStyle name="Comma 4 2 2 5 6" xfId="2389" xr:uid="{00000000-0005-0000-0000-000052080000}"/>
    <cellStyle name="Comma 4 2 2 5 6 2" xfId="6674" xr:uid="{00000000-0005-0000-0000-000053080000}"/>
    <cellStyle name="Comma 4 2 2 5 6 2 2" xfId="23546" xr:uid="{711810AE-9475-48CB-83D1-D5F676065A1D}"/>
    <cellStyle name="Comma 4 2 2 5 6 2 3" xfId="15112" xr:uid="{5AE80D6E-C3E9-4893-8030-9A0FD503CE59}"/>
    <cellStyle name="Comma 4 2 2 5 6 3" xfId="19329" xr:uid="{F0750BF0-2609-40DC-9F33-61CFD42CBDDC}"/>
    <cellStyle name="Comma 4 2 2 5 6 4" xfId="10895" xr:uid="{1798F319-D7E5-44DB-8599-6F2A84E6E087}"/>
    <cellStyle name="Comma 4 2 2 5 7" xfId="2374" xr:uid="{00000000-0005-0000-0000-000054080000}"/>
    <cellStyle name="Comma 4 2 2 5 8" xfId="2767" xr:uid="{00000000-0005-0000-0000-000055080000}"/>
    <cellStyle name="Comma 4 2 2 5 8 2" xfId="6991" xr:uid="{00000000-0005-0000-0000-000056080000}"/>
    <cellStyle name="Comma 4 2 2 5 8 2 2" xfId="23863" xr:uid="{20D86A1A-C7DC-4D0C-8BCF-8D907E68022D}"/>
    <cellStyle name="Comma 4 2 2 5 8 2 3" xfId="15429" xr:uid="{3E885FD3-53E8-48BA-9075-2C92C73D743C}"/>
    <cellStyle name="Comma 4 2 2 5 8 3" xfId="19646" xr:uid="{2DA93504-0608-48E2-8B8C-4EF1F7FB7865}"/>
    <cellStyle name="Comma 4 2 2 5 8 4" xfId="11212" xr:uid="{8B91EE7A-AFDC-4144-9844-2EE3B6511009}"/>
    <cellStyle name="Comma 4 2 2 5 9" xfId="4608" xr:uid="{00000000-0005-0000-0000-000057080000}"/>
    <cellStyle name="Comma 4 2 2 5 9 2" xfId="21480" xr:uid="{8E67C609-E897-4F78-9C13-1858928393D7}"/>
    <cellStyle name="Comma 4 2 2 5 9 3" xfId="13046" xr:uid="{65A9153A-AC86-4C20-81CB-2B6945D4095B}"/>
    <cellStyle name="Comma 4 2 3" xfId="136" xr:uid="{00000000-0005-0000-0000-000058080000}"/>
    <cellStyle name="Comma 4 2 3 10" xfId="2768" xr:uid="{00000000-0005-0000-0000-000059080000}"/>
    <cellStyle name="Comma 4 2 3 10 2" xfId="6992" xr:uid="{00000000-0005-0000-0000-00005A080000}"/>
    <cellStyle name="Comma 4 2 3 10 2 2" xfId="23864" xr:uid="{B539B4CA-0873-442B-80A8-961E7E97E3A2}"/>
    <cellStyle name="Comma 4 2 3 10 2 3" xfId="15430" xr:uid="{82B3BE6B-DF14-40C3-BAC3-48AC88AE1988}"/>
    <cellStyle name="Comma 4 2 3 10 3" xfId="19647" xr:uid="{F96C755F-C99E-45AC-92BD-52B58FC69C1B}"/>
    <cellStyle name="Comma 4 2 3 10 4" xfId="11213" xr:uid="{71FC12AC-04D9-4294-A6F7-B12BB3270210}"/>
    <cellStyle name="Comma 4 2 3 11" xfId="4609" xr:uid="{00000000-0005-0000-0000-00005B080000}"/>
    <cellStyle name="Comma 4 2 3 11 2" xfId="21481" xr:uid="{ECABC489-1B6C-4144-99D9-706EED6BD246}"/>
    <cellStyle name="Comma 4 2 3 11 3" xfId="13047" xr:uid="{C135EA12-CE0D-4EE0-9E7E-1764C715C46D}"/>
    <cellStyle name="Comma 4 2 3 12" xfId="17264" xr:uid="{8B6663BD-EE4A-41B8-B839-D06026638B65}"/>
    <cellStyle name="Comma 4 2 3 13" xfId="8830" xr:uid="{0B8B87F7-804B-4479-BA62-B071DB26254B}"/>
    <cellStyle name="Comma 4 2 3 2" xfId="137" xr:uid="{00000000-0005-0000-0000-00005C080000}"/>
    <cellStyle name="Comma 4 2 3 2 10" xfId="4610" xr:uid="{00000000-0005-0000-0000-00005D080000}"/>
    <cellStyle name="Comma 4 2 3 2 10 2" xfId="21482" xr:uid="{9CE589CE-F145-4380-8A51-8CABC5EA23D9}"/>
    <cellStyle name="Comma 4 2 3 2 10 3" xfId="13048" xr:uid="{8E9F53CB-E1A3-447B-A57E-89EA4B1BE205}"/>
    <cellStyle name="Comma 4 2 3 2 11" xfId="17265" xr:uid="{99D53921-D998-458E-880A-892DE110FB52}"/>
    <cellStyle name="Comma 4 2 3 2 12" xfId="8831" xr:uid="{A1BFE9EF-FA9E-41E3-807E-C3CD49E3BE0B}"/>
    <cellStyle name="Comma 4 2 3 2 2" xfId="138" xr:uid="{00000000-0005-0000-0000-00005E080000}"/>
    <cellStyle name="Comma 4 2 3 2 2 10" xfId="17266" xr:uid="{A76A2673-B740-467F-872F-C5981D8A8778}"/>
    <cellStyle name="Comma 4 2 3 2 2 11" xfId="8832" xr:uid="{85531E70-46D5-450D-8F7B-9FD4794D267A}"/>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24042" xr:uid="{2AE41B9E-4CC5-4987-B40D-B582052F04BF}"/>
    <cellStyle name="Comma 4 2 3 2 2 2 2 2 3" xfId="15608" xr:uid="{7D229032-3417-4990-BB3A-05700EB946E3}"/>
    <cellStyle name="Comma 4 2 3 2 2 2 2 3" xfId="19825" xr:uid="{ECFAA0D3-D020-45A6-81D9-BAFFF13D05BB}"/>
    <cellStyle name="Comma 4 2 3 2 2 2 2 4" xfId="11391" xr:uid="{1A590A9F-31EB-44BA-992E-3EE0A2C0A7F7}"/>
    <cellStyle name="Comma 4 2 3 2 2 2 3" xfId="5025" xr:uid="{00000000-0005-0000-0000-000062080000}"/>
    <cellStyle name="Comma 4 2 3 2 2 2 3 2" xfId="21897" xr:uid="{28D350A9-CAC0-47A8-B384-A43E85D27092}"/>
    <cellStyle name="Comma 4 2 3 2 2 2 3 3" xfId="13463" xr:uid="{385778FC-A748-4155-8963-BB9C32059EA2}"/>
    <cellStyle name="Comma 4 2 3 2 2 2 4" xfId="17680" xr:uid="{E9B2E5F8-F319-44E9-BECC-1E1F2EA48CA7}"/>
    <cellStyle name="Comma 4 2 3 2 2 2 5" xfId="9246" xr:uid="{33072728-2EB7-4486-A1ED-7CA3612FBC7E}"/>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24455" xr:uid="{6BE51230-E4FA-4601-B4C2-CC206B398C3B}"/>
    <cellStyle name="Comma 4 2 3 2 2 3 2 2 3" xfId="16021" xr:uid="{D3CA6FE0-3F53-43EB-8996-070B3EC1A235}"/>
    <cellStyle name="Comma 4 2 3 2 2 3 2 3" xfId="20238" xr:uid="{9466F31F-0A7D-4659-AE71-58CAFB90CF89}"/>
    <cellStyle name="Comma 4 2 3 2 2 3 2 4" xfId="11804" xr:uid="{399DA51C-15E5-4CFB-9103-FF1C560D0FAC}"/>
    <cellStyle name="Comma 4 2 3 2 2 3 3" xfId="5438" xr:uid="{00000000-0005-0000-0000-000066080000}"/>
    <cellStyle name="Comma 4 2 3 2 2 3 3 2" xfId="22310" xr:uid="{E77884FC-BB54-48B9-A139-164953B1D7B4}"/>
    <cellStyle name="Comma 4 2 3 2 2 3 3 3" xfId="13876" xr:uid="{0204AB45-F263-4B81-A27A-CC876BC866D6}"/>
    <cellStyle name="Comma 4 2 3 2 2 3 4" xfId="18093" xr:uid="{07C3484A-9EA5-4EBD-95F3-D0A3B4D57FB1}"/>
    <cellStyle name="Comma 4 2 3 2 2 3 5" xfId="9659" xr:uid="{C27B6439-0D47-4779-892A-F61B12BE5F39}"/>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24868" xr:uid="{A20345A7-7C7E-4366-A86D-BB9115EEC799}"/>
    <cellStyle name="Comma 4 2 3 2 2 4 2 2 3" xfId="16434" xr:uid="{4275C4F7-5B5D-44C3-A824-E425E5C5D798}"/>
    <cellStyle name="Comma 4 2 3 2 2 4 2 3" xfId="20651" xr:uid="{46F8F000-1E56-4760-8120-40FB3505F927}"/>
    <cellStyle name="Comma 4 2 3 2 2 4 2 4" xfId="12217" xr:uid="{EFF98189-FA6D-43FF-AEC6-B90D08E2D456}"/>
    <cellStyle name="Comma 4 2 3 2 2 4 3" xfId="5851" xr:uid="{00000000-0005-0000-0000-00006A080000}"/>
    <cellStyle name="Comma 4 2 3 2 2 4 3 2" xfId="22723" xr:uid="{BEFF4067-3E4A-469E-8EE1-6E894AAC04AA}"/>
    <cellStyle name="Comma 4 2 3 2 2 4 3 3" xfId="14289" xr:uid="{5B8EDB1C-A69D-4AC6-951D-32812D4248F3}"/>
    <cellStyle name="Comma 4 2 3 2 2 4 4" xfId="18506" xr:uid="{16161424-0958-430E-825B-645A111ADDF8}"/>
    <cellStyle name="Comma 4 2 3 2 2 4 5" xfId="10072" xr:uid="{B4D2AC69-D030-4EDC-B22B-A227F1B73CFD}"/>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25281" xr:uid="{6DD970D2-0EEE-4D4A-937E-D23A18798825}"/>
    <cellStyle name="Comma 4 2 3 2 2 5 2 2 3" xfId="16847" xr:uid="{20DAD7BE-0125-430E-899A-97DD4BEE6F15}"/>
    <cellStyle name="Comma 4 2 3 2 2 5 2 3" xfId="21064" xr:uid="{C1B42A2E-A9A1-4D72-BEB6-FD1A8A954A72}"/>
    <cellStyle name="Comma 4 2 3 2 2 5 2 4" xfId="12630" xr:uid="{1528CBDF-0543-4B3F-A452-A085E96E5399}"/>
    <cellStyle name="Comma 4 2 3 2 2 5 3" xfId="6264" xr:uid="{00000000-0005-0000-0000-00006E080000}"/>
    <cellStyle name="Comma 4 2 3 2 2 5 3 2" xfId="23136" xr:uid="{5C0534C7-E759-4774-BCCB-337C43C189ED}"/>
    <cellStyle name="Comma 4 2 3 2 2 5 3 3" xfId="14702" xr:uid="{7719C901-CDE1-41C2-9409-C135D9E1B92C}"/>
    <cellStyle name="Comma 4 2 3 2 2 5 4" xfId="18919" xr:uid="{3E4B17C6-C91A-44F5-B1C1-0144373488D6}"/>
    <cellStyle name="Comma 4 2 3 2 2 5 5" xfId="10485" xr:uid="{978E713D-F574-4D3A-B9B4-88752C534A2A}"/>
    <cellStyle name="Comma 4 2 3 2 2 6" xfId="2392" xr:uid="{00000000-0005-0000-0000-00006F080000}"/>
    <cellStyle name="Comma 4 2 3 2 2 6 2" xfId="6677" xr:uid="{00000000-0005-0000-0000-000070080000}"/>
    <cellStyle name="Comma 4 2 3 2 2 6 2 2" xfId="23549" xr:uid="{4C980577-B6F1-4D0A-AB8A-9C6346D6F47A}"/>
    <cellStyle name="Comma 4 2 3 2 2 6 2 3" xfId="15115" xr:uid="{F053DEFB-02AB-4254-AF18-3AB98250224C}"/>
    <cellStyle name="Comma 4 2 3 2 2 6 3" xfId="19332" xr:uid="{E6DFDA3D-11B5-4125-9B62-B0C1FAC4F4DE}"/>
    <cellStyle name="Comma 4 2 3 2 2 6 4" xfId="10898" xr:uid="{7989C4F4-00F9-45BF-BA10-748E72B85EBF}"/>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23866" xr:uid="{F4419453-E3B6-4690-A4BA-3D3419E19D3E}"/>
    <cellStyle name="Comma 4 2 3 2 2 8 2 3" xfId="15432" xr:uid="{EF02AA4A-A228-4F05-A6F3-419D0E2A7A5C}"/>
    <cellStyle name="Comma 4 2 3 2 2 8 3" xfId="19649" xr:uid="{B3C6D7F4-807B-42DC-AA05-9D39CD05CA3B}"/>
    <cellStyle name="Comma 4 2 3 2 2 8 4" xfId="11215" xr:uid="{A1D46C5A-99E1-4555-8F49-52F94FE66A64}"/>
    <cellStyle name="Comma 4 2 3 2 2 9" xfId="4611" xr:uid="{00000000-0005-0000-0000-000074080000}"/>
    <cellStyle name="Comma 4 2 3 2 2 9 2" xfId="21483" xr:uid="{68C080F2-4C7C-4232-938A-09435FA046B3}"/>
    <cellStyle name="Comma 4 2 3 2 2 9 3" xfId="13049" xr:uid="{CF5596A2-0C8F-4A31-956C-5F20FEAE3115}"/>
    <cellStyle name="Comma 4 2 3 2 3" xfId="675" xr:uid="{00000000-0005-0000-0000-000075080000}"/>
    <cellStyle name="Comma 4 2 3 2 3 2" xfId="2946" xr:uid="{00000000-0005-0000-0000-000076080000}"/>
    <cellStyle name="Comma 4 2 3 2 3 2 2" xfId="7169" xr:uid="{00000000-0005-0000-0000-000077080000}"/>
    <cellStyle name="Comma 4 2 3 2 3 2 2 2" xfId="24041" xr:uid="{ECF10169-D7FD-4E43-8D5C-CC92D77D600F}"/>
    <cellStyle name="Comma 4 2 3 2 3 2 2 3" xfId="15607" xr:uid="{925C2085-E60C-4F98-9D3A-BDD402C4AA90}"/>
    <cellStyle name="Comma 4 2 3 2 3 2 3" xfId="19824" xr:uid="{8551BEA2-504B-441E-84DC-55DFA0325F19}"/>
    <cellStyle name="Comma 4 2 3 2 3 2 4" xfId="11390" xr:uid="{845D6B2F-B36F-4C09-B4AC-04AC3C4C8714}"/>
    <cellStyle name="Comma 4 2 3 2 3 3" xfId="5024" xr:uid="{00000000-0005-0000-0000-000078080000}"/>
    <cellStyle name="Comma 4 2 3 2 3 3 2" xfId="21896" xr:uid="{83E85AD5-1DC5-478A-99EF-026791F13B58}"/>
    <cellStyle name="Comma 4 2 3 2 3 3 3" xfId="13462" xr:uid="{98D115E6-A3C6-4DDD-89F7-D7333012A25C}"/>
    <cellStyle name="Comma 4 2 3 2 3 4" xfId="17679" xr:uid="{49360413-40A5-4F48-B991-CDE85288152E}"/>
    <cellStyle name="Comma 4 2 3 2 3 5" xfId="9245" xr:uid="{F3569641-AC38-483D-87B3-7FDAF29CED32}"/>
    <cellStyle name="Comma 4 2 3 2 4" xfId="1128" xr:uid="{00000000-0005-0000-0000-000079080000}"/>
    <cellStyle name="Comma 4 2 3 2 4 2" xfId="3359" xr:uid="{00000000-0005-0000-0000-00007A080000}"/>
    <cellStyle name="Comma 4 2 3 2 4 2 2" xfId="7582" xr:uid="{00000000-0005-0000-0000-00007B080000}"/>
    <cellStyle name="Comma 4 2 3 2 4 2 2 2" xfId="24454" xr:uid="{F14622C0-95C2-4006-B654-8976DC60923F}"/>
    <cellStyle name="Comma 4 2 3 2 4 2 2 3" xfId="16020" xr:uid="{66880558-00CA-4961-949C-A63427B1B78E}"/>
    <cellStyle name="Comma 4 2 3 2 4 2 3" xfId="20237" xr:uid="{A544C01A-B4DF-42F1-A478-E73E2A3480A6}"/>
    <cellStyle name="Comma 4 2 3 2 4 2 4" xfId="11803" xr:uid="{83881D64-F8A0-40B4-AA6A-F9D535A755BB}"/>
    <cellStyle name="Comma 4 2 3 2 4 3" xfId="5437" xr:uid="{00000000-0005-0000-0000-00007C080000}"/>
    <cellStyle name="Comma 4 2 3 2 4 3 2" xfId="22309" xr:uid="{5530AC02-F5C1-4FAE-A8B5-96673C7B3A95}"/>
    <cellStyle name="Comma 4 2 3 2 4 3 3" xfId="13875" xr:uid="{A9A77C67-BC72-4740-99C1-5040B662D7BD}"/>
    <cellStyle name="Comma 4 2 3 2 4 4" xfId="18092" xr:uid="{D87F2BBB-3DF3-4F93-9A56-F1009B3599EC}"/>
    <cellStyle name="Comma 4 2 3 2 4 5" xfId="9658" xr:uid="{A7B021E0-39B7-4EFC-85AA-CF178B9B434F}"/>
    <cellStyle name="Comma 4 2 3 2 5" xfId="1542" xr:uid="{00000000-0005-0000-0000-00007D080000}"/>
    <cellStyle name="Comma 4 2 3 2 5 2" xfId="3772" xr:uid="{00000000-0005-0000-0000-00007E080000}"/>
    <cellStyle name="Comma 4 2 3 2 5 2 2" xfId="7995" xr:uid="{00000000-0005-0000-0000-00007F080000}"/>
    <cellStyle name="Comma 4 2 3 2 5 2 2 2" xfId="24867" xr:uid="{0CCD55F0-E08C-4D9A-89DE-01886D8E1330}"/>
    <cellStyle name="Comma 4 2 3 2 5 2 2 3" xfId="16433" xr:uid="{2A0CB7C6-3682-458A-A767-AAD4221AAF9E}"/>
    <cellStyle name="Comma 4 2 3 2 5 2 3" xfId="20650" xr:uid="{2EB5C62A-712A-416A-BBB5-B527565F5CE6}"/>
    <cellStyle name="Comma 4 2 3 2 5 2 4" xfId="12216" xr:uid="{0425E5BF-66F4-4FAD-84A6-6783DA4A49F9}"/>
    <cellStyle name="Comma 4 2 3 2 5 3" xfId="5850" xr:uid="{00000000-0005-0000-0000-000080080000}"/>
    <cellStyle name="Comma 4 2 3 2 5 3 2" xfId="22722" xr:uid="{99076480-76AF-42AE-B7F3-4EA02C4358B8}"/>
    <cellStyle name="Comma 4 2 3 2 5 3 3" xfId="14288" xr:uid="{CD8AC884-5631-4593-BED3-5A436DD9D406}"/>
    <cellStyle name="Comma 4 2 3 2 5 4" xfId="18505" xr:uid="{4882FD39-DA3D-4DFC-958F-2C2B1AAAB6A7}"/>
    <cellStyle name="Comma 4 2 3 2 5 5" xfId="10071" xr:uid="{CFF1A168-E375-4F56-87F0-958F690FFF41}"/>
    <cellStyle name="Comma 4 2 3 2 6" xfId="1956" xr:uid="{00000000-0005-0000-0000-000081080000}"/>
    <cellStyle name="Comma 4 2 3 2 6 2" xfId="4185" xr:uid="{00000000-0005-0000-0000-000082080000}"/>
    <cellStyle name="Comma 4 2 3 2 6 2 2" xfId="8408" xr:uid="{00000000-0005-0000-0000-000083080000}"/>
    <cellStyle name="Comma 4 2 3 2 6 2 2 2" xfId="25280" xr:uid="{0101EDBA-16C9-423E-96A8-44F9B65D0386}"/>
    <cellStyle name="Comma 4 2 3 2 6 2 2 3" xfId="16846" xr:uid="{06691E7A-C71E-4A60-A097-AC86B00546E5}"/>
    <cellStyle name="Comma 4 2 3 2 6 2 3" xfId="21063" xr:uid="{6F5563E9-D4AA-4F19-AAF1-1D2E096E559E}"/>
    <cellStyle name="Comma 4 2 3 2 6 2 4" xfId="12629" xr:uid="{C650872F-137F-422F-BB2E-5E275C4028D5}"/>
    <cellStyle name="Comma 4 2 3 2 6 3" xfId="6263" xr:uid="{00000000-0005-0000-0000-000084080000}"/>
    <cellStyle name="Comma 4 2 3 2 6 3 2" xfId="23135" xr:uid="{B8B9C199-A3F1-4757-A192-2CFFA8DF9963}"/>
    <cellStyle name="Comma 4 2 3 2 6 3 3" xfId="14701" xr:uid="{DEFCDA8D-29F7-4FA4-931C-FF41069AA7EB}"/>
    <cellStyle name="Comma 4 2 3 2 6 4" xfId="18918" xr:uid="{61404F77-2E04-4F04-843B-5F27045C7DA9}"/>
    <cellStyle name="Comma 4 2 3 2 6 5" xfId="10484" xr:uid="{4C1FE396-3675-49E5-AD03-4826692DAB41}"/>
    <cellStyle name="Comma 4 2 3 2 7" xfId="2391" xr:uid="{00000000-0005-0000-0000-000085080000}"/>
    <cellStyle name="Comma 4 2 3 2 7 2" xfId="6676" xr:uid="{00000000-0005-0000-0000-000086080000}"/>
    <cellStyle name="Comma 4 2 3 2 7 2 2" xfId="23548" xr:uid="{5C34B5CC-6992-4E93-A793-B27B4CED00E1}"/>
    <cellStyle name="Comma 4 2 3 2 7 2 3" xfId="15114" xr:uid="{FD83CD77-584B-44B7-BEEE-7B0E86C97EEE}"/>
    <cellStyle name="Comma 4 2 3 2 7 3" xfId="19331" xr:uid="{B7C718D8-E18D-4C57-A878-DF4B351BD0F9}"/>
    <cellStyle name="Comma 4 2 3 2 7 4" xfId="10897" xr:uid="{F09E7D90-1403-4812-9F7F-8A70B0EF1AAD}"/>
    <cellStyle name="Comma 4 2 3 2 8" xfId="2372" xr:uid="{00000000-0005-0000-0000-000087080000}"/>
    <cellStyle name="Comma 4 2 3 2 9" xfId="2769" xr:uid="{00000000-0005-0000-0000-000088080000}"/>
    <cellStyle name="Comma 4 2 3 2 9 2" xfId="6993" xr:uid="{00000000-0005-0000-0000-000089080000}"/>
    <cellStyle name="Comma 4 2 3 2 9 2 2" xfId="23865" xr:uid="{30AE780D-5F2D-4330-8A0E-70834D80A613}"/>
    <cellStyle name="Comma 4 2 3 2 9 2 3" xfId="15431" xr:uid="{0DCCBC5A-D60F-4CDE-9EDF-F52A4618C813}"/>
    <cellStyle name="Comma 4 2 3 2 9 3" xfId="19648" xr:uid="{36B9E747-C3A4-467F-B5A5-E4A7382D9C4A}"/>
    <cellStyle name="Comma 4 2 3 2 9 4" xfId="11214" xr:uid="{46ACC7E5-13C1-4A9A-A133-E94214DB8C77}"/>
    <cellStyle name="Comma 4 2 3 3" xfId="139" xr:uid="{00000000-0005-0000-0000-00008A080000}"/>
    <cellStyle name="Comma 4 2 3 3 10" xfId="17267" xr:uid="{43FBA585-9AF4-415B-9BA3-E7CB244AEA60}"/>
    <cellStyle name="Comma 4 2 3 3 11" xfId="8833" xr:uid="{A868769C-2BA7-4AA1-8511-9C605C84C2CD}"/>
    <cellStyle name="Comma 4 2 3 3 2" xfId="677" xr:uid="{00000000-0005-0000-0000-00008B080000}"/>
    <cellStyle name="Comma 4 2 3 3 2 2" xfId="2948" xr:uid="{00000000-0005-0000-0000-00008C080000}"/>
    <cellStyle name="Comma 4 2 3 3 2 2 2" xfId="7171" xr:uid="{00000000-0005-0000-0000-00008D080000}"/>
    <cellStyle name="Comma 4 2 3 3 2 2 2 2" xfId="24043" xr:uid="{1DA65FA9-2DA9-473F-BB4A-1E5610CCBFE4}"/>
    <cellStyle name="Comma 4 2 3 3 2 2 2 3" xfId="15609" xr:uid="{C808718F-E4B8-43AB-83D1-FAC11682DF00}"/>
    <cellStyle name="Comma 4 2 3 3 2 2 3" xfId="19826" xr:uid="{57C19990-DD83-4A5E-AA7A-7F2CDCC0FDDF}"/>
    <cellStyle name="Comma 4 2 3 3 2 2 4" xfId="11392" xr:uid="{D90BF7AE-4209-4B9D-9660-4565813D7982}"/>
    <cellStyle name="Comma 4 2 3 3 2 3" xfId="5026" xr:uid="{00000000-0005-0000-0000-00008E080000}"/>
    <cellStyle name="Comma 4 2 3 3 2 3 2" xfId="21898" xr:uid="{87208B98-8692-4D30-B5A4-ACB1033B88CD}"/>
    <cellStyle name="Comma 4 2 3 3 2 3 3" xfId="13464" xr:uid="{7398D8E6-7FB7-470E-A934-CE95FC8DD442}"/>
    <cellStyle name="Comma 4 2 3 3 2 4" xfId="17681" xr:uid="{CACC89BA-E486-4E18-9422-03FA15711164}"/>
    <cellStyle name="Comma 4 2 3 3 2 5" xfId="9247" xr:uid="{7A952889-6FFC-4E34-99E4-C03CADBA5BF0}"/>
    <cellStyle name="Comma 4 2 3 3 3" xfId="1130" xr:uid="{00000000-0005-0000-0000-00008F080000}"/>
    <cellStyle name="Comma 4 2 3 3 3 2" xfId="3361" xr:uid="{00000000-0005-0000-0000-000090080000}"/>
    <cellStyle name="Comma 4 2 3 3 3 2 2" xfId="7584" xr:uid="{00000000-0005-0000-0000-000091080000}"/>
    <cellStyle name="Comma 4 2 3 3 3 2 2 2" xfId="24456" xr:uid="{A7C2E099-AA07-4D15-B8C7-5DCEFB8D23F0}"/>
    <cellStyle name="Comma 4 2 3 3 3 2 2 3" xfId="16022" xr:uid="{BFD5C507-C37A-417F-A016-7117B09C1F9D}"/>
    <cellStyle name="Comma 4 2 3 3 3 2 3" xfId="20239" xr:uid="{5943FA41-1ED4-4561-83B6-1069416CAE09}"/>
    <cellStyle name="Comma 4 2 3 3 3 2 4" xfId="11805" xr:uid="{01FF03E8-73D7-498D-883F-D3D00A5C1362}"/>
    <cellStyle name="Comma 4 2 3 3 3 3" xfId="5439" xr:uid="{00000000-0005-0000-0000-000092080000}"/>
    <cellStyle name="Comma 4 2 3 3 3 3 2" xfId="22311" xr:uid="{F958EACB-19AF-4A9C-8965-11EDA6CF7D00}"/>
    <cellStyle name="Comma 4 2 3 3 3 3 3" xfId="13877" xr:uid="{34F82A53-186B-44B3-AB5A-37B734C7714F}"/>
    <cellStyle name="Comma 4 2 3 3 3 4" xfId="18094" xr:uid="{EE9FB22C-7187-408C-9288-85660D2D8570}"/>
    <cellStyle name="Comma 4 2 3 3 3 5" xfId="9660" xr:uid="{31432401-40B5-4C05-B154-9FFF83AF1BFA}"/>
    <cellStyle name="Comma 4 2 3 3 4" xfId="1544" xr:uid="{00000000-0005-0000-0000-000093080000}"/>
    <cellStyle name="Comma 4 2 3 3 4 2" xfId="3774" xr:uid="{00000000-0005-0000-0000-000094080000}"/>
    <cellStyle name="Comma 4 2 3 3 4 2 2" xfId="7997" xr:uid="{00000000-0005-0000-0000-000095080000}"/>
    <cellStyle name="Comma 4 2 3 3 4 2 2 2" xfId="24869" xr:uid="{09CBEBA5-4B81-4B90-873E-836908DEA65E}"/>
    <cellStyle name="Comma 4 2 3 3 4 2 2 3" xfId="16435" xr:uid="{BE8E36AA-1424-4B7B-AF4A-FFE34B55B208}"/>
    <cellStyle name="Comma 4 2 3 3 4 2 3" xfId="20652" xr:uid="{E3B5C701-31F8-4506-835F-1924BB450332}"/>
    <cellStyle name="Comma 4 2 3 3 4 2 4" xfId="12218" xr:uid="{3B1578D0-7EA3-43A8-A8A3-EC80A45498F6}"/>
    <cellStyle name="Comma 4 2 3 3 4 3" xfId="5852" xr:uid="{00000000-0005-0000-0000-000096080000}"/>
    <cellStyle name="Comma 4 2 3 3 4 3 2" xfId="22724" xr:uid="{BC525F3E-469A-4D86-AE58-AFD227AF3E36}"/>
    <cellStyle name="Comma 4 2 3 3 4 3 3" xfId="14290" xr:uid="{0E39E487-7486-4164-BB89-2C88F17BB21D}"/>
    <cellStyle name="Comma 4 2 3 3 4 4" xfId="18507" xr:uid="{FC475CBF-CE18-4E14-8F4D-12DBEF951FC4}"/>
    <cellStyle name="Comma 4 2 3 3 4 5" xfId="10073" xr:uid="{3DF5B303-B9BC-4982-86D4-53A4D099C24E}"/>
    <cellStyle name="Comma 4 2 3 3 5" xfId="1958" xr:uid="{00000000-0005-0000-0000-000097080000}"/>
    <cellStyle name="Comma 4 2 3 3 5 2" xfId="4187" xr:uid="{00000000-0005-0000-0000-000098080000}"/>
    <cellStyle name="Comma 4 2 3 3 5 2 2" xfId="8410" xr:uid="{00000000-0005-0000-0000-000099080000}"/>
    <cellStyle name="Comma 4 2 3 3 5 2 2 2" xfId="25282" xr:uid="{14D22BAF-C3F0-4EE2-ABDE-894F83B4EEAD}"/>
    <cellStyle name="Comma 4 2 3 3 5 2 2 3" xfId="16848" xr:uid="{5F336721-822F-4B36-B3F4-452E2F242A5B}"/>
    <cellStyle name="Comma 4 2 3 3 5 2 3" xfId="21065" xr:uid="{43FED07F-8D12-4C3D-ADEC-CE01ACBE83FC}"/>
    <cellStyle name="Comma 4 2 3 3 5 2 4" xfId="12631" xr:uid="{E48FA2EB-84D6-42DE-80EB-4DE789ABA151}"/>
    <cellStyle name="Comma 4 2 3 3 5 3" xfId="6265" xr:uid="{00000000-0005-0000-0000-00009A080000}"/>
    <cellStyle name="Comma 4 2 3 3 5 3 2" xfId="23137" xr:uid="{40A351B8-B7B8-487C-B3E7-7C0493C5B8A1}"/>
    <cellStyle name="Comma 4 2 3 3 5 3 3" xfId="14703" xr:uid="{E3102DAB-6DE5-4227-9B95-92B2145C7573}"/>
    <cellStyle name="Comma 4 2 3 3 5 4" xfId="18920" xr:uid="{6A055919-89CB-4A3E-AAAF-A3105BFD7ECE}"/>
    <cellStyle name="Comma 4 2 3 3 5 5" xfId="10486" xr:uid="{79A227AE-0CF1-4D78-BC1B-86A38D4A566E}"/>
    <cellStyle name="Comma 4 2 3 3 6" xfId="2393" xr:uid="{00000000-0005-0000-0000-00009B080000}"/>
    <cellStyle name="Comma 4 2 3 3 6 2" xfId="6678" xr:uid="{00000000-0005-0000-0000-00009C080000}"/>
    <cellStyle name="Comma 4 2 3 3 6 2 2" xfId="23550" xr:uid="{D7786E0D-F2C1-48E8-A7E4-65ED6167384C}"/>
    <cellStyle name="Comma 4 2 3 3 6 2 3" xfId="15116" xr:uid="{E65E645C-95A6-48DD-BD21-07AF04FA7E42}"/>
    <cellStyle name="Comma 4 2 3 3 6 3" xfId="19333" xr:uid="{2CDCA501-4527-4AFE-BEDB-AF4F072EF64C}"/>
    <cellStyle name="Comma 4 2 3 3 6 4" xfId="10899" xr:uid="{02F6C2B8-5DE0-4EE9-898D-D321942D8181}"/>
    <cellStyle name="Comma 4 2 3 3 7" xfId="2370" xr:uid="{00000000-0005-0000-0000-00009D080000}"/>
    <cellStyle name="Comma 4 2 3 3 8" xfId="2771" xr:uid="{00000000-0005-0000-0000-00009E080000}"/>
    <cellStyle name="Comma 4 2 3 3 8 2" xfId="6995" xr:uid="{00000000-0005-0000-0000-00009F080000}"/>
    <cellStyle name="Comma 4 2 3 3 8 2 2" xfId="23867" xr:uid="{AFEF0BC9-8F16-475F-ADB4-24D1992F350D}"/>
    <cellStyle name="Comma 4 2 3 3 8 2 3" xfId="15433" xr:uid="{D5B8D87D-4D28-45E4-BD4A-5E884A7F4434}"/>
    <cellStyle name="Comma 4 2 3 3 8 3" xfId="19650" xr:uid="{8DEEE937-2ADA-41D4-90FC-60EF8ECE1065}"/>
    <cellStyle name="Comma 4 2 3 3 8 4" xfId="11216" xr:uid="{EFD6B433-247D-446D-8900-B08AF0FA9CE9}"/>
    <cellStyle name="Comma 4 2 3 3 9" xfId="4612" xr:uid="{00000000-0005-0000-0000-0000A0080000}"/>
    <cellStyle name="Comma 4 2 3 3 9 2" xfId="21484" xr:uid="{391BD631-8304-45FD-AF42-6B379A11779C}"/>
    <cellStyle name="Comma 4 2 3 3 9 3" xfId="13050" xr:uid="{6D3C87CF-2D98-4B15-8317-43D3CFABDAAF}"/>
    <cellStyle name="Comma 4 2 3 4" xfId="674" xr:uid="{00000000-0005-0000-0000-0000A1080000}"/>
    <cellStyle name="Comma 4 2 3 4 2" xfId="2945" xr:uid="{00000000-0005-0000-0000-0000A2080000}"/>
    <cellStyle name="Comma 4 2 3 4 2 2" xfId="7168" xr:uid="{00000000-0005-0000-0000-0000A3080000}"/>
    <cellStyle name="Comma 4 2 3 4 2 2 2" xfId="24040" xr:uid="{AE50E5F0-7A88-4C7B-B109-9F27816E9718}"/>
    <cellStyle name="Comma 4 2 3 4 2 2 3" xfId="15606" xr:uid="{94B22CC0-4301-44FA-BE89-959BA3B6080B}"/>
    <cellStyle name="Comma 4 2 3 4 2 3" xfId="19823" xr:uid="{6B4339BC-927C-4E43-A636-A09C96A4C1C5}"/>
    <cellStyle name="Comma 4 2 3 4 2 4" xfId="11389" xr:uid="{4AC860D1-B2EE-43EB-94A0-D80535482384}"/>
    <cellStyle name="Comma 4 2 3 4 3" xfId="5023" xr:uid="{00000000-0005-0000-0000-0000A4080000}"/>
    <cellStyle name="Comma 4 2 3 4 3 2" xfId="21895" xr:uid="{C9B39A0A-129D-4327-807F-FDB04AAB86EA}"/>
    <cellStyle name="Comma 4 2 3 4 3 3" xfId="13461" xr:uid="{E965050C-6B05-4664-92DB-3CEB228A42B0}"/>
    <cellStyle name="Comma 4 2 3 4 4" xfId="17678" xr:uid="{F0FBFDCD-2D21-46C7-AC2E-C0E642576274}"/>
    <cellStyle name="Comma 4 2 3 4 5" xfId="9244" xr:uid="{670847D2-35E3-4DCD-A5BD-589B390A8438}"/>
    <cellStyle name="Comma 4 2 3 5" xfId="1127" xr:uid="{00000000-0005-0000-0000-0000A5080000}"/>
    <cellStyle name="Comma 4 2 3 5 2" xfId="3358" xr:uid="{00000000-0005-0000-0000-0000A6080000}"/>
    <cellStyle name="Comma 4 2 3 5 2 2" xfId="7581" xr:uid="{00000000-0005-0000-0000-0000A7080000}"/>
    <cellStyle name="Comma 4 2 3 5 2 2 2" xfId="24453" xr:uid="{4272BDEC-8726-4123-B218-063C336848E1}"/>
    <cellStyle name="Comma 4 2 3 5 2 2 3" xfId="16019" xr:uid="{883801BE-41AE-4CFD-A8DD-F3398A0844C5}"/>
    <cellStyle name="Comma 4 2 3 5 2 3" xfId="20236" xr:uid="{8DFAB03F-AF04-4A65-B050-0B47E07A03CA}"/>
    <cellStyle name="Comma 4 2 3 5 2 4" xfId="11802" xr:uid="{C3ED51B6-060A-4428-BBFA-C8E0DD34D09E}"/>
    <cellStyle name="Comma 4 2 3 5 3" xfId="5436" xr:uid="{00000000-0005-0000-0000-0000A8080000}"/>
    <cellStyle name="Comma 4 2 3 5 3 2" xfId="22308" xr:uid="{6ED38046-C784-4086-954D-8CF8FDE3A4F9}"/>
    <cellStyle name="Comma 4 2 3 5 3 3" xfId="13874" xr:uid="{DC18D5CE-3D36-477C-BDDF-55AD850D4BD5}"/>
    <cellStyle name="Comma 4 2 3 5 4" xfId="18091" xr:uid="{07B8A6F6-C784-4633-8FB0-F6291242C6FF}"/>
    <cellStyle name="Comma 4 2 3 5 5" xfId="9657" xr:uid="{8C45CA7F-C5B5-4FEE-BC84-7F6FBD16432F}"/>
    <cellStyle name="Comma 4 2 3 6" xfId="1541" xr:uid="{00000000-0005-0000-0000-0000A9080000}"/>
    <cellStyle name="Comma 4 2 3 6 2" xfId="3771" xr:uid="{00000000-0005-0000-0000-0000AA080000}"/>
    <cellStyle name="Comma 4 2 3 6 2 2" xfId="7994" xr:uid="{00000000-0005-0000-0000-0000AB080000}"/>
    <cellStyle name="Comma 4 2 3 6 2 2 2" xfId="24866" xr:uid="{43789EAD-79D7-49F6-B78E-7E98A1EFE7E8}"/>
    <cellStyle name="Comma 4 2 3 6 2 2 3" xfId="16432" xr:uid="{E8305290-5D4B-467A-808E-E5BAED30C0D6}"/>
    <cellStyle name="Comma 4 2 3 6 2 3" xfId="20649" xr:uid="{B6F14E0D-5FAB-4309-8838-0FF6296907E4}"/>
    <cellStyle name="Comma 4 2 3 6 2 4" xfId="12215" xr:uid="{60063CBA-C8C3-4234-B295-DE59E8BA760B}"/>
    <cellStyle name="Comma 4 2 3 6 3" xfId="5849" xr:uid="{00000000-0005-0000-0000-0000AC080000}"/>
    <cellStyle name="Comma 4 2 3 6 3 2" xfId="22721" xr:uid="{869EB28F-3B96-47B3-AB59-73ABFFCA99DE}"/>
    <cellStyle name="Comma 4 2 3 6 3 3" xfId="14287" xr:uid="{08390BA2-FADD-4512-978E-FAB8071BAFA5}"/>
    <cellStyle name="Comma 4 2 3 6 4" xfId="18504" xr:uid="{90E7C056-5D59-4C3B-AF3A-75BCC0DD6DA3}"/>
    <cellStyle name="Comma 4 2 3 6 5" xfId="10070" xr:uid="{3C15BCBF-1C69-49F0-8A92-2CCDE8803428}"/>
    <cellStyle name="Comma 4 2 3 7" xfId="1955" xr:uid="{00000000-0005-0000-0000-0000AD080000}"/>
    <cellStyle name="Comma 4 2 3 7 2" xfId="4184" xr:uid="{00000000-0005-0000-0000-0000AE080000}"/>
    <cellStyle name="Comma 4 2 3 7 2 2" xfId="8407" xr:uid="{00000000-0005-0000-0000-0000AF080000}"/>
    <cellStyle name="Comma 4 2 3 7 2 2 2" xfId="25279" xr:uid="{B2027EF8-573A-4E48-869A-A480BA673B70}"/>
    <cellStyle name="Comma 4 2 3 7 2 2 3" xfId="16845" xr:uid="{08C83F6B-F9B9-4952-97F5-33BA5FAE9389}"/>
    <cellStyle name="Comma 4 2 3 7 2 3" xfId="21062" xr:uid="{4DE2DC89-476D-48ED-A8DA-0CD5C6D7EB53}"/>
    <cellStyle name="Comma 4 2 3 7 2 4" xfId="12628" xr:uid="{79C58172-93A2-461D-97F9-17A4A2903942}"/>
    <cellStyle name="Comma 4 2 3 7 3" xfId="6262" xr:uid="{00000000-0005-0000-0000-0000B0080000}"/>
    <cellStyle name="Comma 4 2 3 7 3 2" xfId="23134" xr:uid="{C2125B12-7838-4273-9C45-3D2D7C318962}"/>
    <cellStyle name="Comma 4 2 3 7 3 3" xfId="14700" xr:uid="{BE5C41E6-8D54-4079-B08C-6E5249AE7FB8}"/>
    <cellStyle name="Comma 4 2 3 7 4" xfId="18917" xr:uid="{C3E45D4A-6B3A-47F8-A6D2-C07E9591502C}"/>
    <cellStyle name="Comma 4 2 3 7 5" xfId="10483" xr:uid="{5BD129B4-6D74-4704-A4A9-22A5765FEF53}"/>
    <cellStyle name="Comma 4 2 3 8" xfId="2390" xr:uid="{00000000-0005-0000-0000-0000B1080000}"/>
    <cellStyle name="Comma 4 2 3 8 2" xfId="6675" xr:uid="{00000000-0005-0000-0000-0000B2080000}"/>
    <cellStyle name="Comma 4 2 3 8 2 2" xfId="23547" xr:uid="{A84476FA-05DB-492C-8D71-8378264EDD80}"/>
    <cellStyle name="Comma 4 2 3 8 2 3" xfId="15113" xr:uid="{EC3FBB2C-1E26-4016-8F03-79192AC099CE}"/>
    <cellStyle name="Comma 4 2 3 8 3" xfId="19330" xr:uid="{C3C7612C-3E5A-4A89-9D2F-A20CC418E1DE}"/>
    <cellStyle name="Comma 4 2 3 8 4" xfId="10896" xr:uid="{98D21905-9EE2-4405-957A-1D429056E607}"/>
    <cellStyle name="Comma 4 2 3 9" xfId="2373" xr:uid="{00000000-0005-0000-0000-0000B3080000}"/>
    <cellStyle name="Comma 4 2 4" xfId="140" xr:uid="{00000000-0005-0000-0000-0000B4080000}"/>
    <cellStyle name="Comma 4 2 4 10" xfId="4613" xr:uid="{00000000-0005-0000-0000-0000B5080000}"/>
    <cellStyle name="Comma 4 2 4 10 2" xfId="21485" xr:uid="{848239D2-DD73-4CE4-B26D-839D492B3653}"/>
    <cellStyle name="Comma 4 2 4 10 3" xfId="13051" xr:uid="{A7C6B412-50C1-4511-BCFE-8C58C6169E57}"/>
    <cellStyle name="Comma 4 2 4 11" xfId="17268" xr:uid="{B1634F76-8CEF-4E7A-80D4-56561228A742}"/>
    <cellStyle name="Comma 4 2 4 12" xfId="8834" xr:uid="{F692CEA4-148B-4ED5-9C04-9DD98EA67C22}"/>
    <cellStyle name="Comma 4 2 4 2" xfId="141" xr:uid="{00000000-0005-0000-0000-0000B6080000}"/>
    <cellStyle name="Comma 4 2 4 2 10" xfId="17269" xr:uid="{DC42FA35-42C8-496D-A073-A24689F816FB}"/>
    <cellStyle name="Comma 4 2 4 2 11" xfId="8835" xr:uid="{F5E67DF5-F6F5-4F19-B194-F554BC7C17B8}"/>
    <cellStyle name="Comma 4 2 4 2 2" xfId="679" xr:uid="{00000000-0005-0000-0000-0000B7080000}"/>
    <cellStyle name="Comma 4 2 4 2 2 2" xfId="2950" xr:uid="{00000000-0005-0000-0000-0000B8080000}"/>
    <cellStyle name="Comma 4 2 4 2 2 2 2" xfId="7173" xr:uid="{00000000-0005-0000-0000-0000B9080000}"/>
    <cellStyle name="Comma 4 2 4 2 2 2 2 2" xfId="24045" xr:uid="{0B66EE22-406D-4D23-B7C8-7F38B7DF5D43}"/>
    <cellStyle name="Comma 4 2 4 2 2 2 2 3" xfId="15611" xr:uid="{B0B4B16B-D66B-4E1E-A114-67CD435CCE1C}"/>
    <cellStyle name="Comma 4 2 4 2 2 2 3" xfId="19828" xr:uid="{D05B66B9-0275-4150-AD70-4D2535A716B7}"/>
    <cellStyle name="Comma 4 2 4 2 2 2 4" xfId="11394" xr:uid="{FB558DE9-2A02-41D9-BC13-4C45305AFF67}"/>
    <cellStyle name="Comma 4 2 4 2 2 3" xfId="5028" xr:uid="{00000000-0005-0000-0000-0000BA080000}"/>
    <cellStyle name="Comma 4 2 4 2 2 3 2" xfId="21900" xr:uid="{5F436D03-1072-432E-8862-E5D96B2487B0}"/>
    <cellStyle name="Comma 4 2 4 2 2 3 3" xfId="13466" xr:uid="{FDE9FF4A-BD31-4AA3-9157-7BB4D2E44693}"/>
    <cellStyle name="Comma 4 2 4 2 2 4" xfId="17683" xr:uid="{5365D6AC-FDDE-4F00-8308-C6AC93F145FE}"/>
    <cellStyle name="Comma 4 2 4 2 2 5" xfId="9249" xr:uid="{3E816200-5312-42EA-9887-B73E4B23600D}"/>
    <cellStyle name="Comma 4 2 4 2 3" xfId="1132" xr:uid="{00000000-0005-0000-0000-0000BB080000}"/>
    <cellStyle name="Comma 4 2 4 2 3 2" xfId="3363" xr:uid="{00000000-0005-0000-0000-0000BC080000}"/>
    <cellStyle name="Comma 4 2 4 2 3 2 2" xfId="7586" xr:uid="{00000000-0005-0000-0000-0000BD080000}"/>
    <cellStyle name="Comma 4 2 4 2 3 2 2 2" xfId="24458" xr:uid="{EF945C2F-384C-429A-9AEC-E01C48284C81}"/>
    <cellStyle name="Comma 4 2 4 2 3 2 2 3" xfId="16024" xr:uid="{5FF40D7B-35FF-4FF1-BC39-79A06B235095}"/>
    <cellStyle name="Comma 4 2 4 2 3 2 3" xfId="20241" xr:uid="{A66C3A34-37A5-478B-8B91-9C37485FCED5}"/>
    <cellStyle name="Comma 4 2 4 2 3 2 4" xfId="11807" xr:uid="{283BB984-1FF2-445D-9116-85F55BB5960D}"/>
    <cellStyle name="Comma 4 2 4 2 3 3" xfId="5441" xr:uid="{00000000-0005-0000-0000-0000BE080000}"/>
    <cellStyle name="Comma 4 2 4 2 3 3 2" xfId="22313" xr:uid="{23638432-4DF2-48E4-81D1-B09600695464}"/>
    <cellStyle name="Comma 4 2 4 2 3 3 3" xfId="13879" xr:uid="{7DFCEEC8-CB52-4B81-8FB6-EA9E1AE6F94C}"/>
    <cellStyle name="Comma 4 2 4 2 3 4" xfId="18096" xr:uid="{AA4D12E0-2527-4312-B1D9-4307AE1D3FE9}"/>
    <cellStyle name="Comma 4 2 4 2 3 5" xfId="9662" xr:uid="{58561877-CB67-4FF2-AED7-E63D9916E396}"/>
    <cellStyle name="Comma 4 2 4 2 4" xfId="1546" xr:uid="{00000000-0005-0000-0000-0000BF080000}"/>
    <cellStyle name="Comma 4 2 4 2 4 2" xfId="3776" xr:uid="{00000000-0005-0000-0000-0000C0080000}"/>
    <cellStyle name="Comma 4 2 4 2 4 2 2" xfId="7999" xr:uid="{00000000-0005-0000-0000-0000C1080000}"/>
    <cellStyle name="Comma 4 2 4 2 4 2 2 2" xfId="24871" xr:uid="{EB52AF41-52E5-4E6F-A59F-4841783F16D4}"/>
    <cellStyle name="Comma 4 2 4 2 4 2 2 3" xfId="16437" xr:uid="{8224FAB2-362F-42F2-AF08-46F02DD7BA78}"/>
    <cellStyle name="Comma 4 2 4 2 4 2 3" xfId="20654" xr:uid="{84A773F7-17D8-4234-9F3C-0FA1AC738AD3}"/>
    <cellStyle name="Comma 4 2 4 2 4 2 4" xfId="12220" xr:uid="{FCD5E284-8D04-40E5-8D49-840466C5C030}"/>
    <cellStyle name="Comma 4 2 4 2 4 3" xfId="5854" xr:uid="{00000000-0005-0000-0000-0000C2080000}"/>
    <cellStyle name="Comma 4 2 4 2 4 3 2" xfId="22726" xr:uid="{DC63B931-4390-41D2-BCFA-80822ABAF53B}"/>
    <cellStyle name="Comma 4 2 4 2 4 3 3" xfId="14292" xr:uid="{45A3292C-5B0A-4B93-A0DB-6EEC0C999592}"/>
    <cellStyle name="Comma 4 2 4 2 4 4" xfId="18509" xr:uid="{D8C08FBF-C581-4D8C-BE20-0D72C29F709F}"/>
    <cellStyle name="Comma 4 2 4 2 4 5" xfId="10075" xr:uid="{089FF167-8018-46DD-95C8-8D2E46F49547}"/>
    <cellStyle name="Comma 4 2 4 2 5" xfId="1960" xr:uid="{00000000-0005-0000-0000-0000C3080000}"/>
    <cellStyle name="Comma 4 2 4 2 5 2" xfId="4189" xr:uid="{00000000-0005-0000-0000-0000C4080000}"/>
    <cellStyle name="Comma 4 2 4 2 5 2 2" xfId="8412" xr:uid="{00000000-0005-0000-0000-0000C5080000}"/>
    <cellStyle name="Comma 4 2 4 2 5 2 2 2" xfId="25284" xr:uid="{46B4ED8A-4936-42D0-8A34-D0F7758677BB}"/>
    <cellStyle name="Comma 4 2 4 2 5 2 2 3" xfId="16850" xr:uid="{7BDB7E4A-D9EE-4000-ADF6-BD9A5FB6FF0B}"/>
    <cellStyle name="Comma 4 2 4 2 5 2 3" xfId="21067" xr:uid="{870F42C8-18DB-45CE-935A-626754142BEF}"/>
    <cellStyle name="Comma 4 2 4 2 5 2 4" xfId="12633" xr:uid="{3499016E-4F3D-46D1-987F-2656B9C40297}"/>
    <cellStyle name="Comma 4 2 4 2 5 3" xfId="6267" xr:uid="{00000000-0005-0000-0000-0000C6080000}"/>
    <cellStyle name="Comma 4 2 4 2 5 3 2" xfId="23139" xr:uid="{7B137413-1A3C-45B4-B3FF-BC2A8E5B058D}"/>
    <cellStyle name="Comma 4 2 4 2 5 3 3" xfId="14705" xr:uid="{6C3ADA4D-D5C7-4E94-938E-15597D2822FD}"/>
    <cellStyle name="Comma 4 2 4 2 5 4" xfId="18922" xr:uid="{03A70BB8-D130-4408-88E9-7EC8725FD935}"/>
    <cellStyle name="Comma 4 2 4 2 5 5" xfId="10488" xr:uid="{416E5B2D-B798-4277-AF72-4033FE3B83AD}"/>
    <cellStyle name="Comma 4 2 4 2 6" xfId="2395" xr:uid="{00000000-0005-0000-0000-0000C7080000}"/>
    <cellStyle name="Comma 4 2 4 2 6 2" xfId="6680" xr:uid="{00000000-0005-0000-0000-0000C8080000}"/>
    <cellStyle name="Comma 4 2 4 2 6 2 2" xfId="23552" xr:uid="{06611C98-8B00-4C2F-AFFD-5B7FE09D3AB8}"/>
    <cellStyle name="Comma 4 2 4 2 6 2 3" xfId="15118" xr:uid="{4D136334-4F15-4F36-AC3C-A7152B7B575F}"/>
    <cellStyle name="Comma 4 2 4 2 6 3" xfId="19335" xr:uid="{30773926-46E1-45C7-AFD8-2876C215CFE3}"/>
    <cellStyle name="Comma 4 2 4 2 6 4" xfId="10901" xr:uid="{441587F4-960E-4730-97A0-ABF6C3BB19A7}"/>
    <cellStyle name="Comma 4 2 4 2 7" xfId="2368" xr:uid="{00000000-0005-0000-0000-0000C9080000}"/>
    <cellStyle name="Comma 4 2 4 2 8" xfId="2773" xr:uid="{00000000-0005-0000-0000-0000CA080000}"/>
    <cellStyle name="Comma 4 2 4 2 8 2" xfId="6997" xr:uid="{00000000-0005-0000-0000-0000CB080000}"/>
    <cellStyle name="Comma 4 2 4 2 8 2 2" xfId="23869" xr:uid="{76AAB774-ADDE-4150-8B96-E80725F32FC2}"/>
    <cellStyle name="Comma 4 2 4 2 8 2 3" xfId="15435" xr:uid="{426777FA-3597-47ED-8A6F-D9A11E233B98}"/>
    <cellStyle name="Comma 4 2 4 2 8 3" xfId="19652" xr:uid="{9E4C1C7F-FF4E-4768-9A4D-E8A0C8ACD239}"/>
    <cellStyle name="Comma 4 2 4 2 8 4" xfId="11218" xr:uid="{686CDB65-EF90-4B3B-ADCE-0F00820B2CE1}"/>
    <cellStyle name="Comma 4 2 4 2 9" xfId="4614" xr:uid="{00000000-0005-0000-0000-0000CC080000}"/>
    <cellStyle name="Comma 4 2 4 2 9 2" xfId="21486" xr:uid="{3A2AB80C-BF90-44F7-9DAB-C5621F89EBF0}"/>
    <cellStyle name="Comma 4 2 4 2 9 3" xfId="13052" xr:uid="{94C6DC53-FEF8-45CA-BED5-20918D799217}"/>
    <cellStyle name="Comma 4 2 4 3" xfId="678" xr:uid="{00000000-0005-0000-0000-0000CD080000}"/>
    <cellStyle name="Comma 4 2 4 3 2" xfId="2949" xr:uid="{00000000-0005-0000-0000-0000CE080000}"/>
    <cellStyle name="Comma 4 2 4 3 2 2" xfId="7172" xr:uid="{00000000-0005-0000-0000-0000CF080000}"/>
    <cellStyle name="Comma 4 2 4 3 2 2 2" xfId="24044" xr:uid="{2E35DC73-63C1-4427-839C-89ECAEF2580C}"/>
    <cellStyle name="Comma 4 2 4 3 2 2 3" xfId="15610" xr:uid="{E47C05D4-52F3-460A-AB1D-BC21FD4E05D6}"/>
    <cellStyle name="Comma 4 2 4 3 2 3" xfId="19827" xr:uid="{1308B371-7D30-4B83-BA46-5AA0D88D7AFE}"/>
    <cellStyle name="Comma 4 2 4 3 2 4" xfId="11393" xr:uid="{5B880DEC-E081-4C43-8085-BB3174CB5283}"/>
    <cellStyle name="Comma 4 2 4 3 3" xfId="5027" xr:uid="{00000000-0005-0000-0000-0000D0080000}"/>
    <cellStyle name="Comma 4 2 4 3 3 2" xfId="21899" xr:uid="{BE448DB9-33AC-4656-AF6C-147D8126921F}"/>
    <cellStyle name="Comma 4 2 4 3 3 3" xfId="13465" xr:uid="{E55A83AC-EE80-4C4A-86A8-4054A03E1884}"/>
    <cellStyle name="Comma 4 2 4 3 4" xfId="17682" xr:uid="{AC5BECBC-FD04-44B4-B3A8-5851E75D9D24}"/>
    <cellStyle name="Comma 4 2 4 3 5" xfId="9248" xr:uid="{FF7C0336-2B3A-437F-940E-370C4CE29E32}"/>
    <cellStyle name="Comma 4 2 4 4" xfId="1131" xr:uid="{00000000-0005-0000-0000-0000D1080000}"/>
    <cellStyle name="Comma 4 2 4 4 2" xfId="3362" xr:uid="{00000000-0005-0000-0000-0000D2080000}"/>
    <cellStyle name="Comma 4 2 4 4 2 2" xfId="7585" xr:uid="{00000000-0005-0000-0000-0000D3080000}"/>
    <cellStyle name="Comma 4 2 4 4 2 2 2" xfId="24457" xr:uid="{B4959A5A-F9EF-465F-A131-C78CB7AAAB49}"/>
    <cellStyle name="Comma 4 2 4 4 2 2 3" xfId="16023" xr:uid="{1B778F91-27D5-4F69-9642-E98930E9FDA5}"/>
    <cellStyle name="Comma 4 2 4 4 2 3" xfId="20240" xr:uid="{DC0FD4F9-9079-4145-8A43-382A4323AD48}"/>
    <cellStyle name="Comma 4 2 4 4 2 4" xfId="11806" xr:uid="{CCC230A3-F3E9-4B4A-8BCA-A97136A1DF90}"/>
    <cellStyle name="Comma 4 2 4 4 3" xfId="5440" xr:uid="{00000000-0005-0000-0000-0000D4080000}"/>
    <cellStyle name="Comma 4 2 4 4 3 2" xfId="22312" xr:uid="{A458F00A-72E0-4F3B-B5D7-72C4ED5721D2}"/>
    <cellStyle name="Comma 4 2 4 4 3 3" xfId="13878" xr:uid="{86C114D8-99AE-4C41-82CF-ADC1523B6FFC}"/>
    <cellStyle name="Comma 4 2 4 4 4" xfId="18095" xr:uid="{C2B091BB-0FE0-4566-9446-4CEA8A1B0CA3}"/>
    <cellStyle name="Comma 4 2 4 4 5" xfId="9661" xr:uid="{B980CB60-2AAD-452C-A28F-DB15AE4D36A5}"/>
    <cellStyle name="Comma 4 2 4 5" xfId="1545" xr:uid="{00000000-0005-0000-0000-0000D5080000}"/>
    <cellStyle name="Comma 4 2 4 5 2" xfId="3775" xr:uid="{00000000-0005-0000-0000-0000D6080000}"/>
    <cellStyle name="Comma 4 2 4 5 2 2" xfId="7998" xr:uid="{00000000-0005-0000-0000-0000D7080000}"/>
    <cellStyle name="Comma 4 2 4 5 2 2 2" xfId="24870" xr:uid="{5566D7A5-A1F3-443A-B540-2D79EA829451}"/>
    <cellStyle name="Comma 4 2 4 5 2 2 3" xfId="16436" xr:uid="{B25DAA0F-8DA6-46F8-AB37-C6938600B6A3}"/>
    <cellStyle name="Comma 4 2 4 5 2 3" xfId="20653" xr:uid="{2A01CFF6-D20F-4550-9B4D-4C63A22819D9}"/>
    <cellStyle name="Comma 4 2 4 5 2 4" xfId="12219" xr:uid="{8EF250A1-8769-42AD-BED1-5BC9BF9D6AE3}"/>
    <cellStyle name="Comma 4 2 4 5 3" xfId="5853" xr:uid="{00000000-0005-0000-0000-0000D8080000}"/>
    <cellStyle name="Comma 4 2 4 5 3 2" xfId="22725" xr:uid="{15BE873F-29AB-473D-84AA-B28681BFB9CF}"/>
    <cellStyle name="Comma 4 2 4 5 3 3" xfId="14291" xr:uid="{8E8CEBCA-ABD8-4FFC-BC9F-B930DFAF1375}"/>
    <cellStyle name="Comma 4 2 4 5 4" xfId="18508" xr:uid="{D8398FCC-E5C7-4C1F-B10E-FE6DC1A93A0E}"/>
    <cellStyle name="Comma 4 2 4 5 5" xfId="10074" xr:uid="{565FF279-EAB7-4C87-A89A-058D640392AE}"/>
    <cellStyle name="Comma 4 2 4 6" xfId="1959" xr:uid="{00000000-0005-0000-0000-0000D9080000}"/>
    <cellStyle name="Comma 4 2 4 6 2" xfId="4188" xr:uid="{00000000-0005-0000-0000-0000DA080000}"/>
    <cellStyle name="Comma 4 2 4 6 2 2" xfId="8411" xr:uid="{00000000-0005-0000-0000-0000DB080000}"/>
    <cellStyle name="Comma 4 2 4 6 2 2 2" xfId="25283" xr:uid="{6CE00532-C9E7-49EB-98A7-2FDB0DDD9143}"/>
    <cellStyle name="Comma 4 2 4 6 2 2 3" xfId="16849" xr:uid="{5F8500A4-C4C5-4F52-BBD4-B91894484F95}"/>
    <cellStyle name="Comma 4 2 4 6 2 3" xfId="21066" xr:uid="{C978C041-11EA-4F60-98A8-98A7674CD8D8}"/>
    <cellStyle name="Comma 4 2 4 6 2 4" xfId="12632" xr:uid="{EB2C046A-A1FC-47D8-ACA6-0F39B9BF6DE0}"/>
    <cellStyle name="Comma 4 2 4 6 3" xfId="6266" xr:uid="{00000000-0005-0000-0000-0000DC080000}"/>
    <cellStyle name="Comma 4 2 4 6 3 2" xfId="23138" xr:uid="{CF9B7A1E-637C-48EB-BF32-C8B4468E105D}"/>
    <cellStyle name="Comma 4 2 4 6 3 3" xfId="14704" xr:uid="{AF2EF99E-0981-4795-9EE9-85E03E682F84}"/>
    <cellStyle name="Comma 4 2 4 6 4" xfId="18921" xr:uid="{BCFA6ADF-C9E5-42A7-9B48-D74F31B68A1E}"/>
    <cellStyle name="Comma 4 2 4 6 5" xfId="10487" xr:uid="{48C45DE1-C4F4-428B-91A8-6FD035FB476F}"/>
    <cellStyle name="Comma 4 2 4 7" xfId="2394" xr:uid="{00000000-0005-0000-0000-0000DD080000}"/>
    <cellStyle name="Comma 4 2 4 7 2" xfId="6679" xr:uid="{00000000-0005-0000-0000-0000DE080000}"/>
    <cellStyle name="Comma 4 2 4 7 2 2" xfId="23551" xr:uid="{23999E68-F182-4193-A9B5-9AF70AE9FC7E}"/>
    <cellStyle name="Comma 4 2 4 7 2 3" xfId="15117" xr:uid="{9A3CF00B-B5F2-424F-A229-DD9691B46BF7}"/>
    <cellStyle name="Comma 4 2 4 7 3" xfId="19334" xr:uid="{540B54D4-6F2C-4C1D-B7BF-27CE807393C9}"/>
    <cellStyle name="Comma 4 2 4 7 4" xfId="10900" xr:uid="{C84685DC-9714-4250-AE41-716524ECA25D}"/>
    <cellStyle name="Comma 4 2 4 8" xfId="2369" xr:uid="{00000000-0005-0000-0000-0000DF080000}"/>
    <cellStyle name="Comma 4 2 4 9" xfId="2772" xr:uid="{00000000-0005-0000-0000-0000E0080000}"/>
    <cellStyle name="Comma 4 2 4 9 2" xfId="6996" xr:uid="{00000000-0005-0000-0000-0000E1080000}"/>
    <cellStyle name="Comma 4 2 4 9 2 2" xfId="23868" xr:uid="{AC3AF660-0F58-4393-B09B-84CD93B987DE}"/>
    <cellStyle name="Comma 4 2 4 9 2 3" xfId="15434" xr:uid="{FB6ADCDE-DDE9-423B-BE54-805980BEF0FF}"/>
    <cellStyle name="Comma 4 2 4 9 3" xfId="19651" xr:uid="{EFA053A6-8545-4BEE-89C5-909870FCF7E2}"/>
    <cellStyle name="Comma 4 2 4 9 4" xfId="11217" xr:uid="{13937F33-1D6B-4109-8321-28426E4D24C7}"/>
    <cellStyle name="Comma 4 2 5" xfId="142" xr:uid="{00000000-0005-0000-0000-0000E2080000}"/>
    <cellStyle name="Comma 4 2 5 10" xfId="17270" xr:uid="{80262806-7E29-4096-9F5C-986BC239F1D7}"/>
    <cellStyle name="Comma 4 2 5 11" xfId="8836" xr:uid="{FCD99708-6AC7-4D43-83FC-B5B37C9849CF}"/>
    <cellStyle name="Comma 4 2 5 2" xfId="680" xr:uid="{00000000-0005-0000-0000-0000E3080000}"/>
    <cellStyle name="Comma 4 2 5 2 2" xfId="2951" xr:uid="{00000000-0005-0000-0000-0000E4080000}"/>
    <cellStyle name="Comma 4 2 5 2 2 2" xfId="7174" xr:uid="{00000000-0005-0000-0000-0000E5080000}"/>
    <cellStyle name="Comma 4 2 5 2 2 2 2" xfId="24046" xr:uid="{73C4C676-DEB9-4AB2-A515-AEA06A67563C}"/>
    <cellStyle name="Comma 4 2 5 2 2 2 3" xfId="15612" xr:uid="{9249CCDC-EA8F-49C3-90D1-39EE21130707}"/>
    <cellStyle name="Comma 4 2 5 2 2 3" xfId="19829" xr:uid="{63AB4B5C-FAF6-48E9-8A88-15FFD1008983}"/>
    <cellStyle name="Comma 4 2 5 2 2 4" xfId="11395" xr:uid="{0F1BCAD3-FCEE-438B-B391-0768FE00E680}"/>
    <cellStyle name="Comma 4 2 5 2 3" xfId="5029" xr:uid="{00000000-0005-0000-0000-0000E6080000}"/>
    <cellStyle name="Comma 4 2 5 2 3 2" xfId="21901" xr:uid="{F760050B-FEF8-4AB0-AA11-5302D5B469E8}"/>
    <cellStyle name="Comma 4 2 5 2 3 3" xfId="13467" xr:uid="{FA866B50-7260-4071-BBE9-23EFF995FDBF}"/>
    <cellStyle name="Comma 4 2 5 2 4" xfId="17684" xr:uid="{F275CCA0-D910-4796-B1F5-9A8582090857}"/>
    <cellStyle name="Comma 4 2 5 2 5" xfId="9250" xr:uid="{64560B7A-1776-4212-8845-48D5736CE1DD}"/>
    <cellStyle name="Comma 4 2 5 3" xfId="1133" xr:uid="{00000000-0005-0000-0000-0000E7080000}"/>
    <cellStyle name="Comma 4 2 5 3 2" xfId="3364" xr:uid="{00000000-0005-0000-0000-0000E8080000}"/>
    <cellStyle name="Comma 4 2 5 3 2 2" xfId="7587" xr:uid="{00000000-0005-0000-0000-0000E9080000}"/>
    <cellStyle name="Comma 4 2 5 3 2 2 2" xfId="24459" xr:uid="{0D955C53-FF95-4030-BA55-3BC2C52999DF}"/>
    <cellStyle name="Comma 4 2 5 3 2 2 3" xfId="16025" xr:uid="{F7A84079-ED4E-4CD5-9C09-519049C78428}"/>
    <cellStyle name="Comma 4 2 5 3 2 3" xfId="20242" xr:uid="{4F24CFF6-FD72-4C3F-9ADE-CB1632625121}"/>
    <cellStyle name="Comma 4 2 5 3 2 4" xfId="11808" xr:uid="{002EB4AA-4B48-4352-9A7F-6F2F3CE5E9D4}"/>
    <cellStyle name="Comma 4 2 5 3 3" xfId="5442" xr:uid="{00000000-0005-0000-0000-0000EA080000}"/>
    <cellStyle name="Comma 4 2 5 3 3 2" xfId="22314" xr:uid="{66DFA027-688E-4D89-A311-CEF4E47CF6EC}"/>
    <cellStyle name="Comma 4 2 5 3 3 3" xfId="13880" xr:uid="{2E1800A5-558C-48A6-BEE5-82299FC2ECA5}"/>
    <cellStyle name="Comma 4 2 5 3 4" xfId="18097" xr:uid="{649AF5B5-9ADD-4BEB-B28B-C800E495948A}"/>
    <cellStyle name="Comma 4 2 5 3 5" xfId="9663" xr:uid="{AE58A938-847B-4825-BE39-D3759B8345AB}"/>
    <cellStyle name="Comma 4 2 5 4" xfId="1547" xr:uid="{00000000-0005-0000-0000-0000EB080000}"/>
    <cellStyle name="Comma 4 2 5 4 2" xfId="3777" xr:uid="{00000000-0005-0000-0000-0000EC080000}"/>
    <cellStyle name="Comma 4 2 5 4 2 2" xfId="8000" xr:uid="{00000000-0005-0000-0000-0000ED080000}"/>
    <cellStyle name="Comma 4 2 5 4 2 2 2" xfId="24872" xr:uid="{839F9334-1D12-47B3-A908-72FA5EE79EC7}"/>
    <cellStyle name="Comma 4 2 5 4 2 2 3" xfId="16438" xr:uid="{143FA181-FB1B-41A1-926A-0D9E394A8F1C}"/>
    <cellStyle name="Comma 4 2 5 4 2 3" xfId="20655" xr:uid="{24FEF44D-2E70-498E-9BDC-DAE0FDC34CFE}"/>
    <cellStyle name="Comma 4 2 5 4 2 4" xfId="12221" xr:uid="{B1D590D4-C5DD-4B0C-9E52-2D16145E1CE7}"/>
    <cellStyle name="Comma 4 2 5 4 3" xfId="5855" xr:uid="{00000000-0005-0000-0000-0000EE080000}"/>
    <cellStyle name="Comma 4 2 5 4 3 2" xfId="22727" xr:uid="{E0DC2FE2-C009-47B1-8E8F-E16EC13726D4}"/>
    <cellStyle name="Comma 4 2 5 4 3 3" xfId="14293" xr:uid="{A4E32F86-DBC4-4D84-A93B-3A996F919C8B}"/>
    <cellStyle name="Comma 4 2 5 4 4" xfId="18510" xr:uid="{6AA0CB29-6701-4AB1-8F15-5DE1BF2FA982}"/>
    <cellStyle name="Comma 4 2 5 4 5" xfId="10076" xr:uid="{0C6E300E-74D2-415D-8535-9DBF915743B6}"/>
    <cellStyle name="Comma 4 2 5 5" xfId="1961" xr:uid="{00000000-0005-0000-0000-0000EF080000}"/>
    <cellStyle name="Comma 4 2 5 5 2" xfId="4190" xr:uid="{00000000-0005-0000-0000-0000F0080000}"/>
    <cellStyle name="Comma 4 2 5 5 2 2" xfId="8413" xr:uid="{00000000-0005-0000-0000-0000F1080000}"/>
    <cellStyle name="Comma 4 2 5 5 2 2 2" xfId="25285" xr:uid="{6F3B33E6-AA57-41D4-AB6F-580D937EEBD6}"/>
    <cellStyle name="Comma 4 2 5 5 2 2 3" xfId="16851" xr:uid="{BF237440-9970-4F65-9BB3-94092680F1CB}"/>
    <cellStyle name="Comma 4 2 5 5 2 3" xfId="21068" xr:uid="{377E9CE8-42C9-4491-A79E-74C29EA8BC1C}"/>
    <cellStyle name="Comma 4 2 5 5 2 4" xfId="12634" xr:uid="{A86E3FED-E8A3-4BE4-960D-CEC0FDC22114}"/>
    <cellStyle name="Comma 4 2 5 5 3" xfId="6268" xr:uid="{00000000-0005-0000-0000-0000F2080000}"/>
    <cellStyle name="Comma 4 2 5 5 3 2" xfId="23140" xr:uid="{5A9A9AAA-C03C-4955-88CC-B05A7985FC1B}"/>
    <cellStyle name="Comma 4 2 5 5 3 3" xfId="14706" xr:uid="{93FB966F-76B3-4737-8915-401319B964F5}"/>
    <cellStyle name="Comma 4 2 5 5 4" xfId="18923" xr:uid="{DBC40E70-4920-4E7B-960B-87B90C34DEAF}"/>
    <cellStyle name="Comma 4 2 5 5 5" xfId="10489" xr:uid="{ECE3BDC6-39D5-4D5B-8788-CD4CFA29852C}"/>
    <cellStyle name="Comma 4 2 5 6" xfId="2396" xr:uid="{00000000-0005-0000-0000-0000F3080000}"/>
    <cellStyle name="Comma 4 2 5 6 2" xfId="6681" xr:uid="{00000000-0005-0000-0000-0000F4080000}"/>
    <cellStyle name="Comma 4 2 5 6 2 2" xfId="23553" xr:uid="{F50A127C-D517-4D6E-A4C1-3D5776DA8BFA}"/>
    <cellStyle name="Comma 4 2 5 6 2 3" xfId="15119" xr:uid="{8318DA7C-0ED8-48E7-8D89-888A2A09FCBA}"/>
    <cellStyle name="Comma 4 2 5 6 3" xfId="19336" xr:uid="{D19526DB-CF07-41FF-9791-EE82EFE0E725}"/>
    <cellStyle name="Comma 4 2 5 6 4" xfId="10902" xr:uid="{AC7227D1-0511-4458-8BDE-84EA9AC0CFE9}"/>
    <cellStyle name="Comma 4 2 5 7" xfId="2367" xr:uid="{00000000-0005-0000-0000-0000F5080000}"/>
    <cellStyle name="Comma 4 2 5 8" xfId="2774" xr:uid="{00000000-0005-0000-0000-0000F6080000}"/>
    <cellStyle name="Comma 4 2 5 8 2" xfId="6998" xr:uid="{00000000-0005-0000-0000-0000F7080000}"/>
    <cellStyle name="Comma 4 2 5 8 2 2" xfId="23870" xr:uid="{2290D62B-A514-4282-BCA4-C9CD2F90976B}"/>
    <cellStyle name="Comma 4 2 5 8 2 3" xfId="15436" xr:uid="{D33B122D-133F-4322-B648-6F2DFE52D40A}"/>
    <cellStyle name="Comma 4 2 5 8 3" xfId="19653" xr:uid="{F6FF034E-08CF-4861-897E-44CC70A79B06}"/>
    <cellStyle name="Comma 4 2 5 8 4" xfId="11219" xr:uid="{3E50B374-9D09-4DF6-AC13-C1FA6F428C94}"/>
    <cellStyle name="Comma 4 2 5 9" xfId="4615" xr:uid="{00000000-0005-0000-0000-0000F8080000}"/>
    <cellStyle name="Comma 4 2 5 9 2" xfId="21487" xr:uid="{26790508-4710-4805-BDD9-B68D97AF773E}"/>
    <cellStyle name="Comma 4 2 5 9 3" xfId="13053" xr:uid="{85AB06FF-ED1D-4846-A142-ABE428314FD8}"/>
    <cellStyle name="Comma 4 2 6" xfId="143" xr:uid="{00000000-0005-0000-0000-0000F9080000}"/>
    <cellStyle name="Comma 4 2 6 10" xfId="17271" xr:uid="{EF82743B-ADA5-4587-96B4-2039C1694155}"/>
    <cellStyle name="Comma 4 2 6 11" xfId="8837" xr:uid="{34924A28-8890-4FE4-A604-2C6B7FE678F0}"/>
    <cellStyle name="Comma 4 2 6 2" xfId="681" xr:uid="{00000000-0005-0000-0000-0000FA080000}"/>
    <cellStyle name="Comma 4 2 6 2 2" xfId="2952" xr:uid="{00000000-0005-0000-0000-0000FB080000}"/>
    <cellStyle name="Comma 4 2 6 2 2 2" xfId="7175" xr:uid="{00000000-0005-0000-0000-0000FC080000}"/>
    <cellStyle name="Comma 4 2 6 2 2 2 2" xfId="24047" xr:uid="{976FCA97-7796-4761-9C81-5FEBF614A4CE}"/>
    <cellStyle name="Comma 4 2 6 2 2 2 3" xfId="15613" xr:uid="{1DA815BD-3BB5-42B8-A17E-C76D126FAEA8}"/>
    <cellStyle name="Comma 4 2 6 2 2 3" xfId="19830" xr:uid="{D3247442-865D-447A-8078-430D0EA11FAC}"/>
    <cellStyle name="Comma 4 2 6 2 2 4" xfId="11396" xr:uid="{6EA3D957-48A0-452B-A6CA-833C3A2D8045}"/>
    <cellStyle name="Comma 4 2 6 2 3" xfId="5030" xr:uid="{00000000-0005-0000-0000-0000FD080000}"/>
    <cellStyle name="Comma 4 2 6 2 3 2" xfId="21902" xr:uid="{BD8C921A-7B8E-4B95-AB18-5467EB0C9A94}"/>
    <cellStyle name="Comma 4 2 6 2 3 3" xfId="13468" xr:uid="{7EF7245E-7372-4033-A058-30DCA84A79E3}"/>
    <cellStyle name="Comma 4 2 6 2 4" xfId="17685" xr:uid="{98C987D9-16C4-4E5B-BDC2-46708937D465}"/>
    <cellStyle name="Comma 4 2 6 2 5" xfId="9251" xr:uid="{85E69A03-80C6-4A95-84FD-F53ED7AFCE8F}"/>
    <cellStyle name="Comma 4 2 6 3" xfId="1134" xr:uid="{00000000-0005-0000-0000-0000FE080000}"/>
    <cellStyle name="Comma 4 2 6 3 2" xfId="3365" xr:uid="{00000000-0005-0000-0000-0000FF080000}"/>
    <cellStyle name="Comma 4 2 6 3 2 2" xfId="7588" xr:uid="{00000000-0005-0000-0000-000000090000}"/>
    <cellStyle name="Comma 4 2 6 3 2 2 2" xfId="24460" xr:uid="{DDA290C5-555E-4439-9E21-F3FBCA15B492}"/>
    <cellStyle name="Comma 4 2 6 3 2 2 3" xfId="16026" xr:uid="{B8E187DE-F205-4F54-B425-C1B5216C48E4}"/>
    <cellStyle name="Comma 4 2 6 3 2 3" xfId="20243" xr:uid="{C59B7EAA-B5BB-4F25-ACE1-384D4E7386DF}"/>
    <cellStyle name="Comma 4 2 6 3 2 4" xfId="11809" xr:uid="{89919451-96F3-4B12-9541-B8A9826ECFF5}"/>
    <cellStyle name="Comma 4 2 6 3 3" xfId="5443" xr:uid="{00000000-0005-0000-0000-000001090000}"/>
    <cellStyle name="Comma 4 2 6 3 3 2" xfId="22315" xr:uid="{4C736914-E85F-4C15-9578-8EA414AB564C}"/>
    <cellStyle name="Comma 4 2 6 3 3 3" xfId="13881" xr:uid="{8D9DD8B9-5031-41E0-A633-0101B4559D94}"/>
    <cellStyle name="Comma 4 2 6 3 4" xfId="18098" xr:uid="{8FDD7A55-8598-4C27-956B-D456D5F313BF}"/>
    <cellStyle name="Comma 4 2 6 3 5" xfId="9664" xr:uid="{3AAF9BC4-0299-457F-A888-11CBF472092C}"/>
    <cellStyle name="Comma 4 2 6 4" xfId="1548" xr:uid="{00000000-0005-0000-0000-000002090000}"/>
    <cellStyle name="Comma 4 2 6 4 2" xfId="3778" xr:uid="{00000000-0005-0000-0000-000003090000}"/>
    <cellStyle name="Comma 4 2 6 4 2 2" xfId="8001" xr:uid="{00000000-0005-0000-0000-000004090000}"/>
    <cellStyle name="Comma 4 2 6 4 2 2 2" xfId="24873" xr:uid="{AAE39149-8995-4B98-AABF-ADD0D06D4513}"/>
    <cellStyle name="Comma 4 2 6 4 2 2 3" xfId="16439" xr:uid="{7232BC89-B03F-41D6-BC6F-F614B3B857DA}"/>
    <cellStyle name="Comma 4 2 6 4 2 3" xfId="20656" xr:uid="{9960B0B6-ECF8-417C-AF49-71DA47A628FC}"/>
    <cellStyle name="Comma 4 2 6 4 2 4" xfId="12222" xr:uid="{9703297C-CF71-422D-A094-C3EE2C5C98D6}"/>
    <cellStyle name="Comma 4 2 6 4 3" xfId="5856" xr:uid="{00000000-0005-0000-0000-000005090000}"/>
    <cellStyle name="Comma 4 2 6 4 3 2" xfId="22728" xr:uid="{B3DEFD5D-38D6-4E51-B793-910222FA1187}"/>
    <cellStyle name="Comma 4 2 6 4 3 3" xfId="14294" xr:uid="{1F42DE9A-3473-4ABC-9703-5BC4688FC895}"/>
    <cellStyle name="Comma 4 2 6 4 4" xfId="18511" xr:uid="{36FB387F-24E0-4A9C-BCBA-BCCE95BC47FF}"/>
    <cellStyle name="Comma 4 2 6 4 5" xfId="10077" xr:uid="{68BD9362-671C-4F2B-AE1A-0F9BE22969AB}"/>
    <cellStyle name="Comma 4 2 6 5" xfId="1962" xr:uid="{00000000-0005-0000-0000-000006090000}"/>
    <cellStyle name="Comma 4 2 6 5 2" xfId="4191" xr:uid="{00000000-0005-0000-0000-000007090000}"/>
    <cellStyle name="Comma 4 2 6 5 2 2" xfId="8414" xr:uid="{00000000-0005-0000-0000-000008090000}"/>
    <cellStyle name="Comma 4 2 6 5 2 2 2" xfId="25286" xr:uid="{2E1BA6DD-7489-4729-9E99-5B18A87F9D4E}"/>
    <cellStyle name="Comma 4 2 6 5 2 2 3" xfId="16852" xr:uid="{6773745C-BDF5-46A9-B88F-F939E8AC44F6}"/>
    <cellStyle name="Comma 4 2 6 5 2 3" xfId="21069" xr:uid="{E5BACB46-F4CB-4FC0-85A6-1BD95434498C}"/>
    <cellStyle name="Comma 4 2 6 5 2 4" xfId="12635" xr:uid="{5899B6BD-CBB0-4DF1-A362-5F3ABA2942A3}"/>
    <cellStyle name="Comma 4 2 6 5 3" xfId="6269" xr:uid="{00000000-0005-0000-0000-000009090000}"/>
    <cellStyle name="Comma 4 2 6 5 3 2" xfId="23141" xr:uid="{61204668-18F6-422B-AB86-E3CBDFD93506}"/>
    <cellStyle name="Comma 4 2 6 5 3 3" xfId="14707" xr:uid="{51C4456B-C196-4A09-B1B4-784312B70B53}"/>
    <cellStyle name="Comma 4 2 6 5 4" xfId="18924" xr:uid="{8BCC4F97-6E2E-4AB8-B730-BB416782A3FD}"/>
    <cellStyle name="Comma 4 2 6 5 5" xfId="10490" xr:uid="{AAD950BF-910D-48BF-B18D-0C7B42C835A6}"/>
    <cellStyle name="Comma 4 2 6 6" xfId="2397" xr:uid="{00000000-0005-0000-0000-00000A090000}"/>
    <cellStyle name="Comma 4 2 6 6 2" xfId="6682" xr:uid="{00000000-0005-0000-0000-00000B090000}"/>
    <cellStyle name="Comma 4 2 6 6 2 2" xfId="23554" xr:uid="{124BCFDB-4477-40FC-90D6-087713F4F914}"/>
    <cellStyle name="Comma 4 2 6 6 2 3" xfId="15120" xr:uid="{1ED2719C-903A-484B-8DF1-5A027CCFD19D}"/>
    <cellStyle name="Comma 4 2 6 6 3" xfId="19337" xr:uid="{2A6BED43-2AD2-47DE-9852-340287FF1A84}"/>
    <cellStyle name="Comma 4 2 6 6 4" xfId="10903" xr:uid="{DECE6D98-82A8-49B6-99A2-A3F2C2C4D486}"/>
    <cellStyle name="Comma 4 2 6 7" xfId="2366" xr:uid="{00000000-0005-0000-0000-00000C090000}"/>
    <cellStyle name="Comma 4 2 6 8" xfId="2775" xr:uid="{00000000-0005-0000-0000-00000D090000}"/>
    <cellStyle name="Comma 4 2 6 8 2" xfId="6999" xr:uid="{00000000-0005-0000-0000-00000E090000}"/>
    <cellStyle name="Comma 4 2 6 8 2 2" xfId="23871" xr:uid="{C82D4ACB-0D34-4390-BFBC-BD5B33A8EEE7}"/>
    <cellStyle name="Comma 4 2 6 8 2 3" xfId="15437" xr:uid="{F447AA9F-04CD-4BBF-B9DD-47B8C488028D}"/>
    <cellStyle name="Comma 4 2 6 8 3" xfId="19654" xr:uid="{338C61DB-BAB2-4CDB-ADCD-3E0A83138819}"/>
    <cellStyle name="Comma 4 2 6 8 4" xfId="11220" xr:uid="{239147FE-790D-4139-AC6E-DB56BA0E2C42}"/>
    <cellStyle name="Comma 4 2 6 9" xfId="4616" xr:uid="{00000000-0005-0000-0000-00000F090000}"/>
    <cellStyle name="Comma 4 2 6 9 2" xfId="21488" xr:uid="{A613871F-4A0F-4C9B-9BE1-AE5B03D65C06}"/>
    <cellStyle name="Comma 4 2 6 9 3" xfId="13054" xr:uid="{B8CE8792-D6AA-4984-A961-00D6FF21B24F}"/>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23872" xr:uid="{2574DFBD-15F1-4BE6-B812-050CFA34363E}"/>
    <cellStyle name="Comma 4 3 2 10 2 3" xfId="15438" xr:uid="{482AFEC8-F583-42A3-AF5E-3AA85A3E4CAE}"/>
    <cellStyle name="Comma 4 3 2 10 3" xfId="19655" xr:uid="{6D5B2DB1-969E-4DBA-B770-993E78F0CF70}"/>
    <cellStyle name="Comma 4 3 2 10 4" xfId="11221" xr:uid="{4B8A6ED2-CF05-49FB-98FA-E8F91D40FC41}"/>
    <cellStyle name="Comma 4 3 2 11" xfId="4617" xr:uid="{00000000-0005-0000-0000-000014090000}"/>
    <cellStyle name="Comma 4 3 2 11 2" xfId="21489" xr:uid="{7CF2B251-8F75-4CF1-85F7-9BFA6B9AE6B6}"/>
    <cellStyle name="Comma 4 3 2 11 3" xfId="13055" xr:uid="{F911AC65-7BA9-44E8-811C-922DE35D85C2}"/>
    <cellStyle name="Comma 4 3 2 12" xfId="17272" xr:uid="{BD36B9F8-AC3C-4F2F-9AA2-60F80C79079F}"/>
    <cellStyle name="Comma 4 3 2 13" xfId="8838" xr:uid="{F89C34C5-7D17-41BE-96C3-E54489CE9DAD}"/>
    <cellStyle name="Comma 4 3 2 2" xfId="146" xr:uid="{00000000-0005-0000-0000-000015090000}"/>
    <cellStyle name="Comma 4 3 2 2 10" xfId="4618" xr:uid="{00000000-0005-0000-0000-000016090000}"/>
    <cellStyle name="Comma 4 3 2 2 10 2" xfId="21490" xr:uid="{DF18E33C-2286-4DBA-8350-996E3A1D72B8}"/>
    <cellStyle name="Comma 4 3 2 2 10 3" xfId="13056" xr:uid="{EA5953FE-9E66-47DB-BCC4-640F8C0A7750}"/>
    <cellStyle name="Comma 4 3 2 2 11" xfId="17273" xr:uid="{8D31C077-4F88-4364-95D8-331D2074583E}"/>
    <cellStyle name="Comma 4 3 2 2 12" xfId="8839" xr:uid="{F0CF01E5-03A0-4FAB-BB74-BAA9F64AAD53}"/>
    <cellStyle name="Comma 4 3 2 2 2" xfId="147" xr:uid="{00000000-0005-0000-0000-000017090000}"/>
    <cellStyle name="Comma 4 3 2 2 2 10" xfId="17274" xr:uid="{3D6F99F3-A49E-4867-AC59-226105182DBE}"/>
    <cellStyle name="Comma 4 3 2 2 2 11" xfId="8840" xr:uid="{8FD3FB10-7B11-47C3-8FB4-3284AAB896AC}"/>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24050" xr:uid="{BE6A0C62-96D0-4900-A361-4C6AC26264BA}"/>
    <cellStyle name="Comma 4 3 2 2 2 2 2 2 3" xfId="15616" xr:uid="{6B9EB81B-5BCC-4E1C-85ED-6484AB9B9C09}"/>
    <cellStyle name="Comma 4 3 2 2 2 2 2 3" xfId="19833" xr:uid="{FE042414-2E96-4052-ADD3-62FF81D309D4}"/>
    <cellStyle name="Comma 4 3 2 2 2 2 2 4" xfId="11399" xr:uid="{89F23C8D-CDDE-4FB3-9CB8-8D205EBDC537}"/>
    <cellStyle name="Comma 4 3 2 2 2 2 3" xfId="5033" xr:uid="{00000000-0005-0000-0000-00001B090000}"/>
    <cellStyle name="Comma 4 3 2 2 2 2 3 2" xfId="21905" xr:uid="{807A5944-C907-43B8-B019-F0ADCDAAE076}"/>
    <cellStyle name="Comma 4 3 2 2 2 2 3 3" xfId="13471" xr:uid="{78F4691B-6C46-4913-BBCB-A2184628F94D}"/>
    <cellStyle name="Comma 4 3 2 2 2 2 4" xfId="17688" xr:uid="{A5164F93-35A5-46D3-8752-2F22E5E69EB4}"/>
    <cellStyle name="Comma 4 3 2 2 2 2 5" xfId="9254" xr:uid="{5DD6CF62-D46E-4311-821B-8AD9861D57FB}"/>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24463" xr:uid="{8F2ED41D-2E3A-4D00-9070-01D30866C266}"/>
    <cellStyle name="Comma 4 3 2 2 2 3 2 2 3" xfId="16029" xr:uid="{BD3F5571-7642-481B-BCD8-AF3C23F26F41}"/>
    <cellStyle name="Comma 4 3 2 2 2 3 2 3" xfId="20246" xr:uid="{1AA1A8BB-BE63-456B-BA18-9583C4C37633}"/>
    <cellStyle name="Comma 4 3 2 2 2 3 2 4" xfId="11812" xr:uid="{53C9C40D-1A87-4698-AAED-3D4866B03429}"/>
    <cellStyle name="Comma 4 3 2 2 2 3 3" xfId="5446" xr:uid="{00000000-0005-0000-0000-00001F090000}"/>
    <cellStyle name="Comma 4 3 2 2 2 3 3 2" xfId="22318" xr:uid="{C31A396F-A3E8-44C4-BB0B-88042EAFA562}"/>
    <cellStyle name="Comma 4 3 2 2 2 3 3 3" xfId="13884" xr:uid="{040E22D5-7020-40B4-B4D9-518CB5A793BC}"/>
    <cellStyle name="Comma 4 3 2 2 2 3 4" xfId="18101" xr:uid="{54D61C68-AA1C-4211-8912-8D3156061120}"/>
    <cellStyle name="Comma 4 3 2 2 2 3 5" xfId="9667" xr:uid="{73D7D928-4F8C-4920-8AAD-BDEAB1BDE56D}"/>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24876" xr:uid="{3D99A9B4-024D-4D8F-ABDF-E16D7FDFBD22}"/>
    <cellStyle name="Comma 4 3 2 2 2 4 2 2 3" xfId="16442" xr:uid="{FED091CB-1D64-4EAD-B9CD-F355A02D9B3E}"/>
    <cellStyle name="Comma 4 3 2 2 2 4 2 3" xfId="20659" xr:uid="{D45A2D99-3B76-4149-A335-5EF95C21C47F}"/>
    <cellStyle name="Comma 4 3 2 2 2 4 2 4" xfId="12225" xr:uid="{2D1DFA84-62B9-4453-ACB8-75EC399FE18A}"/>
    <cellStyle name="Comma 4 3 2 2 2 4 3" xfId="5859" xr:uid="{00000000-0005-0000-0000-000023090000}"/>
    <cellStyle name="Comma 4 3 2 2 2 4 3 2" xfId="22731" xr:uid="{CB29E3CD-0410-49CC-BB8F-1EB7760043B8}"/>
    <cellStyle name="Comma 4 3 2 2 2 4 3 3" xfId="14297" xr:uid="{2CA152EF-0684-4F6F-8729-F75A43ED1AA6}"/>
    <cellStyle name="Comma 4 3 2 2 2 4 4" xfId="18514" xr:uid="{5D05F45C-4728-4BC4-8883-6764BA038FC9}"/>
    <cellStyle name="Comma 4 3 2 2 2 4 5" xfId="10080" xr:uid="{8402776E-9D6F-4ECE-B86C-DF669E0ABE4C}"/>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25289" xr:uid="{4C85647D-53B5-4EC5-AF3D-ED59EBC1BA98}"/>
    <cellStyle name="Comma 4 3 2 2 2 5 2 2 3" xfId="16855" xr:uid="{09CC7A16-B119-49B7-8DCF-997452B4248C}"/>
    <cellStyle name="Comma 4 3 2 2 2 5 2 3" xfId="21072" xr:uid="{94AB7834-67BD-46EA-B34F-DFADBE8EC99D}"/>
    <cellStyle name="Comma 4 3 2 2 2 5 2 4" xfId="12638" xr:uid="{9F867AB6-7AEF-4AC4-97F4-0EEFD7AE2528}"/>
    <cellStyle name="Comma 4 3 2 2 2 5 3" xfId="6272" xr:uid="{00000000-0005-0000-0000-000027090000}"/>
    <cellStyle name="Comma 4 3 2 2 2 5 3 2" xfId="23144" xr:uid="{2CC54551-D85E-4875-B141-638B50CBE4A1}"/>
    <cellStyle name="Comma 4 3 2 2 2 5 3 3" xfId="14710" xr:uid="{F9221204-EE24-49BE-AD29-03532433F892}"/>
    <cellStyle name="Comma 4 3 2 2 2 5 4" xfId="18927" xr:uid="{DA77DF55-F2F7-4005-AB4A-13C52748D6D0}"/>
    <cellStyle name="Comma 4 3 2 2 2 5 5" xfId="10493" xr:uid="{1DD939DB-8BB6-4968-885A-BF78AAC016EB}"/>
    <cellStyle name="Comma 4 3 2 2 2 6" xfId="2400" xr:uid="{00000000-0005-0000-0000-000028090000}"/>
    <cellStyle name="Comma 4 3 2 2 2 6 2" xfId="6685" xr:uid="{00000000-0005-0000-0000-000029090000}"/>
    <cellStyle name="Comma 4 3 2 2 2 6 2 2" xfId="23557" xr:uid="{A3F8F064-B43B-47D9-B86B-1752F841EB01}"/>
    <cellStyle name="Comma 4 3 2 2 2 6 2 3" xfId="15123" xr:uid="{0CE5D3A4-8486-4985-A153-B7F0A0046F95}"/>
    <cellStyle name="Comma 4 3 2 2 2 6 3" xfId="19340" xr:uid="{60DD5CA2-B417-4661-B34E-F7C86904B819}"/>
    <cellStyle name="Comma 4 3 2 2 2 6 4" xfId="10906" xr:uid="{F9A7A7D6-DAE2-4C3B-969E-98C652FCA0CE}"/>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23874" xr:uid="{59538D8E-1495-4CE9-808F-22A336C21A32}"/>
    <cellStyle name="Comma 4 3 2 2 2 8 2 3" xfId="15440" xr:uid="{6C065DFF-DA9C-43B2-8866-E2E543EB8A3A}"/>
    <cellStyle name="Comma 4 3 2 2 2 8 3" xfId="19657" xr:uid="{6382938B-401C-41B4-A6FF-5491BEFB3F78}"/>
    <cellStyle name="Comma 4 3 2 2 2 8 4" xfId="11223" xr:uid="{2072A7F2-52E2-40C6-8031-30FE1BD95986}"/>
    <cellStyle name="Comma 4 3 2 2 2 9" xfId="4619" xr:uid="{00000000-0005-0000-0000-00002D090000}"/>
    <cellStyle name="Comma 4 3 2 2 2 9 2" xfId="21491" xr:uid="{A71B542E-E421-402C-9EA7-7D948F53C170}"/>
    <cellStyle name="Comma 4 3 2 2 2 9 3" xfId="13057" xr:uid="{017B876E-CBEF-4A3B-A0BB-44FC17D9BA7B}"/>
    <cellStyle name="Comma 4 3 2 2 3" xfId="683" xr:uid="{00000000-0005-0000-0000-00002E090000}"/>
    <cellStyle name="Comma 4 3 2 2 3 2" xfId="2954" xr:uid="{00000000-0005-0000-0000-00002F090000}"/>
    <cellStyle name="Comma 4 3 2 2 3 2 2" xfId="7177" xr:uid="{00000000-0005-0000-0000-000030090000}"/>
    <cellStyle name="Comma 4 3 2 2 3 2 2 2" xfId="24049" xr:uid="{597F4551-0792-41D6-97CD-D3609E436A55}"/>
    <cellStyle name="Comma 4 3 2 2 3 2 2 3" xfId="15615" xr:uid="{CABED17C-4177-4FCE-81C3-B46498D66E85}"/>
    <cellStyle name="Comma 4 3 2 2 3 2 3" xfId="19832" xr:uid="{1A7451A6-66BE-4026-A73A-94F1DBF6B6A6}"/>
    <cellStyle name="Comma 4 3 2 2 3 2 4" xfId="11398" xr:uid="{592897A6-EAE4-44B6-A8F2-A062BB535A81}"/>
    <cellStyle name="Comma 4 3 2 2 3 3" xfId="5032" xr:uid="{00000000-0005-0000-0000-000031090000}"/>
    <cellStyle name="Comma 4 3 2 2 3 3 2" xfId="21904" xr:uid="{B34CF3D9-841B-4556-A98E-C754B2F6372A}"/>
    <cellStyle name="Comma 4 3 2 2 3 3 3" xfId="13470" xr:uid="{EE9EBCDA-4B4C-4CCB-ADB8-3F6A1AF3986D}"/>
    <cellStyle name="Comma 4 3 2 2 3 4" xfId="17687" xr:uid="{189CA527-BF12-433E-98C9-BF4CB631735D}"/>
    <cellStyle name="Comma 4 3 2 2 3 5" xfId="9253" xr:uid="{E60574B6-20AB-4D9A-8943-1F6867D20417}"/>
    <cellStyle name="Comma 4 3 2 2 4" xfId="1136" xr:uid="{00000000-0005-0000-0000-000032090000}"/>
    <cellStyle name="Comma 4 3 2 2 4 2" xfId="3367" xr:uid="{00000000-0005-0000-0000-000033090000}"/>
    <cellStyle name="Comma 4 3 2 2 4 2 2" xfId="7590" xr:uid="{00000000-0005-0000-0000-000034090000}"/>
    <cellStyle name="Comma 4 3 2 2 4 2 2 2" xfId="24462" xr:uid="{A51FED76-5655-4905-B1FA-BD08ADF604A0}"/>
    <cellStyle name="Comma 4 3 2 2 4 2 2 3" xfId="16028" xr:uid="{1BE2A4EA-033A-47AD-91D4-8C39D26CAAA4}"/>
    <cellStyle name="Comma 4 3 2 2 4 2 3" xfId="20245" xr:uid="{87B729F8-BD35-4301-A5C7-432D47CAC1DD}"/>
    <cellStyle name="Comma 4 3 2 2 4 2 4" xfId="11811" xr:uid="{77B5A9B6-59F7-4CB4-86B3-5F25E4DE8DA7}"/>
    <cellStyle name="Comma 4 3 2 2 4 3" xfId="5445" xr:uid="{00000000-0005-0000-0000-000035090000}"/>
    <cellStyle name="Comma 4 3 2 2 4 3 2" xfId="22317" xr:uid="{6539BDEE-739C-4387-A83A-77F394C270D5}"/>
    <cellStyle name="Comma 4 3 2 2 4 3 3" xfId="13883" xr:uid="{CF8BBAEA-1108-4003-BB40-8A32C36AE81B}"/>
    <cellStyle name="Comma 4 3 2 2 4 4" xfId="18100" xr:uid="{4496D950-82BC-4D85-ACC5-D10C323B3B42}"/>
    <cellStyle name="Comma 4 3 2 2 4 5" xfId="9666" xr:uid="{7A89E012-298F-4CCC-9485-C5FA015BEC35}"/>
    <cellStyle name="Comma 4 3 2 2 5" xfId="1550" xr:uid="{00000000-0005-0000-0000-000036090000}"/>
    <cellStyle name="Comma 4 3 2 2 5 2" xfId="3780" xr:uid="{00000000-0005-0000-0000-000037090000}"/>
    <cellStyle name="Comma 4 3 2 2 5 2 2" xfId="8003" xr:uid="{00000000-0005-0000-0000-000038090000}"/>
    <cellStyle name="Comma 4 3 2 2 5 2 2 2" xfId="24875" xr:uid="{62E71BF1-C3CF-48CB-9CEF-A276A075E4B0}"/>
    <cellStyle name="Comma 4 3 2 2 5 2 2 3" xfId="16441" xr:uid="{D20AA341-B0CC-4456-B1B3-E42BBEB8C70B}"/>
    <cellStyle name="Comma 4 3 2 2 5 2 3" xfId="20658" xr:uid="{E9B73BC4-4347-4426-B5FD-BA95F5A70211}"/>
    <cellStyle name="Comma 4 3 2 2 5 2 4" xfId="12224" xr:uid="{081A5143-B25C-4680-88CD-6674913998A9}"/>
    <cellStyle name="Comma 4 3 2 2 5 3" xfId="5858" xr:uid="{00000000-0005-0000-0000-000039090000}"/>
    <cellStyle name="Comma 4 3 2 2 5 3 2" xfId="22730" xr:uid="{FF110E09-9CCF-43E5-953F-F772ADDE1E62}"/>
    <cellStyle name="Comma 4 3 2 2 5 3 3" xfId="14296" xr:uid="{26E55674-AB22-41DF-828A-652F4909AA9A}"/>
    <cellStyle name="Comma 4 3 2 2 5 4" xfId="18513" xr:uid="{13217C6A-822E-42BB-BC08-440E815BBFD4}"/>
    <cellStyle name="Comma 4 3 2 2 5 5" xfId="10079" xr:uid="{F86B1D2F-948E-4276-A43F-9B56BB23DBF7}"/>
    <cellStyle name="Comma 4 3 2 2 6" xfId="1964" xr:uid="{00000000-0005-0000-0000-00003A090000}"/>
    <cellStyle name="Comma 4 3 2 2 6 2" xfId="4193" xr:uid="{00000000-0005-0000-0000-00003B090000}"/>
    <cellStyle name="Comma 4 3 2 2 6 2 2" xfId="8416" xr:uid="{00000000-0005-0000-0000-00003C090000}"/>
    <cellStyle name="Comma 4 3 2 2 6 2 2 2" xfId="25288" xr:uid="{21ADAAAD-C218-48AC-AD27-B42CE2981F86}"/>
    <cellStyle name="Comma 4 3 2 2 6 2 2 3" xfId="16854" xr:uid="{55D854D5-DE67-4757-AD5E-875EC15E1EF4}"/>
    <cellStyle name="Comma 4 3 2 2 6 2 3" xfId="21071" xr:uid="{F111B10B-90F3-433F-B986-485FE0778E55}"/>
    <cellStyle name="Comma 4 3 2 2 6 2 4" xfId="12637" xr:uid="{DE3D37B6-A5E3-466B-AD84-DAFD336AE936}"/>
    <cellStyle name="Comma 4 3 2 2 6 3" xfId="6271" xr:uid="{00000000-0005-0000-0000-00003D090000}"/>
    <cellStyle name="Comma 4 3 2 2 6 3 2" xfId="23143" xr:uid="{C202CA76-36BA-464D-B57A-5170EEDE5C9C}"/>
    <cellStyle name="Comma 4 3 2 2 6 3 3" xfId="14709" xr:uid="{C25E70FD-91DE-4B7D-BDC6-9B29E3C51A1B}"/>
    <cellStyle name="Comma 4 3 2 2 6 4" xfId="18926" xr:uid="{76002494-F594-468B-9AE7-4E481B2F9EFE}"/>
    <cellStyle name="Comma 4 3 2 2 6 5" xfId="10492" xr:uid="{470087DE-3030-4014-8769-59C5ECAE0C3C}"/>
    <cellStyle name="Comma 4 3 2 2 7" xfId="2399" xr:uid="{00000000-0005-0000-0000-00003E090000}"/>
    <cellStyle name="Comma 4 3 2 2 7 2" xfId="6684" xr:uid="{00000000-0005-0000-0000-00003F090000}"/>
    <cellStyle name="Comma 4 3 2 2 7 2 2" xfId="23556" xr:uid="{771B59B7-C12F-48BF-8CD7-A54CD3184805}"/>
    <cellStyle name="Comma 4 3 2 2 7 2 3" xfId="15122" xr:uid="{BB0BA482-1D72-48F0-89F7-2822B5024B6A}"/>
    <cellStyle name="Comma 4 3 2 2 7 3" xfId="19339" xr:uid="{2AAFE113-D37F-4686-B695-947970DC6629}"/>
    <cellStyle name="Comma 4 3 2 2 7 4" xfId="10905" xr:uid="{692FB6FC-CFFD-48D0-AF6E-EC9BBEAD6638}"/>
    <cellStyle name="Comma 4 3 2 2 8" xfId="2364" xr:uid="{00000000-0005-0000-0000-000040090000}"/>
    <cellStyle name="Comma 4 3 2 2 9" xfId="2777" xr:uid="{00000000-0005-0000-0000-000041090000}"/>
    <cellStyle name="Comma 4 3 2 2 9 2" xfId="7001" xr:uid="{00000000-0005-0000-0000-000042090000}"/>
    <cellStyle name="Comma 4 3 2 2 9 2 2" xfId="23873" xr:uid="{7F3F876C-EF27-49EC-B16B-3D0E8C74A544}"/>
    <cellStyle name="Comma 4 3 2 2 9 2 3" xfId="15439" xr:uid="{1DE35410-4ABB-49F1-BDCF-12E285187BBA}"/>
    <cellStyle name="Comma 4 3 2 2 9 3" xfId="19656" xr:uid="{98D0D860-006C-41C7-9970-274EF846DBDD}"/>
    <cellStyle name="Comma 4 3 2 2 9 4" xfId="11222" xr:uid="{6DDA7BA7-AF4F-4077-B2AC-43DD262C2505}"/>
    <cellStyle name="Comma 4 3 2 3" xfId="148" xr:uid="{00000000-0005-0000-0000-000043090000}"/>
    <cellStyle name="Comma 4 3 2 3 10" xfId="17275" xr:uid="{F93853ED-9613-4328-926F-BC1F9DED4A9A}"/>
    <cellStyle name="Comma 4 3 2 3 11" xfId="8841" xr:uid="{9121AC1B-0983-460D-AB06-9AA91DF324CD}"/>
    <cellStyle name="Comma 4 3 2 3 2" xfId="685" xr:uid="{00000000-0005-0000-0000-000044090000}"/>
    <cellStyle name="Comma 4 3 2 3 2 2" xfId="2956" xr:uid="{00000000-0005-0000-0000-000045090000}"/>
    <cellStyle name="Comma 4 3 2 3 2 2 2" xfId="7179" xr:uid="{00000000-0005-0000-0000-000046090000}"/>
    <cellStyle name="Comma 4 3 2 3 2 2 2 2" xfId="24051" xr:uid="{897A9DFD-4B17-4D64-9859-E48FE9806A9E}"/>
    <cellStyle name="Comma 4 3 2 3 2 2 2 3" xfId="15617" xr:uid="{2326C1B2-D1C6-4006-B098-425BCD304DE1}"/>
    <cellStyle name="Comma 4 3 2 3 2 2 3" xfId="19834" xr:uid="{D4748EDC-C853-4750-B2E1-C87E1EE15D32}"/>
    <cellStyle name="Comma 4 3 2 3 2 2 4" xfId="11400" xr:uid="{FF2F2163-37A8-47DD-A1D8-A005F4B2F468}"/>
    <cellStyle name="Comma 4 3 2 3 2 3" xfId="5034" xr:uid="{00000000-0005-0000-0000-000047090000}"/>
    <cellStyle name="Comma 4 3 2 3 2 3 2" xfId="21906" xr:uid="{0A0B0F52-CCB5-4BFC-BF0B-A70A6FAA6206}"/>
    <cellStyle name="Comma 4 3 2 3 2 3 3" xfId="13472" xr:uid="{18E08F38-7587-464B-B0F7-F894C3C457AE}"/>
    <cellStyle name="Comma 4 3 2 3 2 4" xfId="17689" xr:uid="{17D4CA50-E356-487A-8DEC-7835376679F1}"/>
    <cellStyle name="Comma 4 3 2 3 2 5" xfId="9255" xr:uid="{D81CCBC0-9413-43FD-B7F0-E7436C0522D1}"/>
    <cellStyle name="Comma 4 3 2 3 3" xfId="1138" xr:uid="{00000000-0005-0000-0000-000048090000}"/>
    <cellStyle name="Comma 4 3 2 3 3 2" xfId="3369" xr:uid="{00000000-0005-0000-0000-000049090000}"/>
    <cellStyle name="Comma 4 3 2 3 3 2 2" xfId="7592" xr:uid="{00000000-0005-0000-0000-00004A090000}"/>
    <cellStyle name="Comma 4 3 2 3 3 2 2 2" xfId="24464" xr:uid="{680557AE-16CE-450D-B94A-13EBBB2850CD}"/>
    <cellStyle name="Comma 4 3 2 3 3 2 2 3" xfId="16030" xr:uid="{C0B1E82B-3917-4DCA-B656-836DD3AE81DB}"/>
    <cellStyle name="Comma 4 3 2 3 3 2 3" xfId="20247" xr:uid="{A20C853E-3AC9-44F2-A95D-180DFC27231A}"/>
    <cellStyle name="Comma 4 3 2 3 3 2 4" xfId="11813" xr:uid="{F5A43FE0-0B79-45B0-8917-D095CD9EDD9A}"/>
    <cellStyle name="Comma 4 3 2 3 3 3" xfId="5447" xr:uid="{00000000-0005-0000-0000-00004B090000}"/>
    <cellStyle name="Comma 4 3 2 3 3 3 2" xfId="22319" xr:uid="{B8E6B481-7C1C-4D14-9A99-1368EB2C2FAD}"/>
    <cellStyle name="Comma 4 3 2 3 3 3 3" xfId="13885" xr:uid="{336B3A32-610B-4FC6-B3C7-050886ED97F2}"/>
    <cellStyle name="Comma 4 3 2 3 3 4" xfId="18102" xr:uid="{C4EB2982-F0E4-4F96-BF9C-70CC0BA7F1DF}"/>
    <cellStyle name="Comma 4 3 2 3 3 5" xfId="9668" xr:uid="{55C65B49-EB28-4B5B-9F29-4BFC9288C217}"/>
    <cellStyle name="Comma 4 3 2 3 4" xfId="1552" xr:uid="{00000000-0005-0000-0000-00004C090000}"/>
    <cellStyle name="Comma 4 3 2 3 4 2" xfId="3782" xr:uid="{00000000-0005-0000-0000-00004D090000}"/>
    <cellStyle name="Comma 4 3 2 3 4 2 2" xfId="8005" xr:uid="{00000000-0005-0000-0000-00004E090000}"/>
    <cellStyle name="Comma 4 3 2 3 4 2 2 2" xfId="24877" xr:uid="{137EE048-B3F5-4F2A-8759-2B0A4E58F02C}"/>
    <cellStyle name="Comma 4 3 2 3 4 2 2 3" xfId="16443" xr:uid="{649F882F-4520-40F8-B026-8C8811E1524B}"/>
    <cellStyle name="Comma 4 3 2 3 4 2 3" xfId="20660" xr:uid="{BFBD6194-5F5D-42AA-85A0-267C16B30527}"/>
    <cellStyle name="Comma 4 3 2 3 4 2 4" xfId="12226" xr:uid="{6904394E-2FCB-47EF-A448-16B4E9D370D9}"/>
    <cellStyle name="Comma 4 3 2 3 4 3" xfId="5860" xr:uid="{00000000-0005-0000-0000-00004F090000}"/>
    <cellStyle name="Comma 4 3 2 3 4 3 2" xfId="22732" xr:uid="{6ABFF6D4-7C4A-44D7-86A4-F7220B0EB304}"/>
    <cellStyle name="Comma 4 3 2 3 4 3 3" xfId="14298" xr:uid="{244111C6-4125-4FA1-A5D3-717D2CC74728}"/>
    <cellStyle name="Comma 4 3 2 3 4 4" xfId="18515" xr:uid="{9A2A5CCE-FB3F-40A9-B44A-21103456249F}"/>
    <cellStyle name="Comma 4 3 2 3 4 5" xfId="10081" xr:uid="{A76CED30-A5F0-4D78-A818-8C85A86448EC}"/>
    <cellStyle name="Comma 4 3 2 3 5" xfId="1966" xr:uid="{00000000-0005-0000-0000-000050090000}"/>
    <cellStyle name="Comma 4 3 2 3 5 2" xfId="4195" xr:uid="{00000000-0005-0000-0000-000051090000}"/>
    <cellStyle name="Comma 4 3 2 3 5 2 2" xfId="8418" xr:uid="{00000000-0005-0000-0000-000052090000}"/>
    <cellStyle name="Comma 4 3 2 3 5 2 2 2" xfId="25290" xr:uid="{D1A5F281-A503-4ECE-B87E-DB800F86D9A5}"/>
    <cellStyle name="Comma 4 3 2 3 5 2 2 3" xfId="16856" xr:uid="{C3B5D59F-54CE-4FC1-9CF4-B65484E92A39}"/>
    <cellStyle name="Comma 4 3 2 3 5 2 3" xfId="21073" xr:uid="{F763F47A-B87C-4833-8170-3F4215A30DFA}"/>
    <cellStyle name="Comma 4 3 2 3 5 2 4" xfId="12639" xr:uid="{257178C1-62BD-4F69-B7E7-01939018099C}"/>
    <cellStyle name="Comma 4 3 2 3 5 3" xfId="6273" xr:uid="{00000000-0005-0000-0000-000053090000}"/>
    <cellStyle name="Comma 4 3 2 3 5 3 2" xfId="23145" xr:uid="{A9DDDC38-EB5C-4B0A-B150-565E8DE3FD2D}"/>
    <cellStyle name="Comma 4 3 2 3 5 3 3" xfId="14711" xr:uid="{95C7D193-E362-4D25-95F4-1105F911B819}"/>
    <cellStyle name="Comma 4 3 2 3 5 4" xfId="18928" xr:uid="{381597BB-4C81-41A8-9C91-B7F6CD3BC4B8}"/>
    <cellStyle name="Comma 4 3 2 3 5 5" xfId="10494" xr:uid="{66E50BE2-E5AF-403A-935D-28E2C4D99D92}"/>
    <cellStyle name="Comma 4 3 2 3 6" xfId="2401" xr:uid="{00000000-0005-0000-0000-000054090000}"/>
    <cellStyle name="Comma 4 3 2 3 6 2" xfId="6686" xr:uid="{00000000-0005-0000-0000-000055090000}"/>
    <cellStyle name="Comma 4 3 2 3 6 2 2" xfId="23558" xr:uid="{4F5D2AB6-5D05-4D4B-9043-35161C1E6FFD}"/>
    <cellStyle name="Comma 4 3 2 3 6 2 3" xfId="15124" xr:uid="{EF83A5AC-1535-498C-BB77-38F02A1A58A3}"/>
    <cellStyle name="Comma 4 3 2 3 6 3" xfId="19341" xr:uid="{DEE9C2B3-09F3-4EF0-B5EA-66CB958225F7}"/>
    <cellStyle name="Comma 4 3 2 3 6 4" xfId="10907" xr:uid="{65328EEC-3863-463F-B8D3-01D749E0E079}"/>
    <cellStyle name="Comma 4 3 2 3 7" xfId="2362" xr:uid="{00000000-0005-0000-0000-000056090000}"/>
    <cellStyle name="Comma 4 3 2 3 8" xfId="2779" xr:uid="{00000000-0005-0000-0000-000057090000}"/>
    <cellStyle name="Comma 4 3 2 3 8 2" xfId="7003" xr:uid="{00000000-0005-0000-0000-000058090000}"/>
    <cellStyle name="Comma 4 3 2 3 8 2 2" xfId="23875" xr:uid="{791DCC21-C0FE-4C06-A301-20EE6EECCF94}"/>
    <cellStyle name="Comma 4 3 2 3 8 2 3" xfId="15441" xr:uid="{3CCC376A-48A8-4A89-8FA4-F30F8C09E6E5}"/>
    <cellStyle name="Comma 4 3 2 3 8 3" xfId="19658" xr:uid="{DCA4CD7B-9CBA-412F-8DE5-C8D60273FBEE}"/>
    <cellStyle name="Comma 4 3 2 3 8 4" xfId="11224" xr:uid="{E465C0A8-C716-48D9-8275-1B1B01DA9A5F}"/>
    <cellStyle name="Comma 4 3 2 3 9" xfId="4620" xr:uid="{00000000-0005-0000-0000-000059090000}"/>
    <cellStyle name="Comma 4 3 2 3 9 2" xfId="21492" xr:uid="{195E9544-7F04-43F6-B744-9584C077B30B}"/>
    <cellStyle name="Comma 4 3 2 3 9 3" xfId="13058" xr:uid="{220FC4DB-83C2-461B-85AA-7042DD94E73A}"/>
    <cellStyle name="Comma 4 3 2 4" xfId="682" xr:uid="{00000000-0005-0000-0000-00005A090000}"/>
    <cellStyle name="Comma 4 3 2 4 2" xfId="2953" xr:uid="{00000000-0005-0000-0000-00005B090000}"/>
    <cellStyle name="Comma 4 3 2 4 2 2" xfId="7176" xr:uid="{00000000-0005-0000-0000-00005C090000}"/>
    <cellStyle name="Comma 4 3 2 4 2 2 2" xfId="24048" xr:uid="{A017B4E2-2F80-4663-A7F9-11439F695E18}"/>
    <cellStyle name="Comma 4 3 2 4 2 2 3" xfId="15614" xr:uid="{77B98199-36FE-455E-8F56-6AC10AA885A8}"/>
    <cellStyle name="Comma 4 3 2 4 2 3" xfId="19831" xr:uid="{777EC5BD-31BD-41A2-BCDB-6D3AB68A7C52}"/>
    <cellStyle name="Comma 4 3 2 4 2 4" xfId="11397" xr:uid="{8E310F09-F8B5-46F7-848D-079034C63C4A}"/>
    <cellStyle name="Comma 4 3 2 4 3" xfId="5031" xr:uid="{00000000-0005-0000-0000-00005D090000}"/>
    <cellStyle name="Comma 4 3 2 4 3 2" xfId="21903" xr:uid="{AD50C6A6-7C8D-4EF4-8EB7-29FD2C99205B}"/>
    <cellStyle name="Comma 4 3 2 4 3 3" xfId="13469" xr:uid="{B4C80712-E857-4408-8C65-26E78B4372BF}"/>
    <cellStyle name="Comma 4 3 2 4 4" xfId="17686" xr:uid="{C185D7C1-D2D7-4941-A0F6-3A9E503D4A26}"/>
    <cellStyle name="Comma 4 3 2 4 5" xfId="9252" xr:uid="{7FA0557D-024C-4D11-A3D0-22D1C9A00F58}"/>
    <cellStyle name="Comma 4 3 2 5" xfId="1135" xr:uid="{00000000-0005-0000-0000-00005E090000}"/>
    <cellStyle name="Comma 4 3 2 5 2" xfId="3366" xr:uid="{00000000-0005-0000-0000-00005F090000}"/>
    <cellStyle name="Comma 4 3 2 5 2 2" xfId="7589" xr:uid="{00000000-0005-0000-0000-000060090000}"/>
    <cellStyle name="Comma 4 3 2 5 2 2 2" xfId="24461" xr:uid="{AD809A52-6ED3-4E59-BBD0-84C25F7BB92A}"/>
    <cellStyle name="Comma 4 3 2 5 2 2 3" xfId="16027" xr:uid="{0519D94A-A923-41C8-81B2-96639E6EE8BD}"/>
    <cellStyle name="Comma 4 3 2 5 2 3" xfId="20244" xr:uid="{3D842EAA-963B-4D15-AF00-D25C36DA4FAF}"/>
    <cellStyle name="Comma 4 3 2 5 2 4" xfId="11810" xr:uid="{6BB1D158-5EE6-4786-862D-200179BE0A5C}"/>
    <cellStyle name="Comma 4 3 2 5 3" xfId="5444" xr:uid="{00000000-0005-0000-0000-000061090000}"/>
    <cellStyle name="Comma 4 3 2 5 3 2" xfId="22316" xr:uid="{8CAFEB90-56CB-4E42-A729-4574C8CF6A19}"/>
    <cellStyle name="Comma 4 3 2 5 3 3" xfId="13882" xr:uid="{4CE6B768-C9DA-4FB6-94E6-C32150BEA117}"/>
    <cellStyle name="Comma 4 3 2 5 4" xfId="18099" xr:uid="{18C2117E-E802-44A9-A998-4CD67DE77C76}"/>
    <cellStyle name="Comma 4 3 2 5 5" xfId="9665" xr:uid="{98AF3909-D1C4-4C2A-AB73-0B6909D124E7}"/>
    <cellStyle name="Comma 4 3 2 6" xfId="1549" xr:uid="{00000000-0005-0000-0000-000062090000}"/>
    <cellStyle name="Comma 4 3 2 6 2" xfId="3779" xr:uid="{00000000-0005-0000-0000-000063090000}"/>
    <cellStyle name="Comma 4 3 2 6 2 2" xfId="8002" xr:uid="{00000000-0005-0000-0000-000064090000}"/>
    <cellStyle name="Comma 4 3 2 6 2 2 2" xfId="24874" xr:uid="{04ED4967-9006-4C76-9214-DADA3FBCAF21}"/>
    <cellStyle name="Comma 4 3 2 6 2 2 3" xfId="16440" xr:uid="{2CEC48AB-7235-44C5-A8E4-4C41005978B0}"/>
    <cellStyle name="Comma 4 3 2 6 2 3" xfId="20657" xr:uid="{A4C92686-2A72-4ACE-81BD-B6C36F630A1B}"/>
    <cellStyle name="Comma 4 3 2 6 2 4" xfId="12223" xr:uid="{3A8CD9F6-1499-4515-8581-CCFA7B01C147}"/>
    <cellStyle name="Comma 4 3 2 6 3" xfId="5857" xr:uid="{00000000-0005-0000-0000-000065090000}"/>
    <cellStyle name="Comma 4 3 2 6 3 2" xfId="22729" xr:uid="{B805C272-0C5F-4AF3-8C20-EB0D79091DCA}"/>
    <cellStyle name="Comma 4 3 2 6 3 3" xfId="14295" xr:uid="{8EBD3922-44E1-4EC1-A923-4821CE16545D}"/>
    <cellStyle name="Comma 4 3 2 6 4" xfId="18512" xr:uid="{2C994197-5A0E-4CB5-8B34-3AC17F39511C}"/>
    <cellStyle name="Comma 4 3 2 6 5" xfId="10078" xr:uid="{402CE967-BBE9-4CD8-9670-EC2C8E5BCC7D}"/>
    <cellStyle name="Comma 4 3 2 7" xfId="1963" xr:uid="{00000000-0005-0000-0000-000066090000}"/>
    <cellStyle name="Comma 4 3 2 7 2" xfId="4192" xr:uid="{00000000-0005-0000-0000-000067090000}"/>
    <cellStyle name="Comma 4 3 2 7 2 2" xfId="8415" xr:uid="{00000000-0005-0000-0000-000068090000}"/>
    <cellStyle name="Comma 4 3 2 7 2 2 2" xfId="25287" xr:uid="{C36F13C0-F920-4613-93B3-1C71273280A5}"/>
    <cellStyle name="Comma 4 3 2 7 2 2 3" xfId="16853" xr:uid="{162E54DD-8A98-42BD-ABAA-E7F5057E3C57}"/>
    <cellStyle name="Comma 4 3 2 7 2 3" xfId="21070" xr:uid="{B5F66F51-2439-451E-8382-A246CDFF9641}"/>
    <cellStyle name="Comma 4 3 2 7 2 4" xfId="12636" xr:uid="{B664CEBC-0AE8-44F0-A6B7-7572D4D90FCF}"/>
    <cellStyle name="Comma 4 3 2 7 3" xfId="6270" xr:uid="{00000000-0005-0000-0000-000069090000}"/>
    <cellStyle name="Comma 4 3 2 7 3 2" xfId="23142" xr:uid="{ECBF5CD7-EFB1-4783-9FA2-4311A960CD65}"/>
    <cellStyle name="Comma 4 3 2 7 3 3" xfId="14708" xr:uid="{857AA0BD-34C2-43A4-983C-8A39AD22A005}"/>
    <cellStyle name="Comma 4 3 2 7 4" xfId="18925" xr:uid="{10101847-B370-4DD8-A802-8708195BFEA8}"/>
    <cellStyle name="Comma 4 3 2 7 5" xfId="10491" xr:uid="{02CF5089-9EF4-4893-82D6-A9D536525B68}"/>
    <cellStyle name="Comma 4 3 2 8" xfId="2398" xr:uid="{00000000-0005-0000-0000-00006A090000}"/>
    <cellStyle name="Comma 4 3 2 8 2" xfId="6683" xr:uid="{00000000-0005-0000-0000-00006B090000}"/>
    <cellStyle name="Comma 4 3 2 8 2 2" xfId="23555" xr:uid="{182527FB-919F-41F7-9335-EBF3FFCE069A}"/>
    <cellStyle name="Comma 4 3 2 8 2 3" xfId="15121" xr:uid="{E3740B5C-3763-4A5C-8ADE-CA121F1AAB36}"/>
    <cellStyle name="Comma 4 3 2 8 3" xfId="19338" xr:uid="{A78B577D-F3B3-4137-BC05-296ED8AC12C8}"/>
    <cellStyle name="Comma 4 3 2 8 4" xfId="10904" xr:uid="{E79C5462-A7DF-4495-AD85-C3939CD0F198}"/>
    <cellStyle name="Comma 4 3 2 9" xfId="2365" xr:uid="{00000000-0005-0000-0000-00006C090000}"/>
    <cellStyle name="Comma 4 3 3" xfId="149" xr:uid="{00000000-0005-0000-0000-00006D090000}"/>
    <cellStyle name="Comma 4 3 3 10" xfId="4621" xr:uid="{00000000-0005-0000-0000-00006E090000}"/>
    <cellStyle name="Comma 4 3 3 10 2" xfId="21493" xr:uid="{5B81CC2C-6E55-4046-BADC-23E6A2B2BCB6}"/>
    <cellStyle name="Comma 4 3 3 10 3" xfId="13059" xr:uid="{1AF065A8-9475-4BF0-9E6F-441B74056AAE}"/>
    <cellStyle name="Comma 4 3 3 11" xfId="17276" xr:uid="{6364A88C-1B1F-4D19-8E7D-9855C5333060}"/>
    <cellStyle name="Comma 4 3 3 12" xfId="8842" xr:uid="{36A0E5F1-DA8F-4F61-9D8B-BB435C08A732}"/>
    <cellStyle name="Comma 4 3 3 2" xfId="150" xr:uid="{00000000-0005-0000-0000-00006F090000}"/>
    <cellStyle name="Comma 4 3 3 2 10" xfId="17277" xr:uid="{196DB35B-212A-4D84-A805-ABBC728CC52E}"/>
    <cellStyle name="Comma 4 3 3 2 11" xfId="8843" xr:uid="{91F95C63-7DC1-42BE-8D9F-D51213316319}"/>
    <cellStyle name="Comma 4 3 3 2 2" xfId="687" xr:uid="{00000000-0005-0000-0000-000070090000}"/>
    <cellStyle name="Comma 4 3 3 2 2 2" xfId="2958" xr:uid="{00000000-0005-0000-0000-000071090000}"/>
    <cellStyle name="Comma 4 3 3 2 2 2 2" xfId="7181" xr:uid="{00000000-0005-0000-0000-000072090000}"/>
    <cellStyle name="Comma 4 3 3 2 2 2 2 2" xfId="24053" xr:uid="{5AC8EA10-88BE-448E-A94D-A11D71DAAEC2}"/>
    <cellStyle name="Comma 4 3 3 2 2 2 2 3" xfId="15619" xr:uid="{1D894642-E2FA-4848-A37C-AF07CB6C8E7A}"/>
    <cellStyle name="Comma 4 3 3 2 2 2 3" xfId="19836" xr:uid="{9A894DB4-657E-4CA8-9784-75C9B77FE83A}"/>
    <cellStyle name="Comma 4 3 3 2 2 2 4" xfId="11402" xr:uid="{E4D6200D-5943-447E-AD3B-63E8A5C40A44}"/>
    <cellStyle name="Comma 4 3 3 2 2 3" xfId="5036" xr:uid="{00000000-0005-0000-0000-000073090000}"/>
    <cellStyle name="Comma 4 3 3 2 2 3 2" xfId="21908" xr:uid="{89594A5A-EB6A-4A15-976F-B48FEB059A9B}"/>
    <cellStyle name="Comma 4 3 3 2 2 3 3" xfId="13474" xr:uid="{2EDBAFAC-F54F-46A9-98CF-4B88C9E18ED9}"/>
    <cellStyle name="Comma 4 3 3 2 2 4" xfId="17691" xr:uid="{91A83742-1B7D-4165-BB8A-35F88E787358}"/>
    <cellStyle name="Comma 4 3 3 2 2 5" xfId="9257" xr:uid="{236EEDBB-9954-46D4-9AD9-41E41FD32F19}"/>
    <cellStyle name="Comma 4 3 3 2 3" xfId="1140" xr:uid="{00000000-0005-0000-0000-000074090000}"/>
    <cellStyle name="Comma 4 3 3 2 3 2" xfId="3371" xr:uid="{00000000-0005-0000-0000-000075090000}"/>
    <cellStyle name="Comma 4 3 3 2 3 2 2" xfId="7594" xr:uid="{00000000-0005-0000-0000-000076090000}"/>
    <cellStyle name="Comma 4 3 3 2 3 2 2 2" xfId="24466" xr:uid="{D47C493C-4C6F-4845-AE35-B2303B449C46}"/>
    <cellStyle name="Comma 4 3 3 2 3 2 2 3" xfId="16032" xr:uid="{0183684E-65C5-4FEF-BA81-F137FA7240CB}"/>
    <cellStyle name="Comma 4 3 3 2 3 2 3" xfId="20249" xr:uid="{6F3690EF-621F-4085-9DB4-52EB7F8EEF89}"/>
    <cellStyle name="Comma 4 3 3 2 3 2 4" xfId="11815" xr:uid="{E871090F-B9A4-446D-A4C9-A984FC4409EF}"/>
    <cellStyle name="Comma 4 3 3 2 3 3" xfId="5449" xr:uid="{00000000-0005-0000-0000-000077090000}"/>
    <cellStyle name="Comma 4 3 3 2 3 3 2" xfId="22321" xr:uid="{9CACC568-94F5-496A-A496-B4BEFAA61696}"/>
    <cellStyle name="Comma 4 3 3 2 3 3 3" xfId="13887" xr:uid="{C94CC504-E9FF-491C-AABF-D18863558C0A}"/>
    <cellStyle name="Comma 4 3 3 2 3 4" xfId="18104" xr:uid="{9FF063FB-418F-44F1-B085-5A6D02B97EAA}"/>
    <cellStyle name="Comma 4 3 3 2 3 5" xfId="9670" xr:uid="{00B8326F-716A-4EB8-8E45-9C9717725E2A}"/>
    <cellStyle name="Comma 4 3 3 2 4" xfId="1554" xr:uid="{00000000-0005-0000-0000-000078090000}"/>
    <cellStyle name="Comma 4 3 3 2 4 2" xfId="3784" xr:uid="{00000000-0005-0000-0000-000079090000}"/>
    <cellStyle name="Comma 4 3 3 2 4 2 2" xfId="8007" xr:uid="{00000000-0005-0000-0000-00007A090000}"/>
    <cellStyle name="Comma 4 3 3 2 4 2 2 2" xfId="24879" xr:uid="{2E245FB5-43C1-4C8C-9109-EFE9D60CEA67}"/>
    <cellStyle name="Comma 4 3 3 2 4 2 2 3" xfId="16445" xr:uid="{B0E8E202-0C1E-47FD-AD90-5A50A3EAE25F}"/>
    <cellStyle name="Comma 4 3 3 2 4 2 3" xfId="20662" xr:uid="{9A32F0AF-8B98-40F6-AF7B-1083E919D9A4}"/>
    <cellStyle name="Comma 4 3 3 2 4 2 4" xfId="12228" xr:uid="{74FB7E6A-0F45-45A6-BAB6-F62CD4198FED}"/>
    <cellStyle name="Comma 4 3 3 2 4 3" xfId="5862" xr:uid="{00000000-0005-0000-0000-00007B090000}"/>
    <cellStyle name="Comma 4 3 3 2 4 3 2" xfId="22734" xr:uid="{6FFEE5BA-5AB0-4333-86AB-574D36E33BFA}"/>
    <cellStyle name="Comma 4 3 3 2 4 3 3" xfId="14300" xr:uid="{A6151902-0D94-4106-820A-2E009FF033E6}"/>
    <cellStyle name="Comma 4 3 3 2 4 4" xfId="18517" xr:uid="{D60EDA07-8381-492F-B48A-2098FA45FF33}"/>
    <cellStyle name="Comma 4 3 3 2 4 5" xfId="10083" xr:uid="{DE033166-3DD6-4565-BDD5-04627F604943}"/>
    <cellStyle name="Comma 4 3 3 2 5" xfId="1968" xr:uid="{00000000-0005-0000-0000-00007C090000}"/>
    <cellStyle name="Comma 4 3 3 2 5 2" xfId="4197" xr:uid="{00000000-0005-0000-0000-00007D090000}"/>
    <cellStyle name="Comma 4 3 3 2 5 2 2" xfId="8420" xr:uid="{00000000-0005-0000-0000-00007E090000}"/>
    <cellStyle name="Comma 4 3 3 2 5 2 2 2" xfId="25292" xr:uid="{1BABCDA8-0B10-42E6-8191-D7E1D0D18DF5}"/>
    <cellStyle name="Comma 4 3 3 2 5 2 2 3" xfId="16858" xr:uid="{8C5FE51A-5373-4191-B9C0-1A77EA7F6A3A}"/>
    <cellStyle name="Comma 4 3 3 2 5 2 3" xfId="21075" xr:uid="{3A380191-2445-42FF-A2B4-DC0A7E234022}"/>
    <cellStyle name="Comma 4 3 3 2 5 2 4" xfId="12641" xr:uid="{517B0F72-9D76-484E-BFD5-B0AB3AD4C725}"/>
    <cellStyle name="Comma 4 3 3 2 5 3" xfId="6275" xr:uid="{00000000-0005-0000-0000-00007F090000}"/>
    <cellStyle name="Comma 4 3 3 2 5 3 2" xfId="23147" xr:uid="{7A962500-4992-4B6B-87B7-D880C56E63DC}"/>
    <cellStyle name="Comma 4 3 3 2 5 3 3" xfId="14713" xr:uid="{90643135-4091-49A5-B754-18A85D575FE7}"/>
    <cellStyle name="Comma 4 3 3 2 5 4" xfId="18930" xr:uid="{920B8D0D-0F3B-406F-A203-7EBDE471CCEB}"/>
    <cellStyle name="Comma 4 3 3 2 5 5" xfId="10496" xr:uid="{8CD9370E-241A-43A1-B536-991F7A6CE975}"/>
    <cellStyle name="Comma 4 3 3 2 6" xfId="2403" xr:uid="{00000000-0005-0000-0000-000080090000}"/>
    <cellStyle name="Comma 4 3 3 2 6 2" xfId="6688" xr:uid="{00000000-0005-0000-0000-000081090000}"/>
    <cellStyle name="Comma 4 3 3 2 6 2 2" xfId="23560" xr:uid="{1B65627E-70D9-40F5-94D4-D9122311E00C}"/>
    <cellStyle name="Comma 4 3 3 2 6 2 3" xfId="15126" xr:uid="{235904CA-32A9-41FB-AF3C-F6252B5E0ADD}"/>
    <cellStyle name="Comma 4 3 3 2 6 3" xfId="19343" xr:uid="{53094F22-420B-40DC-9193-0907D609498C}"/>
    <cellStyle name="Comma 4 3 3 2 6 4" xfId="10909" xr:uid="{7D73A396-15A2-4B48-A42D-5855985BD0C8}"/>
    <cellStyle name="Comma 4 3 3 2 7" xfId="2360" xr:uid="{00000000-0005-0000-0000-000082090000}"/>
    <cellStyle name="Comma 4 3 3 2 8" xfId="2781" xr:uid="{00000000-0005-0000-0000-000083090000}"/>
    <cellStyle name="Comma 4 3 3 2 8 2" xfId="7005" xr:uid="{00000000-0005-0000-0000-000084090000}"/>
    <cellStyle name="Comma 4 3 3 2 8 2 2" xfId="23877" xr:uid="{74DA9B08-EDB5-47CB-8653-E7933326ACE7}"/>
    <cellStyle name="Comma 4 3 3 2 8 2 3" xfId="15443" xr:uid="{D0F10BA4-5D14-436E-BAC8-183D5C5A1B73}"/>
    <cellStyle name="Comma 4 3 3 2 8 3" xfId="19660" xr:uid="{6E7B4ADB-C316-4E10-A357-3EB7DC9477DB}"/>
    <cellStyle name="Comma 4 3 3 2 8 4" xfId="11226" xr:uid="{EE36B075-DF5A-4063-AE2D-11AE781E2421}"/>
    <cellStyle name="Comma 4 3 3 2 9" xfId="4622" xr:uid="{00000000-0005-0000-0000-000085090000}"/>
    <cellStyle name="Comma 4 3 3 2 9 2" xfId="21494" xr:uid="{5891A57D-1AED-4E5A-9104-DC05306A96E9}"/>
    <cellStyle name="Comma 4 3 3 2 9 3" xfId="13060" xr:uid="{F51541C2-553B-4EFF-ABFC-63E51B67311E}"/>
    <cellStyle name="Comma 4 3 3 3" xfId="686" xr:uid="{00000000-0005-0000-0000-000086090000}"/>
    <cellStyle name="Comma 4 3 3 3 2" xfId="2957" xr:uid="{00000000-0005-0000-0000-000087090000}"/>
    <cellStyle name="Comma 4 3 3 3 2 2" xfId="7180" xr:uid="{00000000-0005-0000-0000-000088090000}"/>
    <cellStyle name="Comma 4 3 3 3 2 2 2" xfId="24052" xr:uid="{5DDD65A8-E781-402A-8820-9BDDB9BB7E87}"/>
    <cellStyle name="Comma 4 3 3 3 2 2 3" xfId="15618" xr:uid="{EF5BC9BE-B59C-4E38-8F65-5DC03C18634A}"/>
    <cellStyle name="Comma 4 3 3 3 2 3" xfId="19835" xr:uid="{08A5F4E0-B754-44E3-80CC-44B8C6E1D6B3}"/>
    <cellStyle name="Comma 4 3 3 3 2 4" xfId="11401" xr:uid="{69AF53D2-31A0-4106-B1D8-02BFF44718A0}"/>
    <cellStyle name="Comma 4 3 3 3 3" xfId="5035" xr:uid="{00000000-0005-0000-0000-000089090000}"/>
    <cellStyle name="Comma 4 3 3 3 3 2" xfId="21907" xr:uid="{0383858C-7266-42A9-AEB0-B81B3B0C269E}"/>
    <cellStyle name="Comma 4 3 3 3 3 3" xfId="13473" xr:uid="{CBC51276-1909-42F8-86A8-7B18A3A5E1B5}"/>
    <cellStyle name="Comma 4 3 3 3 4" xfId="17690" xr:uid="{22DBEFB7-8AD3-4DAA-AC91-712E58D87476}"/>
    <cellStyle name="Comma 4 3 3 3 5" xfId="9256" xr:uid="{B3B27A21-AED4-40E8-BC11-DB54F8B6153F}"/>
    <cellStyle name="Comma 4 3 3 4" xfId="1139" xr:uid="{00000000-0005-0000-0000-00008A090000}"/>
    <cellStyle name="Comma 4 3 3 4 2" xfId="3370" xr:uid="{00000000-0005-0000-0000-00008B090000}"/>
    <cellStyle name="Comma 4 3 3 4 2 2" xfId="7593" xr:uid="{00000000-0005-0000-0000-00008C090000}"/>
    <cellStyle name="Comma 4 3 3 4 2 2 2" xfId="24465" xr:uid="{687DF3FC-4603-42B1-B587-91CC84765431}"/>
    <cellStyle name="Comma 4 3 3 4 2 2 3" xfId="16031" xr:uid="{FE0D832A-7743-4E68-BFC0-D1914B3F6A48}"/>
    <cellStyle name="Comma 4 3 3 4 2 3" xfId="20248" xr:uid="{C69B0F59-3BF0-45A7-B3CE-23A97FAF223C}"/>
    <cellStyle name="Comma 4 3 3 4 2 4" xfId="11814" xr:uid="{BB80F7D4-F1D8-4A88-BE59-9B39A4EE438B}"/>
    <cellStyle name="Comma 4 3 3 4 3" xfId="5448" xr:uid="{00000000-0005-0000-0000-00008D090000}"/>
    <cellStyle name="Comma 4 3 3 4 3 2" xfId="22320" xr:uid="{F3DB1CBE-E027-4A80-8559-4D98635543AD}"/>
    <cellStyle name="Comma 4 3 3 4 3 3" xfId="13886" xr:uid="{87991EE7-3086-4AD0-8CFF-EF71E0133AF1}"/>
    <cellStyle name="Comma 4 3 3 4 4" xfId="18103" xr:uid="{FE7FB20E-4AD2-49DC-B0B4-3A4DF3EC6E93}"/>
    <cellStyle name="Comma 4 3 3 4 5" xfId="9669" xr:uid="{434325B4-E860-4650-B380-7966AE4285C7}"/>
    <cellStyle name="Comma 4 3 3 5" xfId="1553" xr:uid="{00000000-0005-0000-0000-00008E090000}"/>
    <cellStyle name="Comma 4 3 3 5 2" xfId="3783" xr:uid="{00000000-0005-0000-0000-00008F090000}"/>
    <cellStyle name="Comma 4 3 3 5 2 2" xfId="8006" xr:uid="{00000000-0005-0000-0000-000090090000}"/>
    <cellStyle name="Comma 4 3 3 5 2 2 2" xfId="24878" xr:uid="{C191045D-FDE0-46F7-A290-86C54591945B}"/>
    <cellStyle name="Comma 4 3 3 5 2 2 3" xfId="16444" xr:uid="{C577AF9D-7394-40EC-9241-504212521FC5}"/>
    <cellStyle name="Comma 4 3 3 5 2 3" xfId="20661" xr:uid="{BE0DFC3E-4D86-42A6-B834-1CF7C4F44223}"/>
    <cellStyle name="Comma 4 3 3 5 2 4" xfId="12227" xr:uid="{888A8CD7-69D5-46C5-9331-59D7CD3241CA}"/>
    <cellStyle name="Comma 4 3 3 5 3" xfId="5861" xr:uid="{00000000-0005-0000-0000-000091090000}"/>
    <cellStyle name="Comma 4 3 3 5 3 2" xfId="22733" xr:uid="{6BE29F6D-1654-49D6-B248-530B5B6DC3DF}"/>
    <cellStyle name="Comma 4 3 3 5 3 3" xfId="14299" xr:uid="{14966EB3-8ACE-495E-8E34-F70F8577DC9D}"/>
    <cellStyle name="Comma 4 3 3 5 4" xfId="18516" xr:uid="{91307CF1-85BF-4B9D-8C2D-A1A069CE62EF}"/>
    <cellStyle name="Comma 4 3 3 5 5" xfId="10082" xr:uid="{0E73BF23-7351-4358-BF09-BAF32FD20B5F}"/>
    <cellStyle name="Comma 4 3 3 6" xfId="1967" xr:uid="{00000000-0005-0000-0000-000092090000}"/>
    <cellStyle name="Comma 4 3 3 6 2" xfId="4196" xr:uid="{00000000-0005-0000-0000-000093090000}"/>
    <cellStyle name="Comma 4 3 3 6 2 2" xfId="8419" xr:uid="{00000000-0005-0000-0000-000094090000}"/>
    <cellStyle name="Comma 4 3 3 6 2 2 2" xfId="25291" xr:uid="{13B8F51F-F36C-4247-91B1-FCF1C076A733}"/>
    <cellStyle name="Comma 4 3 3 6 2 2 3" xfId="16857" xr:uid="{AE01CDFD-6BD3-4A75-8422-B4508123A7A8}"/>
    <cellStyle name="Comma 4 3 3 6 2 3" xfId="21074" xr:uid="{A74A32E0-AE27-4BE4-9327-7C299CBC5CFD}"/>
    <cellStyle name="Comma 4 3 3 6 2 4" xfId="12640" xr:uid="{26BFC993-6225-4278-8CC8-2FB114DF916B}"/>
    <cellStyle name="Comma 4 3 3 6 3" xfId="6274" xr:uid="{00000000-0005-0000-0000-000095090000}"/>
    <cellStyle name="Comma 4 3 3 6 3 2" xfId="23146" xr:uid="{57ADE75A-B72A-425E-8DDD-4B1BD39635BC}"/>
    <cellStyle name="Comma 4 3 3 6 3 3" xfId="14712" xr:uid="{30607B35-BECE-4068-8977-6C6B9D42C5B8}"/>
    <cellStyle name="Comma 4 3 3 6 4" xfId="18929" xr:uid="{D71A55F0-56EE-4D00-AF5B-917E535D1836}"/>
    <cellStyle name="Comma 4 3 3 6 5" xfId="10495" xr:uid="{F72EBBCD-3A0F-42E1-99CE-F972A9CCA904}"/>
    <cellStyle name="Comma 4 3 3 7" xfId="2402" xr:uid="{00000000-0005-0000-0000-000096090000}"/>
    <cellStyle name="Comma 4 3 3 7 2" xfId="6687" xr:uid="{00000000-0005-0000-0000-000097090000}"/>
    <cellStyle name="Comma 4 3 3 7 2 2" xfId="23559" xr:uid="{4B07F90D-E21A-4E2E-B7CB-92D9CD0F67F3}"/>
    <cellStyle name="Comma 4 3 3 7 2 3" xfId="15125" xr:uid="{B4CD718C-47C3-4B93-BBE5-8D205FC3C097}"/>
    <cellStyle name="Comma 4 3 3 7 3" xfId="19342" xr:uid="{AA6C22E3-6779-40C1-ABD1-77C7223A1074}"/>
    <cellStyle name="Comma 4 3 3 7 4" xfId="10908" xr:uid="{7D81679E-E9C7-4BB1-98BD-E51BFDC909EB}"/>
    <cellStyle name="Comma 4 3 3 8" xfId="2361" xr:uid="{00000000-0005-0000-0000-000098090000}"/>
    <cellStyle name="Comma 4 3 3 9" xfId="2780" xr:uid="{00000000-0005-0000-0000-000099090000}"/>
    <cellStyle name="Comma 4 3 3 9 2" xfId="7004" xr:uid="{00000000-0005-0000-0000-00009A090000}"/>
    <cellStyle name="Comma 4 3 3 9 2 2" xfId="23876" xr:uid="{DBF085B7-1CCB-4B10-8C72-C632BCB8B837}"/>
    <cellStyle name="Comma 4 3 3 9 2 3" xfId="15442" xr:uid="{B7E31352-1680-4FA8-A68F-F909462367CB}"/>
    <cellStyle name="Comma 4 3 3 9 3" xfId="19659" xr:uid="{DD1FF16A-9CC2-4D4E-8B59-2FF320371787}"/>
    <cellStyle name="Comma 4 3 3 9 4" xfId="11225" xr:uid="{8AFE7F13-FE1B-4C47-A14B-876DA8E730A0}"/>
    <cellStyle name="Comma 4 3 4" xfId="151" xr:uid="{00000000-0005-0000-0000-00009B090000}"/>
    <cellStyle name="Comma 4 3 4 10" xfId="17278" xr:uid="{79284935-B24C-41F6-A3ED-D38B442051AD}"/>
    <cellStyle name="Comma 4 3 4 11" xfId="8844" xr:uid="{DD8E97B0-D3F4-49E7-835D-8B451C2465C4}"/>
    <cellStyle name="Comma 4 3 4 2" xfId="688" xr:uid="{00000000-0005-0000-0000-00009C090000}"/>
    <cellStyle name="Comma 4 3 4 2 2" xfId="2959" xr:uid="{00000000-0005-0000-0000-00009D090000}"/>
    <cellStyle name="Comma 4 3 4 2 2 2" xfId="7182" xr:uid="{00000000-0005-0000-0000-00009E090000}"/>
    <cellStyle name="Comma 4 3 4 2 2 2 2" xfId="24054" xr:uid="{B32BAEBF-36A0-41FD-B1B9-C2B01C595E4B}"/>
    <cellStyle name="Comma 4 3 4 2 2 2 3" xfId="15620" xr:uid="{5E1B4B5E-16F7-4B28-81DF-D2934A8CF0E5}"/>
    <cellStyle name="Comma 4 3 4 2 2 3" xfId="19837" xr:uid="{336D8806-C282-4681-9156-20FD58E6AF36}"/>
    <cellStyle name="Comma 4 3 4 2 2 4" xfId="11403" xr:uid="{C6193FD8-6C06-43E1-A9FB-3C1732E30FEC}"/>
    <cellStyle name="Comma 4 3 4 2 3" xfId="5037" xr:uid="{00000000-0005-0000-0000-00009F090000}"/>
    <cellStyle name="Comma 4 3 4 2 3 2" xfId="21909" xr:uid="{BB4F853B-61BE-4829-BC95-362AEF3528B1}"/>
    <cellStyle name="Comma 4 3 4 2 3 3" xfId="13475" xr:uid="{04862039-D011-4DAF-9187-12D8C0F609E1}"/>
    <cellStyle name="Comma 4 3 4 2 4" xfId="17692" xr:uid="{CCBE638F-BCB0-4069-B5FC-736A65F25594}"/>
    <cellStyle name="Comma 4 3 4 2 5" xfId="9258" xr:uid="{D6446E7A-FF08-47D3-BF98-4EA955B6C5DC}"/>
    <cellStyle name="Comma 4 3 4 3" xfId="1141" xr:uid="{00000000-0005-0000-0000-0000A0090000}"/>
    <cellStyle name="Comma 4 3 4 3 2" xfId="3372" xr:uid="{00000000-0005-0000-0000-0000A1090000}"/>
    <cellStyle name="Comma 4 3 4 3 2 2" xfId="7595" xr:uid="{00000000-0005-0000-0000-0000A2090000}"/>
    <cellStyle name="Comma 4 3 4 3 2 2 2" xfId="24467" xr:uid="{C09C2D36-E55C-4B36-BD56-000DE91AC34C}"/>
    <cellStyle name="Comma 4 3 4 3 2 2 3" xfId="16033" xr:uid="{D5D1DABF-A640-4EAF-ACD1-421BE1EF68CB}"/>
    <cellStyle name="Comma 4 3 4 3 2 3" xfId="20250" xr:uid="{9D7B037F-FBE1-4AF3-A727-0683C6B9D47B}"/>
    <cellStyle name="Comma 4 3 4 3 2 4" xfId="11816" xr:uid="{545D042B-039D-440C-95DD-66C9C6B05A10}"/>
    <cellStyle name="Comma 4 3 4 3 3" xfId="5450" xr:uid="{00000000-0005-0000-0000-0000A3090000}"/>
    <cellStyle name="Comma 4 3 4 3 3 2" xfId="22322" xr:uid="{EAFD156F-0A4C-4A5F-A5ED-A7EB32B241AB}"/>
    <cellStyle name="Comma 4 3 4 3 3 3" xfId="13888" xr:uid="{6D1EC485-79C5-45CD-9736-174733E90913}"/>
    <cellStyle name="Comma 4 3 4 3 4" xfId="18105" xr:uid="{FA9E99AD-3D98-4C17-8591-3FBD5D7CE6C3}"/>
    <cellStyle name="Comma 4 3 4 3 5" xfId="9671" xr:uid="{9AE73C0F-66FD-47A0-997C-9B85A33D234F}"/>
    <cellStyle name="Comma 4 3 4 4" xfId="1555" xr:uid="{00000000-0005-0000-0000-0000A4090000}"/>
    <cellStyle name="Comma 4 3 4 4 2" xfId="3785" xr:uid="{00000000-0005-0000-0000-0000A5090000}"/>
    <cellStyle name="Comma 4 3 4 4 2 2" xfId="8008" xr:uid="{00000000-0005-0000-0000-0000A6090000}"/>
    <cellStyle name="Comma 4 3 4 4 2 2 2" xfId="24880" xr:uid="{F4A5CDBA-4917-4019-9047-10A1103E9427}"/>
    <cellStyle name="Comma 4 3 4 4 2 2 3" xfId="16446" xr:uid="{06935173-488C-40DD-A020-31299C8CD64C}"/>
    <cellStyle name="Comma 4 3 4 4 2 3" xfId="20663" xr:uid="{BDA9BBEA-9809-4276-ADEE-7DF4793C14B4}"/>
    <cellStyle name="Comma 4 3 4 4 2 4" xfId="12229" xr:uid="{EDEAC842-BA00-4A48-B0A5-2879A8C3CE50}"/>
    <cellStyle name="Comma 4 3 4 4 3" xfId="5863" xr:uid="{00000000-0005-0000-0000-0000A7090000}"/>
    <cellStyle name="Comma 4 3 4 4 3 2" xfId="22735" xr:uid="{DC41B400-F066-4AEF-ADD0-298CA3889C97}"/>
    <cellStyle name="Comma 4 3 4 4 3 3" xfId="14301" xr:uid="{4517AF6A-108E-4A96-9747-A983C118351D}"/>
    <cellStyle name="Comma 4 3 4 4 4" xfId="18518" xr:uid="{CF22ECAD-93E0-41CD-B324-9DEC49FD8988}"/>
    <cellStyle name="Comma 4 3 4 4 5" xfId="10084" xr:uid="{3CDA2351-EBD0-4796-AD32-940E94F93176}"/>
    <cellStyle name="Comma 4 3 4 5" xfId="1969" xr:uid="{00000000-0005-0000-0000-0000A8090000}"/>
    <cellStyle name="Comma 4 3 4 5 2" xfId="4198" xr:uid="{00000000-0005-0000-0000-0000A9090000}"/>
    <cellStyle name="Comma 4 3 4 5 2 2" xfId="8421" xr:uid="{00000000-0005-0000-0000-0000AA090000}"/>
    <cellStyle name="Comma 4 3 4 5 2 2 2" xfId="25293" xr:uid="{D2D9069A-6E5C-4BF2-AC33-29FDEC2578D6}"/>
    <cellStyle name="Comma 4 3 4 5 2 2 3" xfId="16859" xr:uid="{38F8D925-1F74-4952-B736-285AD33ACBCC}"/>
    <cellStyle name="Comma 4 3 4 5 2 3" xfId="21076" xr:uid="{E3E8EA8B-F1EC-4D69-AC15-11DCE1BB43DC}"/>
    <cellStyle name="Comma 4 3 4 5 2 4" xfId="12642" xr:uid="{95B4034D-A525-4BB4-96F0-9EC8D2DC95BE}"/>
    <cellStyle name="Comma 4 3 4 5 3" xfId="6276" xr:uid="{00000000-0005-0000-0000-0000AB090000}"/>
    <cellStyle name="Comma 4 3 4 5 3 2" xfId="23148" xr:uid="{9B895B84-F69B-4032-B0F7-36A3ED232B05}"/>
    <cellStyle name="Comma 4 3 4 5 3 3" xfId="14714" xr:uid="{1C08FD49-4438-4BBF-A0D1-4B43D5145B19}"/>
    <cellStyle name="Comma 4 3 4 5 4" xfId="18931" xr:uid="{59842F1A-DF2A-4373-9EF7-4E1BFBFDD37A}"/>
    <cellStyle name="Comma 4 3 4 5 5" xfId="10497" xr:uid="{E10D99EE-310B-4B7A-A57F-60F4941AE36B}"/>
    <cellStyle name="Comma 4 3 4 6" xfId="2404" xr:uid="{00000000-0005-0000-0000-0000AC090000}"/>
    <cellStyle name="Comma 4 3 4 6 2" xfId="6689" xr:uid="{00000000-0005-0000-0000-0000AD090000}"/>
    <cellStyle name="Comma 4 3 4 6 2 2" xfId="23561" xr:uid="{B3137CAD-9B53-4D03-B759-EF02CC8B0ED8}"/>
    <cellStyle name="Comma 4 3 4 6 2 3" xfId="15127" xr:uid="{74CAC475-772F-45F8-BB29-FD99F2821B13}"/>
    <cellStyle name="Comma 4 3 4 6 3" xfId="19344" xr:uid="{8451D27F-493B-463D-8D70-FB6D3822BCBC}"/>
    <cellStyle name="Comma 4 3 4 6 4" xfId="10910" xr:uid="{B4C0DC9D-7E9D-483E-A4A2-5E46E5B6ECC3}"/>
    <cellStyle name="Comma 4 3 4 7" xfId="2700" xr:uid="{00000000-0005-0000-0000-0000AE090000}"/>
    <cellStyle name="Comma 4 3 4 8" xfId="2782" xr:uid="{00000000-0005-0000-0000-0000AF090000}"/>
    <cellStyle name="Comma 4 3 4 8 2" xfId="7006" xr:uid="{00000000-0005-0000-0000-0000B0090000}"/>
    <cellStyle name="Comma 4 3 4 8 2 2" xfId="23878" xr:uid="{82A85EF2-3120-4789-8E32-DD22215A4CB4}"/>
    <cellStyle name="Comma 4 3 4 8 2 3" xfId="15444" xr:uid="{FB5BCB2F-9827-4CF8-A518-EC87DA28A244}"/>
    <cellStyle name="Comma 4 3 4 8 3" xfId="19661" xr:uid="{C0A966E4-9F7D-4476-A2EF-ADA1A39A5A89}"/>
    <cellStyle name="Comma 4 3 4 8 4" xfId="11227" xr:uid="{887E99FA-21FB-4A71-AACC-53E04E3FECDD}"/>
    <cellStyle name="Comma 4 3 4 9" xfId="4623" xr:uid="{00000000-0005-0000-0000-0000B1090000}"/>
    <cellStyle name="Comma 4 3 4 9 2" xfId="21495" xr:uid="{7B78BBD1-C27B-498C-B389-3CC81F4415F6}"/>
    <cellStyle name="Comma 4 3 4 9 3" xfId="13061" xr:uid="{4F6D5907-0750-4060-BBC5-D39D53722F20}"/>
    <cellStyle name="Comma 4 3 5" xfId="152" xr:uid="{00000000-0005-0000-0000-0000B2090000}"/>
    <cellStyle name="Comma 4 3 5 10" xfId="17279" xr:uid="{3AA7E7A2-EE03-4632-8497-2C44A44507AD}"/>
    <cellStyle name="Comma 4 3 5 11" xfId="8845" xr:uid="{6E4440DC-6C97-4D6F-9060-5BF6685D322E}"/>
    <cellStyle name="Comma 4 3 5 2" xfId="689" xr:uid="{00000000-0005-0000-0000-0000B3090000}"/>
    <cellStyle name="Comma 4 3 5 2 2" xfId="2960" xr:uid="{00000000-0005-0000-0000-0000B4090000}"/>
    <cellStyle name="Comma 4 3 5 2 2 2" xfId="7183" xr:uid="{00000000-0005-0000-0000-0000B5090000}"/>
    <cellStyle name="Comma 4 3 5 2 2 2 2" xfId="24055" xr:uid="{71ACE8DF-A552-401F-AA2E-FE71BD5CDF6E}"/>
    <cellStyle name="Comma 4 3 5 2 2 2 3" xfId="15621" xr:uid="{02024412-2C41-4CFA-8C01-5C2DF2107C03}"/>
    <cellStyle name="Comma 4 3 5 2 2 3" xfId="19838" xr:uid="{FDE95626-AAF4-4509-9AE5-742D571ABF92}"/>
    <cellStyle name="Comma 4 3 5 2 2 4" xfId="11404" xr:uid="{AAF49D11-ADAC-4CBF-86B8-44B88A1B6CEC}"/>
    <cellStyle name="Comma 4 3 5 2 3" xfId="5038" xr:uid="{00000000-0005-0000-0000-0000B6090000}"/>
    <cellStyle name="Comma 4 3 5 2 3 2" xfId="21910" xr:uid="{A1DB467E-979D-4292-AC28-4F9D7BE45F57}"/>
    <cellStyle name="Comma 4 3 5 2 3 3" xfId="13476" xr:uid="{EB7D1607-D7C4-44DB-BBB1-E9F064FB3ECA}"/>
    <cellStyle name="Comma 4 3 5 2 4" xfId="17693" xr:uid="{0E9314EB-EC49-4E6F-AC6C-FF09CC3B05EC}"/>
    <cellStyle name="Comma 4 3 5 2 5" xfId="9259" xr:uid="{E9060977-4751-49C3-808A-30487045F9CA}"/>
    <cellStyle name="Comma 4 3 5 3" xfId="1142" xr:uid="{00000000-0005-0000-0000-0000B7090000}"/>
    <cellStyle name="Comma 4 3 5 3 2" xfId="3373" xr:uid="{00000000-0005-0000-0000-0000B8090000}"/>
    <cellStyle name="Comma 4 3 5 3 2 2" xfId="7596" xr:uid="{00000000-0005-0000-0000-0000B9090000}"/>
    <cellStyle name="Comma 4 3 5 3 2 2 2" xfId="24468" xr:uid="{88A93ABE-DB5A-4A86-9986-0A92D5DE90DB}"/>
    <cellStyle name="Comma 4 3 5 3 2 2 3" xfId="16034" xr:uid="{E4D50992-FCEC-462B-AD19-77E285D2BB46}"/>
    <cellStyle name="Comma 4 3 5 3 2 3" xfId="20251" xr:uid="{63F5E3BD-3FC1-43E4-8A9A-D06F7B89B230}"/>
    <cellStyle name="Comma 4 3 5 3 2 4" xfId="11817" xr:uid="{62222F92-ABDD-4AE7-8D27-04A26C09CF5E}"/>
    <cellStyle name="Comma 4 3 5 3 3" xfId="5451" xr:uid="{00000000-0005-0000-0000-0000BA090000}"/>
    <cellStyle name="Comma 4 3 5 3 3 2" xfId="22323" xr:uid="{B65A83FE-05FA-4CB2-96EB-341DF093283A}"/>
    <cellStyle name="Comma 4 3 5 3 3 3" xfId="13889" xr:uid="{8C99294B-2A7A-45AA-8631-F8A9D392AA81}"/>
    <cellStyle name="Comma 4 3 5 3 4" xfId="18106" xr:uid="{BA772923-2A1A-4580-AC08-CEEBCCD2BCF7}"/>
    <cellStyle name="Comma 4 3 5 3 5" xfId="9672" xr:uid="{BE099A19-EB71-4E13-8AD1-771C91F9478B}"/>
    <cellStyle name="Comma 4 3 5 4" xfId="1556" xr:uid="{00000000-0005-0000-0000-0000BB090000}"/>
    <cellStyle name="Comma 4 3 5 4 2" xfId="3786" xr:uid="{00000000-0005-0000-0000-0000BC090000}"/>
    <cellStyle name="Comma 4 3 5 4 2 2" xfId="8009" xr:uid="{00000000-0005-0000-0000-0000BD090000}"/>
    <cellStyle name="Comma 4 3 5 4 2 2 2" xfId="24881" xr:uid="{BD788FF6-88F6-45A5-97D5-6D0C2A9CB245}"/>
    <cellStyle name="Comma 4 3 5 4 2 2 3" xfId="16447" xr:uid="{1EF32848-DB7D-4236-8973-C46A0329F548}"/>
    <cellStyle name="Comma 4 3 5 4 2 3" xfId="20664" xr:uid="{0C545FA8-9B6A-4FD5-B488-1557D46D8727}"/>
    <cellStyle name="Comma 4 3 5 4 2 4" xfId="12230" xr:uid="{BBD8BA88-4DB4-4D8E-AD5D-B832CEC38978}"/>
    <cellStyle name="Comma 4 3 5 4 3" xfId="5864" xr:uid="{00000000-0005-0000-0000-0000BE090000}"/>
    <cellStyle name="Comma 4 3 5 4 3 2" xfId="22736" xr:uid="{64CF8609-9CCF-4702-A59E-F38B4F47CA91}"/>
    <cellStyle name="Comma 4 3 5 4 3 3" xfId="14302" xr:uid="{A94CC874-2A4E-4099-BA31-D5465BFF6D6E}"/>
    <cellStyle name="Comma 4 3 5 4 4" xfId="18519" xr:uid="{888BF7DA-329D-4CCD-A7C6-93BED6422B5D}"/>
    <cellStyle name="Comma 4 3 5 4 5" xfId="10085" xr:uid="{D59655F0-B602-4DC8-A44B-AA97FA059341}"/>
    <cellStyle name="Comma 4 3 5 5" xfId="1970" xr:uid="{00000000-0005-0000-0000-0000BF090000}"/>
    <cellStyle name="Comma 4 3 5 5 2" xfId="4199" xr:uid="{00000000-0005-0000-0000-0000C0090000}"/>
    <cellStyle name="Comma 4 3 5 5 2 2" xfId="8422" xr:uid="{00000000-0005-0000-0000-0000C1090000}"/>
    <cellStyle name="Comma 4 3 5 5 2 2 2" xfId="25294" xr:uid="{36D167C7-995C-4CA2-B0B0-A3BA3AA565DC}"/>
    <cellStyle name="Comma 4 3 5 5 2 2 3" xfId="16860" xr:uid="{9D43F24B-B52E-4CBE-9BBB-0DFA9E5CAC4E}"/>
    <cellStyle name="Comma 4 3 5 5 2 3" xfId="21077" xr:uid="{860F0FF4-F179-48F2-B69D-8C215EEE5FDF}"/>
    <cellStyle name="Comma 4 3 5 5 2 4" xfId="12643" xr:uid="{B414B8A4-018D-4877-9598-03AA49575C12}"/>
    <cellStyle name="Comma 4 3 5 5 3" xfId="6277" xr:uid="{00000000-0005-0000-0000-0000C2090000}"/>
    <cellStyle name="Comma 4 3 5 5 3 2" xfId="23149" xr:uid="{6C2F9134-52B8-4B33-9768-F78EBC649FA3}"/>
    <cellStyle name="Comma 4 3 5 5 3 3" xfId="14715" xr:uid="{CB4348ED-D003-44B7-8266-35722684068A}"/>
    <cellStyle name="Comma 4 3 5 5 4" xfId="18932" xr:uid="{4F493A12-E476-40D8-AE8C-5E96DF0C2327}"/>
    <cellStyle name="Comma 4 3 5 5 5" xfId="10498" xr:uid="{896F2F56-9ADB-4F7C-AA87-89BBB3396231}"/>
    <cellStyle name="Comma 4 3 5 6" xfId="2405" xr:uid="{00000000-0005-0000-0000-0000C3090000}"/>
    <cellStyle name="Comma 4 3 5 6 2" xfId="6690" xr:uid="{00000000-0005-0000-0000-0000C4090000}"/>
    <cellStyle name="Comma 4 3 5 6 2 2" xfId="23562" xr:uid="{7DE14419-A78F-4E01-9574-B04B8BC17D05}"/>
    <cellStyle name="Comma 4 3 5 6 2 3" xfId="15128" xr:uid="{DEBA4985-1C2B-4FF3-8F19-8F19F234AB5E}"/>
    <cellStyle name="Comma 4 3 5 6 3" xfId="19345" xr:uid="{0829DD1F-EBB0-4DFD-AAE0-DC4330FBF08D}"/>
    <cellStyle name="Comma 4 3 5 6 4" xfId="10911" xr:uid="{67189B2E-CD4F-4968-9C15-140DF2B50D44}"/>
    <cellStyle name="Comma 4 3 5 7" xfId="2701" xr:uid="{00000000-0005-0000-0000-0000C5090000}"/>
    <cellStyle name="Comma 4 3 5 8" xfId="2783" xr:uid="{00000000-0005-0000-0000-0000C6090000}"/>
    <cellStyle name="Comma 4 3 5 8 2" xfId="7007" xr:uid="{00000000-0005-0000-0000-0000C7090000}"/>
    <cellStyle name="Comma 4 3 5 8 2 2" xfId="23879" xr:uid="{68F5B180-3A12-4969-8F7E-B999CAA90BD2}"/>
    <cellStyle name="Comma 4 3 5 8 2 3" xfId="15445" xr:uid="{4B4739B3-625A-4E47-95C0-053E87903C9B}"/>
    <cellStyle name="Comma 4 3 5 8 3" xfId="19662" xr:uid="{61AAF989-D777-415E-AD72-416AE1710918}"/>
    <cellStyle name="Comma 4 3 5 8 4" xfId="11228" xr:uid="{5868FB59-8C16-4792-B2B9-E36703174852}"/>
    <cellStyle name="Comma 4 3 5 9" xfId="4624" xr:uid="{00000000-0005-0000-0000-0000C8090000}"/>
    <cellStyle name="Comma 4 3 5 9 2" xfId="21496" xr:uid="{3136FFCD-1BCA-4603-81BE-61EE75D81853}"/>
    <cellStyle name="Comma 4 3 5 9 3" xfId="13062" xr:uid="{96DFF833-256C-4944-AD9A-DEC851091511}"/>
    <cellStyle name="Comma 4 4" xfId="153" xr:uid="{00000000-0005-0000-0000-0000C9090000}"/>
    <cellStyle name="Comma 4 4 10" xfId="2784" xr:uid="{00000000-0005-0000-0000-0000CA090000}"/>
    <cellStyle name="Comma 4 4 10 2" xfId="7008" xr:uid="{00000000-0005-0000-0000-0000CB090000}"/>
    <cellStyle name="Comma 4 4 10 2 2" xfId="23880" xr:uid="{1EDFE87F-D6FB-42BC-A95E-909F93593512}"/>
    <cellStyle name="Comma 4 4 10 2 3" xfId="15446" xr:uid="{7B2FAE21-CEB4-4D9A-9A82-C540F6901721}"/>
    <cellStyle name="Comma 4 4 10 3" xfId="19663" xr:uid="{1169E74A-E913-4833-9380-87BF37344F22}"/>
    <cellStyle name="Comma 4 4 10 4" xfId="11229" xr:uid="{B82BEA9C-41E0-464C-9DCB-DF32FBDAD9D0}"/>
    <cellStyle name="Comma 4 4 11" xfId="4625" xr:uid="{00000000-0005-0000-0000-0000CC090000}"/>
    <cellStyle name="Comma 4 4 11 2" xfId="21497" xr:uid="{A2277F1E-5423-461D-9701-6C4491C54A39}"/>
    <cellStyle name="Comma 4 4 11 3" xfId="13063" xr:uid="{ADF9C79B-F28A-4CB8-8D7C-95CA1ED59B2C}"/>
    <cellStyle name="Comma 4 4 12" xfId="17280" xr:uid="{145D4199-E652-45E5-96CE-3C09F8084FF8}"/>
    <cellStyle name="Comma 4 4 13" xfId="8846" xr:uid="{7051C235-DB82-4D05-9A7E-920F0BC2D8BA}"/>
    <cellStyle name="Comma 4 4 2" xfId="154" xr:uid="{00000000-0005-0000-0000-0000CD090000}"/>
    <cellStyle name="Comma 4 4 2 10" xfId="4626" xr:uid="{00000000-0005-0000-0000-0000CE090000}"/>
    <cellStyle name="Comma 4 4 2 10 2" xfId="21498" xr:uid="{9A3C51D0-B15E-42B5-8B60-E09DB84AD868}"/>
    <cellStyle name="Comma 4 4 2 10 3" xfId="13064" xr:uid="{86A6DA64-EE5B-418E-B0D3-A31E55BE1ABF}"/>
    <cellStyle name="Comma 4 4 2 11" xfId="17281" xr:uid="{F7F81E24-4EC9-4C2F-B3FB-24B731A384F0}"/>
    <cellStyle name="Comma 4 4 2 12" xfId="8847" xr:uid="{0ED94457-BADD-45EB-BBE0-16FEA698498D}"/>
    <cellStyle name="Comma 4 4 2 2" xfId="155" xr:uid="{00000000-0005-0000-0000-0000CF090000}"/>
    <cellStyle name="Comma 4 4 2 2 10" xfId="17282" xr:uid="{1A35EC66-23C4-40FC-9504-010DC52B2783}"/>
    <cellStyle name="Comma 4 4 2 2 11" xfId="8848" xr:uid="{0C6AA987-8D3D-4D5B-B846-02B764D01C1C}"/>
    <cellStyle name="Comma 4 4 2 2 2" xfId="692" xr:uid="{00000000-0005-0000-0000-0000D0090000}"/>
    <cellStyle name="Comma 4 4 2 2 2 2" xfId="2963" xr:uid="{00000000-0005-0000-0000-0000D1090000}"/>
    <cellStyle name="Comma 4 4 2 2 2 2 2" xfId="7186" xr:uid="{00000000-0005-0000-0000-0000D2090000}"/>
    <cellStyle name="Comma 4 4 2 2 2 2 2 2" xfId="24058" xr:uid="{0914AE6C-DA5F-452E-8E3C-7B9514962291}"/>
    <cellStyle name="Comma 4 4 2 2 2 2 2 3" xfId="15624" xr:uid="{774ADC69-E0F5-4BAA-A180-374FECBFEC70}"/>
    <cellStyle name="Comma 4 4 2 2 2 2 3" xfId="19841" xr:uid="{54A4ECA3-C0F5-4B83-808F-AA18E9E369F9}"/>
    <cellStyle name="Comma 4 4 2 2 2 2 4" xfId="11407" xr:uid="{F9B55067-AAD7-47C1-8206-A5C14F4FB2DB}"/>
    <cellStyle name="Comma 4 4 2 2 2 3" xfId="5041" xr:uid="{00000000-0005-0000-0000-0000D3090000}"/>
    <cellStyle name="Comma 4 4 2 2 2 3 2" xfId="21913" xr:uid="{D789F290-136E-4E42-970C-B1A655FBEBC9}"/>
    <cellStyle name="Comma 4 4 2 2 2 3 3" xfId="13479" xr:uid="{BF55249C-1551-4B1A-A2F0-D82EAA595D2D}"/>
    <cellStyle name="Comma 4 4 2 2 2 4" xfId="17696" xr:uid="{7B094F35-FCEB-4A0C-9FF9-360674F7824A}"/>
    <cellStyle name="Comma 4 4 2 2 2 5" xfId="9262" xr:uid="{F7C92C21-0FB3-428B-96BE-FBB1069188DD}"/>
    <cellStyle name="Comma 4 4 2 2 3" xfId="1145" xr:uid="{00000000-0005-0000-0000-0000D4090000}"/>
    <cellStyle name="Comma 4 4 2 2 3 2" xfId="3376" xr:uid="{00000000-0005-0000-0000-0000D5090000}"/>
    <cellStyle name="Comma 4 4 2 2 3 2 2" xfId="7599" xr:uid="{00000000-0005-0000-0000-0000D6090000}"/>
    <cellStyle name="Comma 4 4 2 2 3 2 2 2" xfId="24471" xr:uid="{F4623763-67BF-4E85-AA7A-BBDABED242BC}"/>
    <cellStyle name="Comma 4 4 2 2 3 2 2 3" xfId="16037" xr:uid="{6230F4FA-64CC-4D1B-9C15-AF39B6FADD2F}"/>
    <cellStyle name="Comma 4 4 2 2 3 2 3" xfId="20254" xr:uid="{B8613D85-410B-4F10-AA52-401611FB53E7}"/>
    <cellStyle name="Comma 4 4 2 2 3 2 4" xfId="11820" xr:uid="{38C17687-EF22-432A-A25F-A8DBA052D833}"/>
    <cellStyle name="Comma 4 4 2 2 3 3" xfId="5454" xr:uid="{00000000-0005-0000-0000-0000D7090000}"/>
    <cellStyle name="Comma 4 4 2 2 3 3 2" xfId="22326" xr:uid="{3B2BCF96-1128-4AA7-8D0F-51F6F156FCDD}"/>
    <cellStyle name="Comma 4 4 2 2 3 3 3" xfId="13892" xr:uid="{4136E575-EB1F-4838-B2A3-594717E6E671}"/>
    <cellStyle name="Comma 4 4 2 2 3 4" xfId="18109" xr:uid="{DFBB61EB-EBA2-478F-9034-8519334CF6D0}"/>
    <cellStyle name="Comma 4 4 2 2 3 5" xfId="9675" xr:uid="{2FCD08D4-EF6A-4E02-AD55-5B849B5B9426}"/>
    <cellStyle name="Comma 4 4 2 2 4" xfId="1559" xr:uid="{00000000-0005-0000-0000-0000D8090000}"/>
    <cellStyle name="Comma 4 4 2 2 4 2" xfId="3789" xr:uid="{00000000-0005-0000-0000-0000D9090000}"/>
    <cellStyle name="Comma 4 4 2 2 4 2 2" xfId="8012" xr:uid="{00000000-0005-0000-0000-0000DA090000}"/>
    <cellStyle name="Comma 4 4 2 2 4 2 2 2" xfId="24884" xr:uid="{C1BD6AC2-2DF3-4B0A-8884-6E2ED1575D41}"/>
    <cellStyle name="Comma 4 4 2 2 4 2 2 3" xfId="16450" xr:uid="{D2C6087C-E736-4E74-B421-7ED76CC09713}"/>
    <cellStyle name="Comma 4 4 2 2 4 2 3" xfId="20667" xr:uid="{13D6C4BB-DB76-49F5-8836-60DAEE463131}"/>
    <cellStyle name="Comma 4 4 2 2 4 2 4" xfId="12233" xr:uid="{17732240-0241-42EA-B5A9-00AD0B849732}"/>
    <cellStyle name="Comma 4 4 2 2 4 3" xfId="5867" xr:uid="{00000000-0005-0000-0000-0000DB090000}"/>
    <cellStyle name="Comma 4 4 2 2 4 3 2" xfId="22739" xr:uid="{7523AF0F-4434-4324-8477-41CEFC957E78}"/>
    <cellStyle name="Comma 4 4 2 2 4 3 3" xfId="14305" xr:uid="{524736D8-BCB2-4D19-88A3-12E2B8E0CFC9}"/>
    <cellStyle name="Comma 4 4 2 2 4 4" xfId="18522" xr:uid="{69189E80-499E-4763-AFB1-D923A4EA0DB9}"/>
    <cellStyle name="Comma 4 4 2 2 4 5" xfId="10088" xr:uid="{69BE4419-2649-4F3E-A93A-0666ABC27871}"/>
    <cellStyle name="Comma 4 4 2 2 5" xfId="1973" xr:uid="{00000000-0005-0000-0000-0000DC090000}"/>
    <cellStyle name="Comma 4 4 2 2 5 2" xfId="4202" xr:uid="{00000000-0005-0000-0000-0000DD090000}"/>
    <cellStyle name="Comma 4 4 2 2 5 2 2" xfId="8425" xr:uid="{00000000-0005-0000-0000-0000DE090000}"/>
    <cellStyle name="Comma 4 4 2 2 5 2 2 2" xfId="25297" xr:uid="{19EFC65D-B891-432E-A8B0-5466A8C89BDF}"/>
    <cellStyle name="Comma 4 4 2 2 5 2 2 3" xfId="16863" xr:uid="{055EE719-CEF1-4488-AF03-40DAB3699AD4}"/>
    <cellStyle name="Comma 4 4 2 2 5 2 3" xfId="21080" xr:uid="{12496A8B-66D4-4997-9A66-0509E0CD5321}"/>
    <cellStyle name="Comma 4 4 2 2 5 2 4" xfId="12646" xr:uid="{64E5046E-54C3-4CD3-9722-F49B9DD6A2F5}"/>
    <cellStyle name="Comma 4 4 2 2 5 3" xfId="6280" xr:uid="{00000000-0005-0000-0000-0000DF090000}"/>
    <cellStyle name="Comma 4 4 2 2 5 3 2" xfId="23152" xr:uid="{FCF8726A-8222-4E71-AAA6-4369C2B2A78F}"/>
    <cellStyle name="Comma 4 4 2 2 5 3 3" xfId="14718" xr:uid="{B4C7060E-F2F3-4B30-9D7B-4F338BC8B3E0}"/>
    <cellStyle name="Comma 4 4 2 2 5 4" xfId="18935" xr:uid="{FBF13CA0-2A5C-4807-8873-295ABEDDE673}"/>
    <cellStyle name="Comma 4 4 2 2 5 5" xfId="10501" xr:uid="{81B89735-49B0-4F30-95A0-DB6ACD7B9AC9}"/>
    <cellStyle name="Comma 4 4 2 2 6" xfId="2408" xr:uid="{00000000-0005-0000-0000-0000E0090000}"/>
    <cellStyle name="Comma 4 4 2 2 6 2" xfId="6693" xr:uid="{00000000-0005-0000-0000-0000E1090000}"/>
    <cellStyle name="Comma 4 4 2 2 6 2 2" xfId="23565" xr:uid="{459F4F90-2F50-45D3-977A-E4A560869441}"/>
    <cellStyle name="Comma 4 4 2 2 6 2 3" xfId="15131" xr:uid="{52FC0D08-46E2-4697-B54A-523F9C20B2F9}"/>
    <cellStyle name="Comma 4 4 2 2 6 3" xfId="19348" xr:uid="{CC22F4A5-7B0B-404A-94B1-CE26D73AC8AD}"/>
    <cellStyle name="Comma 4 4 2 2 6 4" xfId="10914" xr:uid="{09CBDCC5-5607-4823-841A-3C9A31C9601E}"/>
    <cellStyle name="Comma 4 4 2 2 7" xfId="2704" xr:uid="{00000000-0005-0000-0000-0000E2090000}"/>
    <cellStyle name="Comma 4 4 2 2 8" xfId="2786" xr:uid="{00000000-0005-0000-0000-0000E3090000}"/>
    <cellStyle name="Comma 4 4 2 2 8 2" xfId="7010" xr:uid="{00000000-0005-0000-0000-0000E4090000}"/>
    <cellStyle name="Comma 4 4 2 2 8 2 2" xfId="23882" xr:uid="{AB54FF34-4C0E-4077-8F4A-3EA4EF3A76F8}"/>
    <cellStyle name="Comma 4 4 2 2 8 2 3" xfId="15448" xr:uid="{F0576922-7214-4D6D-8A56-E76BCF557A19}"/>
    <cellStyle name="Comma 4 4 2 2 8 3" xfId="19665" xr:uid="{FF79EEEC-2B95-4228-92C6-7D75B4F188C9}"/>
    <cellStyle name="Comma 4 4 2 2 8 4" xfId="11231" xr:uid="{1F908D01-D2A6-49AC-A7CC-5B62A6A9033F}"/>
    <cellStyle name="Comma 4 4 2 2 9" xfId="4627" xr:uid="{00000000-0005-0000-0000-0000E5090000}"/>
    <cellStyle name="Comma 4 4 2 2 9 2" xfId="21499" xr:uid="{31E996E8-EF66-42DA-92AE-F89B50BB3667}"/>
    <cellStyle name="Comma 4 4 2 2 9 3" xfId="13065" xr:uid="{792F012C-1AEB-4FA6-A71E-73EE3F9A2D69}"/>
    <cellStyle name="Comma 4 4 2 3" xfId="691" xr:uid="{00000000-0005-0000-0000-0000E6090000}"/>
    <cellStyle name="Comma 4 4 2 3 2" xfId="2962" xr:uid="{00000000-0005-0000-0000-0000E7090000}"/>
    <cellStyle name="Comma 4 4 2 3 2 2" xfId="7185" xr:uid="{00000000-0005-0000-0000-0000E8090000}"/>
    <cellStyle name="Comma 4 4 2 3 2 2 2" xfId="24057" xr:uid="{FF72232B-DB49-491C-ADDE-8F844562E513}"/>
    <cellStyle name="Comma 4 4 2 3 2 2 3" xfId="15623" xr:uid="{C83B010D-4CAC-48AF-8295-4AFB99B15362}"/>
    <cellStyle name="Comma 4 4 2 3 2 3" xfId="19840" xr:uid="{852387E8-066F-4281-B5BC-9AD61D0ACBE6}"/>
    <cellStyle name="Comma 4 4 2 3 2 4" xfId="11406" xr:uid="{DC6D601A-B963-41B0-AEC3-6EA5445840E2}"/>
    <cellStyle name="Comma 4 4 2 3 3" xfId="5040" xr:uid="{00000000-0005-0000-0000-0000E9090000}"/>
    <cellStyle name="Comma 4 4 2 3 3 2" xfId="21912" xr:uid="{AFCF2EEC-3FF3-4164-8D57-6C85DE267CF3}"/>
    <cellStyle name="Comma 4 4 2 3 3 3" xfId="13478" xr:uid="{ECA85270-7F22-40AE-9837-C82541765493}"/>
    <cellStyle name="Comma 4 4 2 3 4" xfId="17695" xr:uid="{D6AFA3CB-D264-4BDA-811B-415ACC96C582}"/>
    <cellStyle name="Comma 4 4 2 3 5" xfId="9261" xr:uid="{7E6EE8F9-4BBC-4258-98E2-8453BE78D354}"/>
    <cellStyle name="Comma 4 4 2 4" xfId="1144" xr:uid="{00000000-0005-0000-0000-0000EA090000}"/>
    <cellStyle name="Comma 4 4 2 4 2" xfId="3375" xr:uid="{00000000-0005-0000-0000-0000EB090000}"/>
    <cellStyle name="Comma 4 4 2 4 2 2" xfId="7598" xr:uid="{00000000-0005-0000-0000-0000EC090000}"/>
    <cellStyle name="Comma 4 4 2 4 2 2 2" xfId="24470" xr:uid="{1FE0D93C-96ED-46F2-85DB-9CD60A575CD4}"/>
    <cellStyle name="Comma 4 4 2 4 2 2 3" xfId="16036" xr:uid="{491A8AA6-9112-458A-A2B2-BF3CF355FFEE}"/>
    <cellStyle name="Comma 4 4 2 4 2 3" xfId="20253" xr:uid="{2B0E8CEF-286A-41FA-A7CC-B8D6E5099459}"/>
    <cellStyle name="Comma 4 4 2 4 2 4" xfId="11819" xr:uid="{5AF4F378-267D-41A4-BD3E-7F68D627ED82}"/>
    <cellStyle name="Comma 4 4 2 4 3" xfId="5453" xr:uid="{00000000-0005-0000-0000-0000ED090000}"/>
    <cellStyle name="Comma 4 4 2 4 3 2" xfId="22325" xr:uid="{3CDB1ADF-81D2-48F1-827E-2BB735471FFB}"/>
    <cellStyle name="Comma 4 4 2 4 3 3" xfId="13891" xr:uid="{5044C6A3-4B84-4A6B-B1AA-C4E500F2C200}"/>
    <cellStyle name="Comma 4 4 2 4 4" xfId="18108" xr:uid="{6B5DA530-8B43-430B-BED1-6993979A0F01}"/>
    <cellStyle name="Comma 4 4 2 4 5" xfId="9674" xr:uid="{FDD1A7CA-5D73-4E6B-BCEA-5F41866A44D4}"/>
    <cellStyle name="Comma 4 4 2 5" xfId="1558" xr:uid="{00000000-0005-0000-0000-0000EE090000}"/>
    <cellStyle name="Comma 4 4 2 5 2" xfId="3788" xr:uid="{00000000-0005-0000-0000-0000EF090000}"/>
    <cellStyle name="Comma 4 4 2 5 2 2" xfId="8011" xr:uid="{00000000-0005-0000-0000-0000F0090000}"/>
    <cellStyle name="Comma 4 4 2 5 2 2 2" xfId="24883" xr:uid="{8333B840-8AEE-49E9-9AC0-98174429B173}"/>
    <cellStyle name="Comma 4 4 2 5 2 2 3" xfId="16449" xr:uid="{43B9ED07-F4FE-4FB1-A095-3F4FA96213AA}"/>
    <cellStyle name="Comma 4 4 2 5 2 3" xfId="20666" xr:uid="{1C0C2B55-D6FF-4894-A595-9744EA7609BA}"/>
    <cellStyle name="Comma 4 4 2 5 2 4" xfId="12232" xr:uid="{C5E7F9DA-8684-4A90-87FB-8A76F851D135}"/>
    <cellStyle name="Comma 4 4 2 5 3" xfId="5866" xr:uid="{00000000-0005-0000-0000-0000F1090000}"/>
    <cellStyle name="Comma 4 4 2 5 3 2" xfId="22738" xr:uid="{40EAFC59-BC60-49D1-9496-8ECCDADD2087}"/>
    <cellStyle name="Comma 4 4 2 5 3 3" xfId="14304" xr:uid="{9C368E3E-3D3B-4575-AB3C-D80357FBE768}"/>
    <cellStyle name="Comma 4 4 2 5 4" xfId="18521" xr:uid="{5400643F-D6E7-4025-8442-4F7F025E48BC}"/>
    <cellStyle name="Comma 4 4 2 5 5" xfId="10087" xr:uid="{0065CA98-77BF-440A-B8BE-8255EF3F92BB}"/>
    <cellStyle name="Comma 4 4 2 6" xfId="1972" xr:uid="{00000000-0005-0000-0000-0000F2090000}"/>
    <cellStyle name="Comma 4 4 2 6 2" xfId="4201" xr:uid="{00000000-0005-0000-0000-0000F3090000}"/>
    <cellStyle name="Comma 4 4 2 6 2 2" xfId="8424" xr:uid="{00000000-0005-0000-0000-0000F4090000}"/>
    <cellStyle name="Comma 4 4 2 6 2 2 2" xfId="25296" xr:uid="{7EAAEAFA-E2C4-440E-9F66-15C42E453A5A}"/>
    <cellStyle name="Comma 4 4 2 6 2 2 3" xfId="16862" xr:uid="{9F6D5475-22C8-4765-A808-368F621BF31A}"/>
    <cellStyle name="Comma 4 4 2 6 2 3" xfId="21079" xr:uid="{0FFE70A8-4282-4481-B7F8-C23211F42471}"/>
    <cellStyle name="Comma 4 4 2 6 2 4" xfId="12645" xr:uid="{F181D02B-B23E-48E8-B3C3-F38FE0300B24}"/>
    <cellStyle name="Comma 4 4 2 6 3" xfId="6279" xr:uid="{00000000-0005-0000-0000-0000F5090000}"/>
    <cellStyle name="Comma 4 4 2 6 3 2" xfId="23151" xr:uid="{6FFD664C-DA9E-4E8A-B980-4D9970F6E9DF}"/>
    <cellStyle name="Comma 4 4 2 6 3 3" xfId="14717" xr:uid="{0732805B-0BB6-4D97-A9B7-047FA6D0D3B2}"/>
    <cellStyle name="Comma 4 4 2 6 4" xfId="18934" xr:uid="{AC7A4FC8-A626-477C-8FB2-1C1FB0DB86DA}"/>
    <cellStyle name="Comma 4 4 2 6 5" xfId="10500" xr:uid="{148FB57B-E45D-4E7F-9C17-9302845DB6A4}"/>
    <cellStyle name="Comma 4 4 2 7" xfId="2407" xr:uid="{00000000-0005-0000-0000-0000F6090000}"/>
    <cellStyle name="Comma 4 4 2 7 2" xfId="6692" xr:uid="{00000000-0005-0000-0000-0000F7090000}"/>
    <cellStyle name="Comma 4 4 2 7 2 2" xfId="23564" xr:uid="{BA4B8FA8-3133-431F-A504-D2699899C0DB}"/>
    <cellStyle name="Comma 4 4 2 7 2 3" xfId="15130" xr:uid="{342C3D19-8D6A-45E1-AA8B-376A87D48BC6}"/>
    <cellStyle name="Comma 4 4 2 7 3" xfId="19347" xr:uid="{7B553FDA-C060-4078-A626-4CD8F724AF34}"/>
    <cellStyle name="Comma 4 4 2 7 4" xfId="10913" xr:uid="{8A9D50EA-A0B1-49F9-A1E1-4FD8420185E6}"/>
    <cellStyle name="Comma 4 4 2 8" xfId="2703" xr:uid="{00000000-0005-0000-0000-0000F8090000}"/>
    <cellStyle name="Comma 4 4 2 9" xfId="2785" xr:uid="{00000000-0005-0000-0000-0000F9090000}"/>
    <cellStyle name="Comma 4 4 2 9 2" xfId="7009" xr:uid="{00000000-0005-0000-0000-0000FA090000}"/>
    <cellStyle name="Comma 4 4 2 9 2 2" xfId="23881" xr:uid="{19CBC8E8-C93E-4390-A4F9-0C022560024F}"/>
    <cellStyle name="Comma 4 4 2 9 2 3" xfId="15447" xr:uid="{E69B249F-2919-4072-A005-3B1DC7A00A08}"/>
    <cellStyle name="Comma 4 4 2 9 3" xfId="19664" xr:uid="{DD86FB86-7C28-4AF6-8B29-E7600888B74D}"/>
    <cellStyle name="Comma 4 4 2 9 4" xfId="11230" xr:uid="{AAC5AA37-2A03-4778-AB89-B795A91B25AA}"/>
    <cellStyle name="Comma 4 4 3" xfId="156" xr:uid="{00000000-0005-0000-0000-0000FB090000}"/>
    <cellStyle name="Comma 4 4 3 10" xfId="17283" xr:uid="{3F3BE7C9-D2CC-450F-AADB-01923B0FF862}"/>
    <cellStyle name="Comma 4 4 3 11" xfId="8849" xr:uid="{411812A3-28D6-4752-9A04-ADA159641E00}"/>
    <cellStyle name="Comma 4 4 3 2" xfId="693" xr:uid="{00000000-0005-0000-0000-0000FC090000}"/>
    <cellStyle name="Comma 4 4 3 2 2" xfId="2964" xr:uid="{00000000-0005-0000-0000-0000FD090000}"/>
    <cellStyle name="Comma 4 4 3 2 2 2" xfId="7187" xr:uid="{00000000-0005-0000-0000-0000FE090000}"/>
    <cellStyle name="Comma 4 4 3 2 2 2 2" xfId="24059" xr:uid="{4A2AEF25-269C-4A4E-A065-F478CBDE1DC8}"/>
    <cellStyle name="Comma 4 4 3 2 2 2 3" xfId="15625" xr:uid="{E009F6EF-0226-4B2B-BEE2-BE847E5B2311}"/>
    <cellStyle name="Comma 4 4 3 2 2 3" xfId="19842" xr:uid="{CC20C780-275D-4D01-BC4E-A2A0B93741B7}"/>
    <cellStyle name="Comma 4 4 3 2 2 4" xfId="11408" xr:uid="{51B95C4D-0B06-4A98-84D2-7DFB8B7049ED}"/>
    <cellStyle name="Comma 4 4 3 2 3" xfId="5042" xr:uid="{00000000-0005-0000-0000-0000FF090000}"/>
    <cellStyle name="Comma 4 4 3 2 3 2" xfId="21914" xr:uid="{8ACE3BB4-B500-451F-A152-51FDCFC8F266}"/>
    <cellStyle name="Comma 4 4 3 2 3 3" xfId="13480" xr:uid="{4CF105E6-D793-4F96-BE61-F3F896D3AE53}"/>
    <cellStyle name="Comma 4 4 3 2 4" xfId="17697" xr:uid="{B531CE98-7BE9-4155-91E7-E487D21EB7DC}"/>
    <cellStyle name="Comma 4 4 3 2 5" xfId="9263" xr:uid="{54C200B9-5C28-42AC-86AA-E3A812A6C00C}"/>
    <cellStyle name="Comma 4 4 3 3" xfId="1146" xr:uid="{00000000-0005-0000-0000-0000000A0000}"/>
    <cellStyle name="Comma 4 4 3 3 2" xfId="3377" xr:uid="{00000000-0005-0000-0000-0000010A0000}"/>
    <cellStyle name="Comma 4 4 3 3 2 2" xfId="7600" xr:uid="{00000000-0005-0000-0000-0000020A0000}"/>
    <cellStyle name="Comma 4 4 3 3 2 2 2" xfId="24472" xr:uid="{1D0AA569-0DC0-4A70-A9DA-A8680C753E37}"/>
    <cellStyle name="Comma 4 4 3 3 2 2 3" xfId="16038" xr:uid="{243D1417-A04C-4EDD-894A-810B86B1A180}"/>
    <cellStyle name="Comma 4 4 3 3 2 3" xfId="20255" xr:uid="{98B8DDD9-5103-47FA-B356-A6EDD1B116DB}"/>
    <cellStyle name="Comma 4 4 3 3 2 4" xfId="11821" xr:uid="{7933DBFD-64C6-461B-8E7D-A7F6657A1ACA}"/>
    <cellStyle name="Comma 4 4 3 3 3" xfId="5455" xr:uid="{00000000-0005-0000-0000-0000030A0000}"/>
    <cellStyle name="Comma 4 4 3 3 3 2" xfId="22327" xr:uid="{6C382ECC-B21F-41F5-B1BB-41DAEA5E0A1E}"/>
    <cellStyle name="Comma 4 4 3 3 3 3" xfId="13893" xr:uid="{DDC664F5-FEE2-4913-A1C8-90BE7CDF1B5F}"/>
    <cellStyle name="Comma 4 4 3 3 4" xfId="18110" xr:uid="{853675B6-345B-4937-9AF6-B16E6AECF88D}"/>
    <cellStyle name="Comma 4 4 3 3 5" xfId="9676" xr:uid="{D8E224EC-1AB9-4A99-BA5F-B11B5DA325AA}"/>
    <cellStyle name="Comma 4 4 3 4" xfId="1560" xr:uid="{00000000-0005-0000-0000-0000040A0000}"/>
    <cellStyle name="Comma 4 4 3 4 2" xfId="3790" xr:uid="{00000000-0005-0000-0000-0000050A0000}"/>
    <cellStyle name="Comma 4 4 3 4 2 2" xfId="8013" xr:uid="{00000000-0005-0000-0000-0000060A0000}"/>
    <cellStyle name="Comma 4 4 3 4 2 2 2" xfId="24885" xr:uid="{C3181258-1D91-490F-99B9-7A4871A86D23}"/>
    <cellStyle name="Comma 4 4 3 4 2 2 3" xfId="16451" xr:uid="{82FD265D-F9C1-4DC4-998B-1F01B0161A3C}"/>
    <cellStyle name="Comma 4 4 3 4 2 3" xfId="20668" xr:uid="{21666EF1-FD24-47A1-93DA-4D29A8C7D56A}"/>
    <cellStyle name="Comma 4 4 3 4 2 4" xfId="12234" xr:uid="{19836D1E-B33D-4F45-9EDF-3292349BD29D}"/>
    <cellStyle name="Comma 4 4 3 4 3" xfId="5868" xr:uid="{00000000-0005-0000-0000-0000070A0000}"/>
    <cellStyle name="Comma 4 4 3 4 3 2" xfId="22740" xr:uid="{96418A2E-B3A8-456F-9ABC-C63840822F37}"/>
    <cellStyle name="Comma 4 4 3 4 3 3" xfId="14306" xr:uid="{1F1E8B78-6B8D-42E7-B8D9-679975115DDA}"/>
    <cellStyle name="Comma 4 4 3 4 4" xfId="18523" xr:uid="{F607C778-D557-4531-976A-6D1C0B119128}"/>
    <cellStyle name="Comma 4 4 3 4 5" xfId="10089" xr:uid="{54A14942-22A5-4D06-A8B4-320A3C94982E}"/>
    <cellStyle name="Comma 4 4 3 5" xfId="1974" xr:uid="{00000000-0005-0000-0000-0000080A0000}"/>
    <cellStyle name="Comma 4 4 3 5 2" xfId="4203" xr:uid="{00000000-0005-0000-0000-0000090A0000}"/>
    <cellStyle name="Comma 4 4 3 5 2 2" xfId="8426" xr:uid="{00000000-0005-0000-0000-00000A0A0000}"/>
    <cellStyle name="Comma 4 4 3 5 2 2 2" xfId="25298" xr:uid="{8DF2A8BF-A8F5-41F9-8F49-5D41825B8E8E}"/>
    <cellStyle name="Comma 4 4 3 5 2 2 3" xfId="16864" xr:uid="{BDCF2C49-1E65-4A0D-9991-1C31AB1D5EBF}"/>
    <cellStyle name="Comma 4 4 3 5 2 3" xfId="21081" xr:uid="{9C5B5DC6-D2C7-474A-BC68-8120F9684993}"/>
    <cellStyle name="Comma 4 4 3 5 2 4" xfId="12647" xr:uid="{7C28E0C6-B5E4-4FEA-854D-924B8DAA0FCA}"/>
    <cellStyle name="Comma 4 4 3 5 3" xfId="6281" xr:uid="{00000000-0005-0000-0000-00000B0A0000}"/>
    <cellStyle name="Comma 4 4 3 5 3 2" xfId="23153" xr:uid="{8B1D30D9-4DFB-4F2A-BAEC-00EE599325CD}"/>
    <cellStyle name="Comma 4 4 3 5 3 3" xfId="14719" xr:uid="{771F0EC0-52CA-400D-B687-A8DC2AD2A2B1}"/>
    <cellStyle name="Comma 4 4 3 5 4" xfId="18936" xr:uid="{4F027DB1-3BA4-4D59-9B5F-4243CE65AF2F}"/>
    <cellStyle name="Comma 4 4 3 5 5" xfId="10502" xr:uid="{5681243B-42A1-4B8D-AFCF-E3CDC9BA638B}"/>
    <cellStyle name="Comma 4 4 3 6" xfId="2409" xr:uid="{00000000-0005-0000-0000-00000C0A0000}"/>
    <cellStyle name="Comma 4 4 3 6 2" xfId="6694" xr:uid="{00000000-0005-0000-0000-00000D0A0000}"/>
    <cellStyle name="Comma 4 4 3 6 2 2" xfId="23566" xr:uid="{E15D3782-F627-4AC1-92AD-A492ECC08D30}"/>
    <cellStyle name="Comma 4 4 3 6 2 3" xfId="15132" xr:uid="{B52EE272-3D8E-484E-BCA1-C71FA6507F97}"/>
    <cellStyle name="Comma 4 4 3 6 3" xfId="19349" xr:uid="{8F326E12-3810-4090-A170-7455A7A186FF}"/>
    <cellStyle name="Comma 4 4 3 6 4" xfId="10915" xr:uid="{C5506BC7-5CE9-41CE-8967-0B0995FF28B6}"/>
    <cellStyle name="Comma 4 4 3 7" xfId="2705" xr:uid="{00000000-0005-0000-0000-00000E0A0000}"/>
    <cellStyle name="Comma 4 4 3 8" xfId="2787" xr:uid="{00000000-0005-0000-0000-00000F0A0000}"/>
    <cellStyle name="Comma 4 4 3 8 2" xfId="7011" xr:uid="{00000000-0005-0000-0000-0000100A0000}"/>
    <cellStyle name="Comma 4 4 3 8 2 2" xfId="23883" xr:uid="{451EA46F-7B27-44D9-B967-845BFA2CF06B}"/>
    <cellStyle name="Comma 4 4 3 8 2 3" xfId="15449" xr:uid="{FF908C02-2B54-4A7D-97E5-DB9A6123CC39}"/>
    <cellStyle name="Comma 4 4 3 8 3" xfId="19666" xr:uid="{C709F696-0D12-468A-B79C-B025EF84D650}"/>
    <cellStyle name="Comma 4 4 3 8 4" xfId="11232" xr:uid="{17366FD4-E589-4A28-A448-08B5833B27DD}"/>
    <cellStyle name="Comma 4 4 3 9" xfId="4628" xr:uid="{00000000-0005-0000-0000-0000110A0000}"/>
    <cellStyle name="Comma 4 4 3 9 2" xfId="21500" xr:uid="{B97C00DB-3662-4BD6-8B59-ED76B49DF936}"/>
    <cellStyle name="Comma 4 4 3 9 3" xfId="13066" xr:uid="{2BF39662-A22A-4A29-B24C-BBF05FAB3CC5}"/>
    <cellStyle name="Comma 4 4 4" xfId="690" xr:uid="{00000000-0005-0000-0000-0000120A0000}"/>
    <cellStyle name="Comma 4 4 4 2" xfId="2961" xr:uid="{00000000-0005-0000-0000-0000130A0000}"/>
    <cellStyle name="Comma 4 4 4 2 2" xfId="7184" xr:uid="{00000000-0005-0000-0000-0000140A0000}"/>
    <cellStyle name="Comma 4 4 4 2 2 2" xfId="24056" xr:uid="{7F114E7C-97D3-4798-97BA-379DBB6D08DB}"/>
    <cellStyle name="Comma 4 4 4 2 2 3" xfId="15622" xr:uid="{7672B3AF-FB26-446E-86FB-1071B8D3134C}"/>
    <cellStyle name="Comma 4 4 4 2 3" xfId="19839" xr:uid="{8E935224-4368-4979-886C-5C2F3191543F}"/>
    <cellStyle name="Comma 4 4 4 2 4" xfId="11405" xr:uid="{B346C6AE-AA5B-4475-8893-6D2ED5877669}"/>
    <cellStyle name="Comma 4 4 4 3" xfId="5039" xr:uid="{00000000-0005-0000-0000-0000150A0000}"/>
    <cellStyle name="Comma 4 4 4 3 2" xfId="21911" xr:uid="{B322D502-66FC-4718-B3CC-1CDDA172A09A}"/>
    <cellStyle name="Comma 4 4 4 3 3" xfId="13477" xr:uid="{419861C7-96DD-4C42-97DF-6AD039EF9BD7}"/>
    <cellStyle name="Comma 4 4 4 4" xfId="17694" xr:uid="{8C5ED8C1-A59B-4760-A697-971FF4047CDE}"/>
    <cellStyle name="Comma 4 4 4 5" xfId="9260" xr:uid="{7686ABE9-8BFE-4782-AE2A-36C47B2222EB}"/>
    <cellStyle name="Comma 4 4 5" xfId="1143" xr:uid="{00000000-0005-0000-0000-0000160A0000}"/>
    <cellStyle name="Comma 4 4 5 2" xfId="3374" xr:uid="{00000000-0005-0000-0000-0000170A0000}"/>
    <cellStyle name="Comma 4 4 5 2 2" xfId="7597" xr:uid="{00000000-0005-0000-0000-0000180A0000}"/>
    <cellStyle name="Comma 4 4 5 2 2 2" xfId="24469" xr:uid="{39696304-747A-4FC0-ABAF-99EB90E410DF}"/>
    <cellStyle name="Comma 4 4 5 2 2 3" xfId="16035" xr:uid="{9365AEC1-0241-435B-B720-7C853EA7C5CD}"/>
    <cellStyle name="Comma 4 4 5 2 3" xfId="20252" xr:uid="{0DD880DA-E8EB-460D-BD95-D116ABA53BB8}"/>
    <cellStyle name="Comma 4 4 5 2 4" xfId="11818" xr:uid="{7D733A7B-086A-4602-AB7D-38A030038DFC}"/>
    <cellStyle name="Comma 4 4 5 3" xfId="5452" xr:uid="{00000000-0005-0000-0000-0000190A0000}"/>
    <cellStyle name="Comma 4 4 5 3 2" xfId="22324" xr:uid="{DBF5895C-0B07-4B4E-8BFF-A5A803C2DC34}"/>
    <cellStyle name="Comma 4 4 5 3 3" xfId="13890" xr:uid="{7FDAE58F-A31D-433F-8486-984F245DFA8E}"/>
    <cellStyle name="Comma 4 4 5 4" xfId="18107" xr:uid="{5A88A729-6B9E-4764-B8DC-D1AF3E779A47}"/>
    <cellStyle name="Comma 4 4 5 5" xfId="9673" xr:uid="{7F298490-6974-481F-968C-F4514FDF28EB}"/>
    <cellStyle name="Comma 4 4 6" xfId="1557" xr:uid="{00000000-0005-0000-0000-00001A0A0000}"/>
    <cellStyle name="Comma 4 4 6 2" xfId="3787" xr:uid="{00000000-0005-0000-0000-00001B0A0000}"/>
    <cellStyle name="Comma 4 4 6 2 2" xfId="8010" xr:uid="{00000000-0005-0000-0000-00001C0A0000}"/>
    <cellStyle name="Comma 4 4 6 2 2 2" xfId="24882" xr:uid="{E61A2F7F-9995-487F-B95F-044673DEF9BE}"/>
    <cellStyle name="Comma 4 4 6 2 2 3" xfId="16448" xr:uid="{60FA21BC-C3CF-4591-B745-8218C006783E}"/>
    <cellStyle name="Comma 4 4 6 2 3" xfId="20665" xr:uid="{03829F71-9175-4B6A-A5B4-D7857AA827F4}"/>
    <cellStyle name="Comma 4 4 6 2 4" xfId="12231" xr:uid="{321A4AB6-DA96-458B-8B45-C46918A66C7C}"/>
    <cellStyle name="Comma 4 4 6 3" xfId="5865" xr:uid="{00000000-0005-0000-0000-00001D0A0000}"/>
    <cellStyle name="Comma 4 4 6 3 2" xfId="22737" xr:uid="{E4D10B27-E7A1-48DF-A5C9-80593AC27D4A}"/>
    <cellStyle name="Comma 4 4 6 3 3" xfId="14303" xr:uid="{6916399D-9650-49AB-AA21-C15A00C8B121}"/>
    <cellStyle name="Comma 4 4 6 4" xfId="18520" xr:uid="{7FD2D076-3FF1-4F23-8A33-E2F1ED517FFF}"/>
    <cellStyle name="Comma 4 4 6 5" xfId="10086" xr:uid="{77554A4B-7968-43E1-A1FD-A7E6E7BFAC73}"/>
    <cellStyle name="Comma 4 4 7" xfId="1971" xr:uid="{00000000-0005-0000-0000-00001E0A0000}"/>
    <cellStyle name="Comma 4 4 7 2" xfId="4200" xr:uid="{00000000-0005-0000-0000-00001F0A0000}"/>
    <cellStyle name="Comma 4 4 7 2 2" xfId="8423" xr:uid="{00000000-0005-0000-0000-0000200A0000}"/>
    <cellStyle name="Comma 4 4 7 2 2 2" xfId="25295" xr:uid="{650CC774-8F95-4F11-92F4-F8AB98B050B3}"/>
    <cellStyle name="Comma 4 4 7 2 2 3" xfId="16861" xr:uid="{38734AB2-2F6E-4195-973C-92D3F5FFDB9A}"/>
    <cellStyle name="Comma 4 4 7 2 3" xfId="21078" xr:uid="{6DAC428F-27AA-40B8-A53E-B5AD27C14A1F}"/>
    <cellStyle name="Comma 4 4 7 2 4" xfId="12644" xr:uid="{B3CC51CC-A2B1-4B7B-B574-7F21F3DFB691}"/>
    <cellStyle name="Comma 4 4 7 3" xfId="6278" xr:uid="{00000000-0005-0000-0000-0000210A0000}"/>
    <cellStyle name="Comma 4 4 7 3 2" xfId="23150" xr:uid="{71020F64-A678-476B-8B2D-286E9B55BBC3}"/>
    <cellStyle name="Comma 4 4 7 3 3" xfId="14716" xr:uid="{46AB7C9F-449C-4C30-A169-F5045547581A}"/>
    <cellStyle name="Comma 4 4 7 4" xfId="18933" xr:uid="{C0830C9B-3DA8-4947-B819-F7F1B9F4A881}"/>
    <cellStyle name="Comma 4 4 7 5" xfId="10499" xr:uid="{77EE64D4-5FA8-4AB2-8E31-2564AB479356}"/>
    <cellStyle name="Comma 4 4 8" xfId="2406" xr:uid="{00000000-0005-0000-0000-0000220A0000}"/>
    <cellStyle name="Comma 4 4 8 2" xfId="6691" xr:uid="{00000000-0005-0000-0000-0000230A0000}"/>
    <cellStyle name="Comma 4 4 8 2 2" xfId="23563" xr:uid="{F1CC54E2-876A-43FA-A4F3-AB0E182E4159}"/>
    <cellStyle name="Comma 4 4 8 2 3" xfId="15129" xr:uid="{9B5736DC-DF60-40D8-A681-0BC41FADCCCF}"/>
    <cellStyle name="Comma 4 4 8 3" xfId="19346" xr:uid="{D4D2CEE8-7FEB-4FFE-91F2-0E2D4C3F52C9}"/>
    <cellStyle name="Comma 4 4 8 4" xfId="10912" xr:uid="{D15C7AFE-C9B4-4B2C-99A3-2F115B1BB57E}"/>
    <cellStyle name="Comma 4 4 9" xfId="2702" xr:uid="{00000000-0005-0000-0000-0000240A0000}"/>
    <cellStyle name="Comma 4 5" xfId="157" xr:uid="{00000000-0005-0000-0000-0000250A0000}"/>
    <cellStyle name="Comma 4 5 10" xfId="4629" xr:uid="{00000000-0005-0000-0000-0000260A0000}"/>
    <cellStyle name="Comma 4 5 10 2" xfId="21501" xr:uid="{FF1A64CA-AD08-4E85-AA5E-7485BDAD27F5}"/>
    <cellStyle name="Comma 4 5 10 3" xfId="13067" xr:uid="{4ED9D2AA-7816-4780-97FD-7601EE981EE0}"/>
    <cellStyle name="Comma 4 5 11" xfId="17284" xr:uid="{C216F5CC-54F4-4263-8D3C-550D3A019014}"/>
    <cellStyle name="Comma 4 5 12" xfId="8850" xr:uid="{087F5D87-CD27-4BAF-92F8-D48F83781ECA}"/>
    <cellStyle name="Comma 4 5 2" xfId="158" xr:uid="{00000000-0005-0000-0000-0000270A0000}"/>
    <cellStyle name="Comma 4 5 2 10" xfId="17285" xr:uid="{A61F4834-DDDA-4C80-8069-CDA58761681C}"/>
    <cellStyle name="Comma 4 5 2 11" xfId="8851" xr:uid="{F859F561-4055-43E8-9B3E-28CB03FF0586}"/>
    <cellStyle name="Comma 4 5 2 2" xfId="695" xr:uid="{00000000-0005-0000-0000-0000280A0000}"/>
    <cellStyle name="Comma 4 5 2 2 2" xfId="2966" xr:uid="{00000000-0005-0000-0000-0000290A0000}"/>
    <cellStyle name="Comma 4 5 2 2 2 2" xfId="7189" xr:uid="{00000000-0005-0000-0000-00002A0A0000}"/>
    <cellStyle name="Comma 4 5 2 2 2 2 2" xfId="24061" xr:uid="{9DF9BE7C-DF7B-47B4-9CF9-26F45D1469D1}"/>
    <cellStyle name="Comma 4 5 2 2 2 2 3" xfId="15627" xr:uid="{9DDD1975-BE19-450F-870F-017996049CA0}"/>
    <cellStyle name="Comma 4 5 2 2 2 3" xfId="19844" xr:uid="{E66E4950-25D5-45E5-8C24-D326D09C9C53}"/>
    <cellStyle name="Comma 4 5 2 2 2 4" xfId="11410" xr:uid="{BB78C0DE-C4ED-4376-9513-0461A128D3A1}"/>
    <cellStyle name="Comma 4 5 2 2 3" xfId="5044" xr:uid="{00000000-0005-0000-0000-00002B0A0000}"/>
    <cellStyle name="Comma 4 5 2 2 3 2" xfId="21916" xr:uid="{FDB062B9-4D2E-4403-AA0C-129B99A38292}"/>
    <cellStyle name="Comma 4 5 2 2 3 3" xfId="13482" xr:uid="{83CF5F66-3F91-41C2-B283-509709ED5895}"/>
    <cellStyle name="Comma 4 5 2 2 4" xfId="17699" xr:uid="{8B3A5F0A-256E-4F2E-A6D0-AC643A515079}"/>
    <cellStyle name="Comma 4 5 2 2 5" xfId="9265" xr:uid="{D2F518DC-E91C-40B3-81F5-5BEDAFD0E3ED}"/>
    <cellStyle name="Comma 4 5 2 3" xfId="1148" xr:uid="{00000000-0005-0000-0000-00002C0A0000}"/>
    <cellStyle name="Comma 4 5 2 3 2" xfId="3379" xr:uid="{00000000-0005-0000-0000-00002D0A0000}"/>
    <cellStyle name="Comma 4 5 2 3 2 2" xfId="7602" xr:uid="{00000000-0005-0000-0000-00002E0A0000}"/>
    <cellStyle name="Comma 4 5 2 3 2 2 2" xfId="24474" xr:uid="{96823087-8674-4E4C-9BCC-0C505721447C}"/>
    <cellStyle name="Comma 4 5 2 3 2 2 3" xfId="16040" xr:uid="{A68D47C5-F33F-46A9-AC85-B60307BFF42A}"/>
    <cellStyle name="Comma 4 5 2 3 2 3" xfId="20257" xr:uid="{A2C1DB99-2031-4DB0-8FC7-847427832D62}"/>
    <cellStyle name="Comma 4 5 2 3 2 4" xfId="11823" xr:uid="{81A3F43A-CB02-4D9F-932E-E0AC44B34244}"/>
    <cellStyle name="Comma 4 5 2 3 3" xfId="5457" xr:uid="{00000000-0005-0000-0000-00002F0A0000}"/>
    <cellStyle name="Comma 4 5 2 3 3 2" xfId="22329" xr:uid="{A20C9C9C-7934-4A7B-AAE9-FA5A07DCC6BA}"/>
    <cellStyle name="Comma 4 5 2 3 3 3" xfId="13895" xr:uid="{6D4BF188-8FC1-4E06-ACD9-421C573C21F8}"/>
    <cellStyle name="Comma 4 5 2 3 4" xfId="18112" xr:uid="{6B8C8B35-700A-4CAB-9DFB-8AD4AD37C196}"/>
    <cellStyle name="Comma 4 5 2 3 5" xfId="9678" xr:uid="{ACB518BC-BC1C-4342-BC3B-AA2A7DFCF1FC}"/>
    <cellStyle name="Comma 4 5 2 4" xfId="1562" xr:uid="{00000000-0005-0000-0000-0000300A0000}"/>
    <cellStyle name="Comma 4 5 2 4 2" xfId="3792" xr:uid="{00000000-0005-0000-0000-0000310A0000}"/>
    <cellStyle name="Comma 4 5 2 4 2 2" xfId="8015" xr:uid="{00000000-0005-0000-0000-0000320A0000}"/>
    <cellStyle name="Comma 4 5 2 4 2 2 2" xfId="24887" xr:uid="{37871578-B422-4E28-83F9-F7412C02AB08}"/>
    <cellStyle name="Comma 4 5 2 4 2 2 3" xfId="16453" xr:uid="{896973F8-A22D-4F67-BEC1-F522C3A2F249}"/>
    <cellStyle name="Comma 4 5 2 4 2 3" xfId="20670" xr:uid="{08597E26-57C8-4987-9EEB-C644AB7E85EF}"/>
    <cellStyle name="Comma 4 5 2 4 2 4" xfId="12236" xr:uid="{F51CED84-7DB5-4AA1-BC4A-36C025296E9A}"/>
    <cellStyle name="Comma 4 5 2 4 3" xfId="5870" xr:uid="{00000000-0005-0000-0000-0000330A0000}"/>
    <cellStyle name="Comma 4 5 2 4 3 2" xfId="22742" xr:uid="{FE074739-3BF3-4988-A28D-4AE03FC74ABF}"/>
    <cellStyle name="Comma 4 5 2 4 3 3" xfId="14308" xr:uid="{CEFA1168-4EDF-4BC2-956B-6CC028689A80}"/>
    <cellStyle name="Comma 4 5 2 4 4" xfId="18525" xr:uid="{E1485330-EF83-435E-9F9D-AA546AA5F6E1}"/>
    <cellStyle name="Comma 4 5 2 4 5" xfId="10091" xr:uid="{C7C569F8-1EBD-4A07-AF1E-7EB91EA4F8FF}"/>
    <cellStyle name="Comma 4 5 2 5" xfId="1976" xr:uid="{00000000-0005-0000-0000-0000340A0000}"/>
    <cellStyle name="Comma 4 5 2 5 2" xfId="4205" xr:uid="{00000000-0005-0000-0000-0000350A0000}"/>
    <cellStyle name="Comma 4 5 2 5 2 2" xfId="8428" xr:uid="{00000000-0005-0000-0000-0000360A0000}"/>
    <cellStyle name="Comma 4 5 2 5 2 2 2" xfId="25300" xr:uid="{06AC1656-AD78-4009-B1ED-A35CC1108B05}"/>
    <cellStyle name="Comma 4 5 2 5 2 2 3" xfId="16866" xr:uid="{805A8818-2476-4BEA-A671-FD75726393D3}"/>
    <cellStyle name="Comma 4 5 2 5 2 3" xfId="21083" xr:uid="{9D6586F0-8EEC-4105-977F-89413DF522E3}"/>
    <cellStyle name="Comma 4 5 2 5 2 4" xfId="12649" xr:uid="{22937C4E-A2A0-45FA-B44B-869D49CCFA54}"/>
    <cellStyle name="Comma 4 5 2 5 3" xfId="6283" xr:uid="{00000000-0005-0000-0000-0000370A0000}"/>
    <cellStyle name="Comma 4 5 2 5 3 2" xfId="23155" xr:uid="{B241F7ED-97D6-4B97-8F2E-CA94AC560D84}"/>
    <cellStyle name="Comma 4 5 2 5 3 3" xfId="14721" xr:uid="{C7E1605B-A861-4AF8-A9E3-FC51D74C89D2}"/>
    <cellStyle name="Comma 4 5 2 5 4" xfId="18938" xr:uid="{CEACDC8B-8395-48C1-A75C-963DA84F85E0}"/>
    <cellStyle name="Comma 4 5 2 5 5" xfId="10504" xr:uid="{6698D796-9347-4BDE-9767-B77FE5D07CB7}"/>
    <cellStyle name="Comma 4 5 2 6" xfId="2411" xr:uid="{00000000-0005-0000-0000-0000380A0000}"/>
    <cellStyle name="Comma 4 5 2 6 2" xfId="6696" xr:uid="{00000000-0005-0000-0000-0000390A0000}"/>
    <cellStyle name="Comma 4 5 2 6 2 2" xfId="23568" xr:uid="{79016FE1-716E-4FAD-A91D-BD14B7574E41}"/>
    <cellStyle name="Comma 4 5 2 6 2 3" xfId="15134" xr:uid="{35C5EA97-17DB-4303-945A-16D51F47C71E}"/>
    <cellStyle name="Comma 4 5 2 6 3" xfId="19351" xr:uid="{30E0650A-9CB5-4072-8C6D-1EBE02F89665}"/>
    <cellStyle name="Comma 4 5 2 6 4" xfId="10917" xr:uid="{58EA562C-7D50-44DB-B656-CF1B1BE10488}"/>
    <cellStyle name="Comma 4 5 2 7" xfId="2707" xr:uid="{00000000-0005-0000-0000-00003A0A0000}"/>
    <cellStyle name="Comma 4 5 2 8" xfId="2789" xr:uid="{00000000-0005-0000-0000-00003B0A0000}"/>
    <cellStyle name="Comma 4 5 2 8 2" xfId="7013" xr:uid="{00000000-0005-0000-0000-00003C0A0000}"/>
    <cellStyle name="Comma 4 5 2 8 2 2" xfId="23885" xr:uid="{3FF16B91-6C0F-4FBB-A48B-7425F5E68AE2}"/>
    <cellStyle name="Comma 4 5 2 8 2 3" xfId="15451" xr:uid="{2CA1CCBA-A71F-481F-9503-71DB8D5E0312}"/>
    <cellStyle name="Comma 4 5 2 8 3" xfId="19668" xr:uid="{597FD53A-28D0-44EC-8C5F-BE40173B70DF}"/>
    <cellStyle name="Comma 4 5 2 8 4" xfId="11234" xr:uid="{75C0F68F-7250-47B8-9462-FB4F566963AC}"/>
    <cellStyle name="Comma 4 5 2 9" xfId="4630" xr:uid="{00000000-0005-0000-0000-00003D0A0000}"/>
    <cellStyle name="Comma 4 5 2 9 2" xfId="21502" xr:uid="{0610F8A5-B526-4C36-9A4A-9EF623CFD2CD}"/>
    <cellStyle name="Comma 4 5 2 9 3" xfId="13068" xr:uid="{5CC3C4A7-27E6-43E4-A51F-747120583474}"/>
    <cellStyle name="Comma 4 5 3" xfId="694" xr:uid="{00000000-0005-0000-0000-00003E0A0000}"/>
    <cellStyle name="Comma 4 5 3 2" xfId="2965" xr:uid="{00000000-0005-0000-0000-00003F0A0000}"/>
    <cellStyle name="Comma 4 5 3 2 2" xfId="7188" xr:uid="{00000000-0005-0000-0000-0000400A0000}"/>
    <cellStyle name="Comma 4 5 3 2 2 2" xfId="24060" xr:uid="{FFA795D2-24D6-4A9C-96ED-91E124818E31}"/>
    <cellStyle name="Comma 4 5 3 2 2 3" xfId="15626" xr:uid="{A6461693-73C2-43BC-98C9-A9175BA49AB9}"/>
    <cellStyle name="Comma 4 5 3 2 3" xfId="19843" xr:uid="{03C45D90-B3E5-469D-8F6F-AF77C10524BE}"/>
    <cellStyle name="Comma 4 5 3 2 4" xfId="11409" xr:uid="{423ED520-0842-4C9A-B560-C58145FB1465}"/>
    <cellStyle name="Comma 4 5 3 3" xfId="5043" xr:uid="{00000000-0005-0000-0000-0000410A0000}"/>
    <cellStyle name="Comma 4 5 3 3 2" xfId="21915" xr:uid="{76822E6C-7ADD-48E2-AAF9-FDE55FE1D4E1}"/>
    <cellStyle name="Comma 4 5 3 3 3" xfId="13481" xr:uid="{183B21FF-FBCA-470D-8A5F-31273E7653BB}"/>
    <cellStyle name="Comma 4 5 3 4" xfId="17698" xr:uid="{604FB43A-1563-4A8A-9817-2145CAFE3B74}"/>
    <cellStyle name="Comma 4 5 3 5" xfId="9264" xr:uid="{D7E32E46-1029-46E0-8931-27F77BEFE589}"/>
    <cellStyle name="Comma 4 5 4" xfId="1147" xr:uid="{00000000-0005-0000-0000-0000420A0000}"/>
    <cellStyle name="Comma 4 5 4 2" xfId="3378" xr:uid="{00000000-0005-0000-0000-0000430A0000}"/>
    <cellStyle name="Comma 4 5 4 2 2" xfId="7601" xr:uid="{00000000-0005-0000-0000-0000440A0000}"/>
    <cellStyle name="Comma 4 5 4 2 2 2" xfId="24473" xr:uid="{7440C5D6-09F8-4422-BACA-6BEACB0E977A}"/>
    <cellStyle name="Comma 4 5 4 2 2 3" xfId="16039" xr:uid="{740A9BC2-337A-4CF5-955C-0B5F2ECFA762}"/>
    <cellStyle name="Comma 4 5 4 2 3" xfId="20256" xr:uid="{412589A0-7ADA-442D-9FEB-19FC02470C91}"/>
    <cellStyle name="Comma 4 5 4 2 4" xfId="11822" xr:uid="{75F6EA26-84D7-4FAF-B53E-E79712ED569D}"/>
    <cellStyle name="Comma 4 5 4 3" xfId="5456" xr:uid="{00000000-0005-0000-0000-0000450A0000}"/>
    <cellStyle name="Comma 4 5 4 3 2" xfId="22328" xr:uid="{4CD40DD9-2AD0-4885-9DF1-5A60349E3B4F}"/>
    <cellStyle name="Comma 4 5 4 3 3" xfId="13894" xr:uid="{DA656C24-9979-48FC-B275-F94181D150B0}"/>
    <cellStyle name="Comma 4 5 4 4" xfId="18111" xr:uid="{578A5C0A-CA0B-4138-B8FA-10CA2330FBBD}"/>
    <cellStyle name="Comma 4 5 4 5" xfId="9677" xr:uid="{18B7DF6D-9679-4671-A565-6663F9094F51}"/>
    <cellStyle name="Comma 4 5 5" xfId="1561" xr:uid="{00000000-0005-0000-0000-0000460A0000}"/>
    <cellStyle name="Comma 4 5 5 2" xfId="3791" xr:uid="{00000000-0005-0000-0000-0000470A0000}"/>
    <cellStyle name="Comma 4 5 5 2 2" xfId="8014" xr:uid="{00000000-0005-0000-0000-0000480A0000}"/>
    <cellStyle name="Comma 4 5 5 2 2 2" xfId="24886" xr:uid="{0D8E92A1-299A-4BB2-9D5F-253E8FFF972B}"/>
    <cellStyle name="Comma 4 5 5 2 2 3" xfId="16452" xr:uid="{19EBF0DD-DB04-4B8E-8675-998A874DCE7A}"/>
    <cellStyle name="Comma 4 5 5 2 3" xfId="20669" xr:uid="{3241B3F0-71E1-4917-9D9D-FB3A42DEDCF8}"/>
    <cellStyle name="Comma 4 5 5 2 4" xfId="12235" xr:uid="{870DE0F3-404C-4A96-8C0B-E33937E40DB1}"/>
    <cellStyle name="Comma 4 5 5 3" xfId="5869" xr:uid="{00000000-0005-0000-0000-0000490A0000}"/>
    <cellStyle name="Comma 4 5 5 3 2" xfId="22741" xr:uid="{B791F35C-1BE8-45F2-BB79-64C0AD853237}"/>
    <cellStyle name="Comma 4 5 5 3 3" xfId="14307" xr:uid="{685901A7-CC64-40D1-B1AC-3C788EE2096D}"/>
    <cellStyle name="Comma 4 5 5 4" xfId="18524" xr:uid="{A64076B3-1A00-4744-91CD-87ABB8D4AD11}"/>
    <cellStyle name="Comma 4 5 5 5" xfId="10090" xr:uid="{224C4B0A-EFB6-459C-9F31-7D67782CD997}"/>
    <cellStyle name="Comma 4 5 6" xfId="1975" xr:uid="{00000000-0005-0000-0000-00004A0A0000}"/>
    <cellStyle name="Comma 4 5 6 2" xfId="4204" xr:uid="{00000000-0005-0000-0000-00004B0A0000}"/>
    <cellStyle name="Comma 4 5 6 2 2" xfId="8427" xr:uid="{00000000-0005-0000-0000-00004C0A0000}"/>
    <cellStyle name="Comma 4 5 6 2 2 2" xfId="25299" xr:uid="{31A483EE-5D8F-4B73-8A53-8F50A6EAD49A}"/>
    <cellStyle name="Comma 4 5 6 2 2 3" xfId="16865" xr:uid="{5FE3EC11-E784-4765-A783-C7E1159F4B30}"/>
    <cellStyle name="Comma 4 5 6 2 3" xfId="21082" xr:uid="{534268E7-AADA-4473-B7D8-090EB61A6357}"/>
    <cellStyle name="Comma 4 5 6 2 4" xfId="12648" xr:uid="{E9313B84-28E3-49D8-A269-0A854E718A4F}"/>
    <cellStyle name="Comma 4 5 6 3" xfId="6282" xr:uid="{00000000-0005-0000-0000-00004D0A0000}"/>
    <cellStyle name="Comma 4 5 6 3 2" xfId="23154" xr:uid="{02EBEB24-0637-4F1A-B36C-8CBF3ECAF40F}"/>
    <cellStyle name="Comma 4 5 6 3 3" xfId="14720" xr:uid="{52EDED0C-45E7-4DDB-98FE-E65A21F45E4D}"/>
    <cellStyle name="Comma 4 5 6 4" xfId="18937" xr:uid="{5BD2416C-759B-4D9D-9F05-31CE3A664D99}"/>
    <cellStyle name="Comma 4 5 6 5" xfId="10503" xr:uid="{012F76AA-1A42-46A1-BE49-2F4648FDCCB1}"/>
    <cellStyle name="Comma 4 5 7" xfId="2410" xr:uid="{00000000-0005-0000-0000-00004E0A0000}"/>
    <cellStyle name="Comma 4 5 7 2" xfId="6695" xr:uid="{00000000-0005-0000-0000-00004F0A0000}"/>
    <cellStyle name="Comma 4 5 7 2 2" xfId="23567" xr:uid="{BF75AA61-CEA9-40AA-8752-46415BF52343}"/>
    <cellStyle name="Comma 4 5 7 2 3" xfId="15133" xr:uid="{3D77F41E-7E8F-4C37-BFDB-302C0E6279DF}"/>
    <cellStyle name="Comma 4 5 7 3" xfId="19350" xr:uid="{CCF0D161-CA13-40DE-B8DF-C7568D5E9495}"/>
    <cellStyle name="Comma 4 5 7 4" xfId="10916" xr:uid="{3FE05F41-D8BB-4A6B-A382-54606FA0F694}"/>
    <cellStyle name="Comma 4 5 8" xfId="2706" xr:uid="{00000000-0005-0000-0000-0000500A0000}"/>
    <cellStyle name="Comma 4 5 9" xfId="2788" xr:uid="{00000000-0005-0000-0000-0000510A0000}"/>
    <cellStyle name="Comma 4 5 9 2" xfId="7012" xr:uid="{00000000-0005-0000-0000-0000520A0000}"/>
    <cellStyle name="Comma 4 5 9 2 2" xfId="23884" xr:uid="{5E251A29-4617-4C8B-8AD8-F63D624276C8}"/>
    <cellStyle name="Comma 4 5 9 2 3" xfId="15450" xr:uid="{EFF2427B-506F-4D30-9477-78D013C96A11}"/>
    <cellStyle name="Comma 4 5 9 3" xfId="19667" xr:uid="{8048293F-02DA-4B8C-9076-B261A5E01856}"/>
    <cellStyle name="Comma 4 5 9 4" xfId="11233" xr:uid="{D07AA92C-B8D5-46BC-9EA4-A2FAA832EDE4}"/>
    <cellStyle name="Comma 4 6" xfId="159" xr:uid="{00000000-0005-0000-0000-0000530A0000}"/>
    <cellStyle name="Comma 4 6 10" xfId="17286" xr:uid="{0B322F55-0D3E-4231-AD5C-8726220638AD}"/>
    <cellStyle name="Comma 4 6 11" xfId="8852" xr:uid="{7FDAB261-8F16-4081-82C5-DC4C8653AFA5}"/>
    <cellStyle name="Comma 4 6 2" xfId="696" xr:uid="{00000000-0005-0000-0000-0000540A0000}"/>
    <cellStyle name="Comma 4 6 2 2" xfId="2967" xr:uid="{00000000-0005-0000-0000-0000550A0000}"/>
    <cellStyle name="Comma 4 6 2 2 2" xfId="7190" xr:uid="{00000000-0005-0000-0000-0000560A0000}"/>
    <cellStyle name="Comma 4 6 2 2 2 2" xfId="24062" xr:uid="{B7CB9AFE-FA82-420A-A3E3-70762CCA8DB7}"/>
    <cellStyle name="Comma 4 6 2 2 2 3" xfId="15628" xr:uid="{612175CD-C5E3-4A52-A914-BF008A1FB94B}"/>
    <cellStyle name="Comma 4 6 2 2 3" xfId="19845" xr:uid="{46CC35CB-47C2-43F9-BB38-65182D509376}"/>
    <cellStyle name="Comma 4 6 2 2 4" xfId="11411" xr:uid="{57B4706F-5AC7-4CCC-A9D4-4054E4012F4A}"/>
    <cellStyle name="Comma 4 6 2 3" xfId="5045" xr:uid="{00000000-0005-0000-0000-0000570A0000}"/>
    <cellStyle name="Comma 4 6 2 3 2" xfId="21917" xr:uid="{4C52DB9C-5D61-4BD1-BBD1-BE08897FEFC1}"/>
    <cellStyle name="Comma 4 6 2 3 3" xfId="13483" xr:uid="{994B6867-18B0-40C8-A700-CAE06B62EC7E}"/>
    <cellStyle name="Comma 4 6 2 4" xfId="17700" xr:uid="{0DEDC351-5A12-4501-9E3F-4F06729BA9AC}"/>
    <cellStyle name="Comma 4 6 2 5" xfId="9266" xr:uid="{FC235346-B3BE-4822-9218-8F1733C7D4E0}"/>
    <cellStyle name="Comma 4 6 3" xfId="1149" xr:uid="{00000000-0005-0000-0000-0000580A0000}"/>
    <cellStyle name="Comma 4 6 3 2" xfId="3380" xr:uid="{00000000-0005-0000-0000-0000590A0000}"/>
    <cellStyle name="Comma 4 6 3 2 2" xfId="7603" xr:uid="{00000000-0005-0000-0000-00005A0A0000}"/>
    <cellStyle name="Comma 4 6 3 2 2 2" xfId="24475" xr:uid="{9196FCA5-FCD2-4388-821B-3EC1B924E14C}"/>
    <cellStyle name="Comma 4 6 3 2 2 3" xfId="16041" xr:uid="{8CE0F2A1-B054-4F4C-A8BF-A6937D10D562}"/>
    <cellStyle name="Comma 4 6 3 2 3" xfId="20258" xr:uid="{F0AB5388-3ACD-4C35-92B8-82452F507C1B}"/>
    <cellStyle name="Comma 4 6 3 2 4" xfId="11824" xr:uid="{3DACA5DA-2C77-4F4A-A1C3-3A499BE12D0E}"/>
    <cellStyle name="Comma 4 6 3 3" xfId="5458" xr:uid="{00000000-0005-0000-0000-00005B0A0000}"/>
    <cellStyle name="Comma 4 6 3 3 2" xfId="22330" xr:uid="{9B6B74BA-F6AD-4245-8C48-8A1C41F8E249}"/>
    <cellStyle name="Comma 4 6 3 3 3" xfId="13896" xr:uid="{98E5B4ED-B261-4DB2-B2BC-A508E10B2C7C}"/>
    <cellStyle name="Comma 4 6 3 4" xfId="18113" xr:uid="{E8F94B63-3D3F-43C2-BCA9-9A94891D0A14}"/>
    <cellStyle name="Comma 4 6 3 5" xfId="9679" xr:uid="{7C936449-6DE8-4AF8-BD5E-688A567514E9}"/>
    <cellStyle name="Comma 4 6 4" xfId="1563" xr:uid="{00000000-0005-0000-0000-00005C0A0000}"/>
    <cellStyle name="Comma 4 6 4 2" xfId="3793" xr:uid="{00000000-0005-0000-0000-00005D0A0000}"/>
    <cellStyle name="Comma 4 6 4 2 2" xfId="8016" xr:uid="{00000000-0005-0000-0000-00005E0A0000}"/>
    <cellStyle name="Comma 4 6 4 2 2 2" xfId="24888" xr:uid="{BC8C1DA2-FC38-4EF0-9556-F91A9E6734BC}"/>
    <cellStyle name="Comma 4 6 4 2 2 3" xfId="16454" xr:uid="{EF4E7D8F-77C7-4FEB-9691-289AD8A95462}"/>
    <cellStyle name="Comma 4 6 4 2 3" xfId="20671" xr:uid="{B0AA6992-FB84-449E-A98B-6B69C8305DF6}"/>
    <cellStyle name="Comma 4 6 4 2 4" xfId="12237" xr:uid="{709458A5-2568-4ED7-A7AE-14D3100B186D}"/>
    <cellStyle name="Comma 4 6 4 3" xfId="5871" xr:uid="{00000000-0005-0000-0000-00005F0A0000}"/>
    <cellStyle name="Comma 4 6 4 3 2" xfId="22743" xr:uid="{4E5AC8C6-4934-4781-828A-6464A2BA3281}"/>
    <cellStyle name="Comma 4 6 4 3 3" xfId="14309" xr:uid="{4B12E9B9-FFD8-493D-B97D-7ECA12BC5B54}"/>
    <cellStyle name="Comma 4 6 4 4" xfId="18526" xr:uid="{5A503EC6-8C1F-4095-A985-EA4403B92F82}"/>
    <cellStyle name="Comma 4 6 4 5" xfId="10092" xr:uid="{3D980188-8CD3-4994-995E-F9130688EBEC}"/>
    <cellStyle name="Comma 4 6 5" xfId="1977" xr:uid="{00000000-0005-0000-0000-0000600A0000}"/>
    <cellStyle name="Comma 4 6 5 2" xfId="4206" xr:uid="{00000000-0005-0000-0000-0000610A0000}"/>
    <cellStyle name="Comma 4 6 5 2 2" xfId="8429" xr:uid="{00000000-0005-0000-0000-0000620A0000}"/>
    <cellStyle name="Comma 4 6 5 2 2 2" xfId="25301" xr:uid="{985C23B3-C951-4F79-9009-20E95CBCF144}"/>
    <cellStyle name="Comma 4 6 5 2 2 3" xfId="16867" xr:uid="{EA276017-0262-47F5-A580-1D3F58FE0A84}"/>
    <cellStyle name="Comma 4 6 5 2 3" xfId="21084" xr:uid="{DE41F4E4-402A-440B-8A4C-59C51D1B09FF}"/>
    <cellStyle name="Comma 4 6 5 2 4" xfId="12650" xr:uid="{0ED1CAE5-52ED-442A-BACC-BB5C3B9F828D}"/>
    <cellStyle name="Comma 4 6 5 3" xfId="6284" xr:uid="{00000000-0005-0000-0000-0000630A0000}"/>
    <cellStyle name="Comma 4 6 5 3 2" xfId="23156" xr:uid="{B3377473-552D-4E89-ADDF-4BF1D162C4AC}"/>
    <cellStyle name="Comma 4 6 5 3 3" xfId="14722" xr:uid="{C34280EC-9C09-48E2-9DEE-F47F79120D06}"/>
    <cellStyle name="Comma 4 6 5 4" xfId="18939" xr:uid="{9EF0B592-C9EC-42AB-AD09-6A788ED43B01}"/>
    <cellStyle name="Comma 4 6 5 5" xfId="10505" xr:uid="{FB7694AD-59C2-4152-8DFF-19BB5451D5C4}"/>
    <cellStyle name="Comma 4 6 6" xfId="2412" xr:uid="{00000000-0005-0000-0000-0000640A0000}"/>
    <cellStyle name="Comma 4 6 6 2" xfId="6697" xr:uid="{00000000-0005-0000-0000-0000650A0000}"/>
    <cellStyle name="Comma 4 6 6 2 2" xfId="23569" xr:uid="{379BD697-01AE-4AA1-B824-5DC282A7A3EA}"/>
    <cellStyle name="Comma 4 6 6 2 3" xfId="15135" xr:uid="{6648AE45-8814-483E-8BCB-F04689AC9116}"/>
    <cellStyle name="Comma 4 6 6 3" xfId="19352" xr:uid="{D6E69C07-EAA5-467C-9D81-B8AF1A25E347}"/>
    <cellStyle name="Comma 4 6 6 4" xfId="10918" xr:uid="{AABA7B46-F032-4CA8-9DA5-8697017B260A}"/>
    <cellStyle name="Comma 4 6 7" xfId="2708" xr:uid="{00000000-0005-0000-0000-0000660A0000}"/>
    <cellStyle name="Comma 4 6 8" xfId="2790" xr:uid="{00000000-0005-0000-0000-0000670A0000}"/>
    <cellStyle name="Comma 4 6 8 2" xfId="7014" xr:uid="{00000000-0005-0000-0000-0000680A0000}"/>
    <cellStyle name="Comma 4 6 8 2 2" xfId="23886" xr:uid="{A7DBC1EA-271B-4732-9C38-3BE5FC626887}"/>
    <cellStyle name="Comma 4 6 8 2 3" xfId="15452" xr:uid="{155B9B0B-496E-4728-9C2F-F701A40CB147}"/>
    <cellStyle name="Comma 4 6 8 3" xfId="19669" xr:uid="{FBDCBD2F-271F-4674-82AF-08D5ACAAAE56}"/>
    <cellStyle name="Comma 4 6 8 4" xfId="11235" xr:uid="{0AAB81EC-4FBF-4830-A5D8-3FC2C30EB550}"/>
    <cellStyle name="Comma 4 6 9" xfId="4631" xr:uid="{00000000-0005-0000-0000-0000690A0000}"/>
    <cellStyle name="Comma 4 6 9 2" xfId="21503" xr:uid="{43B813D6-21F5-4223-A8FD-70C759B06259}"/>
    <cellStyle name="Comma 4 6 9 3" xfId="13069" xr:uid="{2F1BA8B0-2C26-4DE4-AEFF-7290DF39831F}"/>
    <cellStyle name="Comma 4 7" xfId="160" xr:uid="{00000000-0005-0000-0000-00006A0A0000}"/>
    <cellStyle name="Comma 4 7 10" xfId="17287" xr:uid="{CF8E1DBB-5689-4925-9301-A3490F4FAF39}"/>
    <cellStyle name="Comma 4 7 11" xfId="8853" xr:uid="{F0F2E9B1-753F-4C2B-9C63-B1D88D2E1FC0}"/>
    <cellStyle name="Comma 4 7 2" xfId="697" xr:uid="{00000000-0005-0000-0000-00006B0A0000}"/>
    <cellStyle name="Comma 4 7 2 2" xfId="2968" xr:uid="{00000000-0005-0000-0000-00006C0A0000}"/>
    <cellStyle name="Comma 4 7 2 2 2" xfId="7191" xr:uid="{00000000-0005-0000-0000-00006D0A0000}"/>
    <cellStyle name="Comma 4 7 2 2 2 2" xfId="24063" xr:uid="{F4BB1416-187F-4022-B8A9-DEABB7216B6A}"/>
    <cellStyle name="Comma 4 7 2 2 2 3" xfId="15629" xr:uid="{3DDADC9C-AC99-465D-903E-AE8D4CC227F9}"/>
    <cellStyle name="Comma 4 7 2 2 3" xfId="19846" xr:uid="{3F9166EC-1AF1-46B8-A47A-B3BFA3A2C0F0}"/>
    <cellStyle name="Comma 4 7 2 2 4" xfId="11412" xr:uid="{CE2A1D02-4D84-4F82-9BDA-CE37C6FF26DC}"/>
    <cellStyle name="Comma 4 7 2 3" xfId="5046" xr:uid="{00000000-0005-0000-0000-00006E0A0000}"/>
    <cellStyle name="Comma 4 7 2 3 2" xfId="21918" xr:uid="{81A238AA-371A-4596-A355-EF994B104DD3}"/>
    <cellStyle name="Comma 4 7 2 3 3" xfId="13484" xr:uid="{6FDB8784-AFEF-473B-AE62-251AD441EB94}"/>
    <cellStyle name="Comma 4 7 2 4" xfId="17701" xr:uid="{92EA9CEE-ED82-4D90-99A1-D2613769178F}"/>
    <cellStyle name="Comma 4 7 2 5" xfId="9267" xr:uid="{9F0EC3E2-9557-4F68-BD7B-04D19AA72FA3}"/>
    <cellStyle name="Comma 4 7 3" xfId="1150" xr:uid="{00000000-0005-0000-0000-00006F0A0000}"/>
    <cellStyle name="Comma 4 7 3 2" xfId="3381" xr:uid="{00000000-0005-0000-0000-0000700A0000}"/>
    <cellStyle name="Comma 4 7 3 2 2" xfId="7604" xr:uid="{00000000-0005-0000-0000-0000710A0000}"/>
    <cellStyle name="Comma 4 7 3 2 2 2" xfId="24476" xr:uid="{A4458E0B-7BEA-4CA7-8366-9F9496A61A21}"/>
    <cellStyle name="Comma 4 7 3 2 2 3" xfId="16042" xr:uid="{AF06617A-EBD2-44B0-A393-A620AA189935}"/>
    <cellStyle name="Comma 4 7 3 2 3" xfId="20259" xr:uid="{BC296FE7-9E5F-446C-9C5E-659483CE90F2}"/>
    <cellStyle name="Comma 4 7 3 2 4" xfId="11825" xr:uid="{40B8396E-6EAB-4A8E-95D0-77A876E66C0A}"/>
    <cellStyle name="Comma 4 7 3 3" xfId="5459" xr:uid="{00000000-0005-0000-0000-0000720A0000}"/>
    <cellStyle name="Comma 4 7 3 3 2" xfId="22331" xr:uid="{8CF0F8BF-271F-483D-B693-C5165FC15973}"/>
    <cellStyle name="Comma 4 7 3 3 3" xfId="13897" xr:uid="{6A7864F2-0C3C-4249-80DE-BEB988CC388C}"/>
    <cellStyle name="Comma 4 7 3 4" xfId="18114" xr:uid="{4106615C-B0AC-42FB-8185-22884B106A34}"/>
    <cellStyle name="Comma 4 7 3 5" xfId="9680" xr:uid="{C7BEF5F7-F795-4C93-A521-0FCF958C4001}"/>
    <cellStyle name="Comma 4 7 4" xfId="1564" xr:uid="{00000000-0005-0000-0000-0000730A0000}"/>
    <cellStyle name="Comma 4 7 4 2" xfId="3794" xr:uid="{00000000-0005-0000-0000-0000740A0000}"/>
    <cellStyle name="Comma 4 7 4 2 2" xfId="8017" xr:uid="{00000000-0005-0000-0000-0000750A0000}"/>
    <cellStyle name="Comma 4 7 4 2 2 2" xfId="24889" xr:uid="{D1D326BF-A540-4CC7-998E-C1F0C7CF189D}"/>
    <cellStyle name="Comma 4 7 4 2 2 3" xfId="16455" xr:uid="{DE0651CA-F68C-4877-8D28-4FE93EB39EE2}"/>
    <cellStyle name="Comma 4 7 4 2 3" xfId="20672" xr:uid="{1E11F122-F26A-4249-854D-483029618792}"/>
    <cellStyle name="Comma 4 7 4 2 4" xfId="12238" xr:uid="{1C07F981-EAA3-492B-927B-6E863723D3DC}"/>
    <cellStyle name="Comma 4 7 4 3" xfId="5872" xr:uid="{00000000-0005-0000-0000-0000760A0000}"/>
    <cellStyle name="Comma 4 7 4 3 2" xfId="22744" xr:uid="{3A57AF98-631C-45FA-A434-4393F1334011}"/>
    <cellStyle name="Comma 4 7 4 3 3" xfId="14310" xr:uid="{BA607839-7389-4558-8D13-9683FD430974}"/>
    <cellStyle name="Comma 4 7 4 4" xfId="18527" xr:uid="{8FF9C01F-883A-4F90-8B02-FFBF9A0EA073}"/>
    <cellStyle name="Comma 4 7 4 5" xfId="10093" xr:uid="{B1B227C6-9A83-43CA-9BF2-4B08320B4D7E}"/>
    <cellStyle name="Comma 4 7 5" xfId="1978" xr:uid="{00000000-0005-0000-0000-0000770A0000}"/>
    <cellStyle name="Comma 4 7 5 2" xfId="4207" xr:uid="{00000000-0005-0000-0000-0000780A0000}"/>
    <cellStyle name="Comma 4 7 5 2 2" xfId="8430" xr:uid="{00000000-0005-0000-0000-0000790A0000}"/>
    <cellStyle name="Comma 4 7 5 2 2 2" xfId="25302" xr:uid="{C8325E80-0EEE-4CB3-906F-58691E119B3F}"/>
    <cellStyle name="Comma 4 7 5 2 2 3" xfId="16868" xr:uid="{9C67EEB3-D2DE-44E7-A908-7BB5CC76CBF9}"/>
    <cellStyle name="Comma 4 7 5 2 3" xfId="21085" xr:uid="{0A8C74B1-AFB0-4A30-9548-2F551DB5B512}"/>
    <cellStyle name="Comma 4 7 5 2 4" xfId="12651" xr:uid="{AA246C8F-80F4-4BB4-A36B-B28F1160BAC1}"/>
    <cellStyle name="Comma 4 7 5 3" xfId="6285" xr:uid="{00000000-0005-0000-0000-00007A0A0000}"/>
    <cellStyle name="Comma 4 7 5 3 2" xfId="23157" xr:uid="{6ACB1A46-7CE2-4A49-AF1A-485CA6305A48}"/>
    <cellStyle name="Comma 4 7 5 3 3" xfId="14723" xr:uid="{2FB375C0-1757-4CCE-A899-E7A7624693A7}"/>
    <cellStyle name="Comma 4 7 5 4" xfId="18940" xr:uid="{F9409C58-9A30-4FFB-AF88-BC4CDFE1F14D}"/>
    <cellStyle name="Comma 4 7 5 5" xfId="10506" xr:uid="{0447BF41-C3E0-495E-9776-BC8166247597}"/>
    <cellStyle name="Comma 4 7 6" xfId="2413" xr:uid="{00000000-0005-0000-0000-00007B0A0000}"/>
    <cellStyle name="Comma 4 7 6 2" xfId="6698" xr:uid="{00000000-0005-0000-0000-00007C0A0000}"/>
    <cellStyle name="Comma 4 7 6 2 2" xfId="23570" xr:uid="{7E8ABF53-BFF5-44AB-8521-B4D68C3657A3}"/>
    <cellStyle name="Comma 4 7 6 2 3" xfId="15136" xr:uid="{A774CCBB-9A0C-4912-BD53-1959B5B98FEE}"/>
    <cellStyle name="Comma 4 7 6 3" xfId="19353" xr:uid="{47E2E95F-F2D1-46F9-8578-DE50884F46DA}"/>
    <cellStyle name="Comma 4 7 6 4" xfId="10919" xr:uid="{70D91466-21F0-49A4-8744-AC22603A37B8}"/>
    <cellStyle name="Comma 4 7 7" xfId="2709" xr:uid="{00000000-0005-0000-0000-00007D0A0000}"/>
    <cellStyle name="Comma 4 7 8" xfId="2791" xr:uid="{00000000-0005-0000-0000-00007E0A0000}"/>
    <cellStyle name="Comma 4 7 8 2" xfId="7015" xr:uid="{00000000-0005-0000-0000-00007F0A0000}"/>
    <cellStyle name="Comma 4 7 8 2 2" xfId="23887" xr:uid="{AD9D9709-2DD0-4CA5-9886-175EB6A77844}"/>
    <cellStyle name="Comma 4 7 8 2 3" xfId="15453" xr:uid="{41F3026B-DD89-46A6-B8F3-B9F60409F814}"/>
    <cellStyle name="Comma 4 7 8 3" xfId="19670" xr:uid="{CCFF2664-E2B9-4035-9674-C6EE7AB99751}"/>
    <cellStyle name="Comma 4 7 8 4" xfId="11236" xr:uid="{206B18FC-A0CD-45FF-AC8F-CE7835A1F3E6}"/>
    <cellStyle name="Comma 4 7 9" xfId="4632" xr:uid="{00000000-0005-0000-0000-0000800A0000}"/>
    <cellStyle name="Comma 4 7 9 2" xfId="21504" xr:uid="{88A9D79F-453F-4836-BA5A-5FD008774F0F}"/>
    <cellStyle name="Comma 4 7 9 3" xfId="13070" xr:uid="{A73831EE-D158-4B1E-87DD-F5F392E1EFBB}"/>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8724" xr:uid="{52F7257C-EC01-42ED-A947-0BCC41B7848D}"/>
    <cellStyle name="Comma 7 2 2" xfId="21372" xr:uid="{82576AAB-4B76-4DF0-A854-7B98E7D7D52D}"/>
    <cellStyle name="Comma 7 3" xfId="12938" xr:uid="{56C3A124-FBE9-4056-B0E2-E25F7F394972}"/>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5" xr:uid="{5BFB897F-E7D9-4933-A3AF-B91FE96C3DD7}"/>
    <cellStyle name="Currency 14 3" xfId="8720" xr:uid="{729B09A7-2394-4D7C-912C-1471FB3455A3}"/>
    <cellStyle name="Currency 14 3 2" xfId="17158" xr:uid="{EFDD5314-9A7F-45FD-BC2B-11DABCC3A9DA}"/>
    <cellStyle name="Currency 14 4" xfId="21375" xr:uid="{198BC9F5-DAA0-4679-B653-1CDEF26B6FCF}"/>
    <cellStyle name="Currency 14 5" xfId="12941" xr:uid="{8EDEABBA-45F1-400F-A37D-6AE4CD7FD7E2}"/>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23888" xr:uid="{319669FA-53E8-4C36-A3F9-233DE0F4E644}"/>
    <cellStyle name="Currency 3 2 2 10 2 3" xfId="15454" xr:uid="{AB435757-6855-49F0-ADE9-22137D508A42}"/>
    <cellStyle name="Currency 3 2 2 10 3" xfId="19671" xr:uid="{EB5D4AD6-0158-4FC6-B4D6-867E4BFE79C6}"/>
    <cellStyle name="Currency 3 2 2 10 4" xfId="11237" xr:uid="{E44FD35C-E7B9-4054-A6A6-6C5859674368}"/>
    <cellStyle name="Currency 3 2 2 11" xfId="4633" xr:uid="{00000000-0005-0000-0000-0000A50A0000}"/>
    <cellStyle name="Currency 3 2 2 11 2" xfId="21505" xr:uid="{7EFAFB4E-AC1E-4752-8EA3-394C8C7F8083}"/>
    <cellStyle name="Currency 3 2 2 11 3" xfId="13071" xr:uid="{B486110A-5AF6-4DC4-AF54-C84F8C48FAA0}"/>
    <cellStyle name="Currency 3 2 2 12" xfId="17288" xr:uid="{A06B3C6E-1477-439E-B928-39124E2E8342}"/>
    <cellStyle name="Currency 3 2 2 13" xfId="8854" xr:uid="{8F90A0DA-8004-4128-96A2-5CE1158B71FE}"/>
    <cellStyle name="Currency 3 2 2 2" xfId="179" xr:uid="{00000000-0005-0000-0000-0000A60A0000}"/>
    <cellStyle name="Currency 3 2 2 2 10" xfId="4634" xr:uid="{00000000-0005-0000-0000-0000A70A0000}"/>
    <cellStyle name="Currency 3 2 2 2 10 2" xfId="21506" xr:uid="{A686F9BD-C498-42C6-8E91-6B1ECFEA63AB}"/>
    <cellStyle name="Currency 3 2 2 2 10 3" xfId="13072" xr:uid="{7F6C7580-7DE9-4044-A0A9-38E6DC02163B}"/>
    <cellStyle name="Currency 3 2 2 2 11" xfId="17289" xr:uid="{8843555A-8995-4BE7-AD44-AE1D213DABA0}"/>
    <cellStyle name="Currency 3 2 2 2 12" xfId="8855" xr:uid="{DFED4B48-CE39-4F99-A317-64243ABCB38C}"/>
    <cellStyle name="Currency 3 2 2 2 2" xfId="180" xr:uid="{00000000-0005-0000-0000-0000A80A0000}"/>
    <cellStyle name="Currency 3 2 2 2 2 10" xfId="17290" xr:uid="{BD0460B8-B460-44FC-BE58-C03C8A9F9B52}"/>
    <cellStyle name="Currency 3 2 2 2 2 11" xfId="8856" xr:uid="{5DB06964-9BB5-40EA-9B2D-90919A8B7F03}"/>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24066" xr:uid="{E1BB58B3-E307-4E7F-84C9-B33C3904A667}"/>
    <cellStyle name="Currency 3 2 2 2 2 2 2 2 3" xfId="15632" xr:uid="{77FA78B9-4053-46FC-B901-D3BDF3C511F7}"/>
    <cellStyle name="Currency 3 2 2 2 2 2 2 3" xfId="19849" xr:uid="{828344CD-07CC-451E-B05E-35CBC7E5A053}"/>
    <cellStyle name="Currency 3 2 2 2 2 2 2 4" xfId="11415" xr:uid="{B544579A-727C-450C-9CD0-734AC7F97FD8}"/>
    <cellStyle name="Currency 3 2 2 2 2 2 3" xfId="5049" xr:uid="{00000000-0005-0000-0000-0000AC0A0000}"/>
    <cellStyle name="Currency 3 2 2 2 2 2 3 2" xfId="21921" xr:uid="{EC70C7B4-1575-4A85-930A-2F438BE40730}"/>
    <cellStyle name="Currency 3 2 2 2 2 2 3 3" xfId="13487" xr:uid="{C269FC45-104B-4AD4-872C-43E4045B04F8}"/>
    <cellStyle name="Currency 3 2 2 2 2 2 4" xfId="17704" xr:uid="{B0156C0C-CC3A-43F4-9406-0FBC748AC354}"/>
    <cellStyle name="Currency 3 2 2 2 2 2 5" xfId="9270" xr:uid="{A4D23DC0-C477-43C0-8608-7359AB7EBF2E}"/>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24479" xr:uid="{733ED8AE-545C-4467-9E9E-49AFFAA576A1}"/>
    <cellStyle name="Currency 3 2 2 2 2 3 2 2 3" xfId="16045" xr:uid="{2367D358-D2E6-48D9-A184-DC0A6D661957}"/>
    <cellStyle name="Currency 3 2 2 2 2 3 2 3" xfId="20262" xr:uid="{221953FA-8824-4845-9358-A2F571BAD07F}"/>
    <cellStyle name="Currency 3 2 2 2 2 3 2 4" xfId="11828" xr:uid="{951FE5C5-B2D6-4059-875B-94A9627F4FBB}"/>
    <cellStyle name="Currency 3 2 2 2 2 3 3" xfId="5462" xr:uid="{00000000-0005-0000-0000-0000B00A0000}"/>
    <cellStyle name="Currency 3 2 2 2 2 3 3 2" xfId="22334" xr:uid="{DA1DDAE7-8740-4C8F-BD73-7EFAB3604576}"/>
    <cellStyle name="Currency 3 2 2 2 2 3 3 3" xfId="13900" xr:uid="{EC63B377-38B3-4EF6-B63B-5AA03A982032}"/>
    <cellStyle name="Currency 3 2 2 2 2 3 4" xfId="18117" xr:uid="{FE5A214F-1FCC-4D30-9647-4F686BBE45F6}"/>
    <cellStyle name="Currency 3 2 2 2 2 3 5" xfId="9683" xr:uid="{B5F6FA1C-C086-4BB0-9D92-60F19DA253A4}"/>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24892" xr:uid="{1E55940F-B16B-430D-BEA0-0BD34319008B}"/>
    <cellStyle name="Currency 3 2 2 2 2 4 2 2 3" xfId="16458" xr:uid="{4C5CF0BC-2EB6-436E-A570-D28F6B7AD790}"/>
    <cellStyle name="Currency 3 2 2 2 2 4 2 3" xfId="20675" xr:uid="{6481DCC2-13D9-41B5-AD17-64E21C4A3B03}"/>
    <cellStyle name="Currency 3 2 2 2 2 4 2 4" xfId="12241" xr:uid="{92288808-5E8F-4D5F-B366-D814103F7376}"/>
    <cellStyle name="Currency 3 2 2 2 2 4 3" xfId="5875" xr:uid="{00000000-0005-0000-0000-0000B40A0000}"/>
    <cellStyle name="Currency 3 2 2 2 2 4 3 2" xfId="22747" xr:uid="{0AFD5684-5354-4A65-A6D5-220F2406E8B4}"/>
    <cellStyle name="Currency 3 2 2 2 2 4 3 3" xfId="14313" xr:uid="{40ED9865-7CAB-47D7-8B51-BB3BF0E0C5AC}"/>
    <cellStyle name="Currency 3 2 2 2 2 4 4" xfId="18530" xr:uid="{A24A501B-1C9E-4A24-8A04-39BBB74763EA}"/>
    <cellStyle name="Currency 3 2 2 2 2 4 5" xfId="10096" xr:uid="{B7875CC4-444C-4F4D-B1BF-BA8DA82DFC49}"/>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25305" xr:uid="{A82274F6-E31F-4EFB-938E-EE9A62E47143}"/>
    <cellStyle name="Currency 3 2 2 2 2 5 2 2 3" xfId="16871" xr:uid="{95E1BA15-4B36-43D5-85F2-34D4F670F020}"/>
    <cellStyle name="Currency 3 2 2 2 2 5 2 3" xfId="21088" xr:uid="{ACDF9611-D5D7-41C2-9DFB-D5E4BCF54FA3}"/>
    <cellStyle name="Currency 3 2 2 2 2 5 2 4" xfId="12654" xr:uid="{E2E8EFB8-0889-4D5E-B019-2DDEA6A0D7B1}"/>
    <cellStyle name="Currency 3 2 2 2 2 5 3" xfId="6288" xr:uid="{00000000-0005-0000-0000-0000B80A0000}"/>
    <cellStyle name="Currency 3 2 2 2 2 5 3 2" xfId="23160" xr:uid="{DEE5618F-4B53-4539-B822-DD9EAD089CA4}"/>
    <cellStyle name="Currency 3 2 2 2 2 5 3 3" xfId="14726" xr:uid="{4D1CDEBB-B019-43E0-99A9-AF88457D8A58}"/>
    <cellStyle name="Currency 3 2 2 2 2 5 4" xfId="18943" xr:uid="{B6E50673-96B4-43DA-AF3F-8F66004F0FD5}"/>
    <cellStyle name="Currency 3 2 2 2 2 5 5" xfId="10509" xr:uid="{1248BE47-4365-461E-BD6B-798F4BDAA99B}"/>
    <cellStyle name="Currency 3 2 2 2 2 6" xfId="2416" xr:uid="{00000000-0005-0000-0000-0000B90A0000}"/>
    <cellStyle name="Currency 3 2 2 2 2 6 2" xfId="6701" xr:uid="{00000000-0005-0000-0000-0000BA0A0000}"/>
    <cellStyle name="Currency 3 2 2 2 2 6 2 2" xfId="23573" xr:uid="{FD0E6299-A6C3-4697-A17E-DE30D847FA11}"/>
    <cellStyle name="Currency 3 2 2 2 2 6 2 3" xfId="15139" xr:uid="{CAA6F44E-F5F2-41DB-B035-D2857D9B2A2F}"/>
    <cellStyle name="Currency 3 2 2 2 2 6 3" xfId="19356" xr:uid="{762A59DF-5AAB-4BD5-A2EF-AF5D04B854B7}"/>
    <cellStyle name="Currency 3 2 2 2 2 6 4" xfId="10922" xr:uid="{9FB9818C-E352-455B-ACF8-B3CF03B3580F}"/>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23890" xr:uid="{ABE60755-9B28-4E4C-8284-B3839A363A9D}"/>
    <cellStyle name="Currency 3 2 2 2 2 8 2 3" xfId="15456" xr:uid="{26BE3388-42E5-46FB-96C3-B2553CFBBD39}"/>
    <cellStyle name="Currency 3 2 2 2 2 8 3" xfId="19673" xr:uid="{5168A19A-942C-4344-95C2-D0F0C9331FC5}"/>
    <cellStyle name="Currency 3 2 2 2 2 8 4" xfId="11239" xr:uid="{2B87A8E3-781D-4927-A076-9067BDE60BA8}"/>
    <cellStyle name="Currency 3 2 2 2 2 9" xfId="4635" xr:uid="{00000000-0005-0000-0000-0000BE0A0000}"/>
    <cellStyle name="Currency 3 2 2 2 2 9 2" xfId="21507" xr:uid="{0ADF367F-578F-461A-8D6D-39D2A6625989}"/>
    <cellStyle name="Currency 3 2 2 2 2 9 3" xfId="13073" xr:uid="{BBF7B5BA-9C07-49A2-A369-74FBC0F940A1}"/>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24065" xr:uid="{B378B258-8E00-45DB-AA31-B0B645A7748F}"/>
    <cellStyle name="Currency 3 2 2 2 3 2 2 3" xfId="15631" xr:uid="{73E65CA6-354D-4A65-8813-008C4A4B512D}"/>
    <cellStyle name="Currency 3 2 2 2 3 2 3" xfId="19848" xr:uid="{2280A8CB-4D44-4AF8-BAEA-67C7A00FABE5}"/>
    <cellStyle name="Currency 3 2 2 2 3 2 4" xfId="11414" xr:uid="{54F41C25-02E1-4FE2-AAB8-3BCA2F8E2C08}"/>
    <cellStyle name="Currency 3 2 2 2 3 3" xfId="5048" xr:uid="{00000000-0005-0000-0000-0000C20A0000}"/>
    <cellStyle name="Currency 3 2 2 2 3 3 2" xfId="21920" xr:uid="{804B39AE-1DCF-47B2-941C-AB4074E84A3E}"/>
    <cellStyle name="Currency 3 2 2 2 3 3 3" xfId="13486" xr:uid="{E37FA877-8106-4374-A417-409CBE20667A}"/>
    <cellStyle name="Currency 3 2 2 2 3 4" xfId="17703" xr:uid="{24A6A4F7-8126-4303-B3F4-30CA10868B99}"/>
    <cellStyle name="Currency 3 2 2 2 3 5" xfId="9269" xr:uid="{3423FD1D-8AD9-4C2E-ACD0-02E719BF413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24478" xr:uid="{6903EDF7-1F91-49A4-8540-E402D7F523FD}"/>
    <cellStyle name="Currency 3 2 2 2 4 2 2 3" xfId="16044" xr:uid="{A55EB0E5-2D54-423C-BA54-ECBF2DC22901}"/>
    <cellStyle name="Currency 3 2 2 2 4 2 3" xfId="20261" xr:uid="{9FA5EF1A-AAE8-4C26-97A0-2517985554C7}"/>
    <cellStyle name="Currency 3 2 2 2 4 2 4" xfId="11827" xr:uid="{A8B1609C-56F4-4EC3-B6D9-D8DAAB056C80}"/>
    <cellStyle name="Currency 3 2 2 2 4 3" xfId="5461" xr:uid="{00000000-0005-0000-0000-0000C60A0000}"/>
    <cellStyle name="Currency 3 2 2 2 4 3 2" xfId="22333" xr:uid="{7A31136F-A672-433D-8ABE-6F086914F8A5}"/>
    <cellStyle name="Currency 3 2 2 2 4 3 3" xfId="13899" xr:uid="{E401ACEE-264C-4130-8130-612F13443240}"/>
    <cellStyle name="Currency 3 2 2 2 4 4" xfId="18116" xr:uid="{CCB4D1EE-22F7-4970-BDDC-65196C033EB0}"/>
    <cellStyle name="Currency 3 2 2 2 4 5" xfId="9682" xr:uid="{CE763C1F-BF50-4BCC-980C-970A956321EC}"/>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24891" xr:uid="{82829840-64C1-4462-9293-37848A17554E}"/>
    <cellStyle name="Currency 3 2 2 2 5 2 2 3" xfId="16457" xr:uid="{249C40AE-F3B6-4000-85DF-14D0B1D13F83}"/>
    <cellStyle name="Currency 3 2 2 2 5 2 3" xfId="20674" xr:uid="{619618BC-9DA4-4BDF-957A-68B7A8A317DF}"/>
    <cellStyle name="Currency 3 2 2 2 5 2 4" xfId="12240" xr:uid="{374F13E3-012A-4F28-9595-EC84DFAE9142}"/>
    <cellStyle name="Currency 3 2 2 2 5 3" xfId="5874" xr:uid="{00000000-0005-0000-0000-0000CA0A0000}"/>
    <cellStyle name="Currency 3 2 2 2 5 3 2" xfId="22746" xr:uid="{F293C263-10B8-4652-AE56-881E629630F3}"/>
    <cellStyle name="Currency 3 2 2 2 5 3 3" xfId="14312" xr:uid="{12E9B569-9EAE-49E7-A99B-ACB59D76D21F}"/>
    <cellStyle name="Currency 3 2 2 2 5 4" xfId="18529" xr:uid="{12C46331-3709-4341-AA06-64BC4CBB429D}"/>
    <cellStyle name="Currency 3 2 2 2 5 5" xfId="10095" xr:uid="{1C52AB8E-50B2-4785-9DAC-29DEB239508D}"/>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25304" xr:uid="{AF26C5B4-9361-4288-A729-E6D2B9F578A7}"/>
    <cellStyle name="Currency 3 2 2 2 6 2 2 3" xfId="16870" xr:uid="{E974229A-DF11-417B-9345-73561F19CFD8}"/>
    <cellStyle name="Currency 3 2 2 2 6 2 3" xfId="21087" xr:uid="{9C07C124-E8DE-4F74-AB65-33E5610D7C3A}"/>
    <cellStyle name="Currency 3 2 2 2 6 2 4" xfId="12653" xr:uid="{420B946C-28C0-48FE-9D9D-49F915B4F8AC}"/>
    <cellStyle name="Currency 3 2 2 2 6 3" xfId="6287" xr:uid="{00000000-0005-0000-0000-0000CE0A0000}"/>
    <cellStyle name="Currency 3 2 2 2 6 3 2" xfId="23159" xr:uid="{F6CB9F61-0823-4D13-801C-3AF9CC7A5F37}"/>
    <cellStyle name="Currency 3 2 2 2 6 3 3" xfId="14725" xr:uid="{C0EB1D78-6968-40B2-B249-7D8A4829ABCF}"/>
    <cellStyle name="Currency 3 2 2 2 6 4" xfId="18942" xr:uid="{DD4E3AA7-2CBF-406D-B566-D73A2995666A}"/>
    <cellStyle name="Currency 3 2 2 2 6 5" xfId="10508" xr:uid="{B5D9555C-08EE-428A-B5D0-A819EB416F0C}"/>
    <cellStyle name="Currency 3 2 2 2 7" xfId="2415" xr:uid="{00000000-0005-0000-0000-0000CF0A0000}"/>
    <cellStyle name="Currency 3 2 2 2 7 2" xfId="6700" xr:uid="{00000000-0005-0000-0000-0000D00A0000}"/>
    <cellStyle name="Currency 3 2 2 2 7 2 2" xfId="23572" xr:uid="{DA2C5A82-40DB-4C51-82CD-DB31B17FA41E}"/>
    <cellStyle name="Currency 3 2 2 2 7 2 3" xfId="15138" xr:uid="{773727A7-F28C-4E25-9A1E-8FD05D2DE8C1}"/>
    <cellStyle name="Currency 3 2 2 2 7 3" xfId="19355" xr:uid="{F24F1BD1-587D-4307-9529-22A4EFD6FF4D}"/>
    <cellStyle name="Currency 3 2 2 2 7 4" xfId="10921" xr:uid="{01762437-B05C-4E8A-B6D4-6402B89DD54E}"/>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23889" xr:uid="{214ED433-9E6C-4B87-801C-6D91981C3C30}"/>
    <cellStyle name="Currency 3 2 2 2 9 2 3" xfId="15455" xr:uid="{4ADC3B6B-105F-4DA7-9353-F8439A223561}"/>
    <cellStyle name="Currency 3 2 2 2 9 3" xfId="19672" xr:uid="{23FE6EB3-9258-4C40-8219-F9B6E3050A46}"/>
    <cellStyle name="Currency 3 2 2 2 9 4" xfId="11238" xr:uid="{3CAABCED-8334-4D73-B8CE-7DCDF4593716}"/>
    <cellStyle name="Currency 3 2 2 3" xfId="181" xr:uid="{00000000-0005-0000-0000-0000D40A0000}"/>
    <cellStyle name="Currency 3 2 2 3 10" xfId="17291" xr:uid="{7AAAF143-0AA3-437E-AF28-112C3611D594}"/>
    <cellStyle name="Currency 3 2 2 3 11" xfId="8857" xr:uid="{CCEFAD77-344B-484D-99B0-1DC3C143AB2F}"/>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24067" xr:uid="{42B578B2-5E31-4E54-B8F2-6DFEEBF3794B}"/>
    <cellStyle name="Currency 3 2 2 3 2 2 2 3" xfId="15633" xr:uid="{2575CCD0-C2C5-4216-8E82-B36091C48C3A}"/>
    <cellStyle name="Currency 3 2 2 3 2 2 3" xfId="19850" xr:uid="{C835CEE2-6865-405D-B6C0-E77DF252AA48}"/>
    <cellStyle name="Currency 3 2 2 3 2 2 4" xfId="11416" xr:uid="{8E59F742-3907-4C54-881E-843BC16DF466}"/>
    <cellStyle name="Currency 3 2 2 3 2 3" xfId="5050" xr:uid="{00000000-0005-0000-0000-0000D80A0000}"/>
    <cellStyle name="Currency 3 2 2 3 2 3 2" xfId="21922" xr:uid="{8856B6CF-80BA-4B5E-925B-B55E97489BA7}"/>
    <cellStyle name="Currency 3 2 2 3 2 3 3" xfId="13488" xr:uid="{452163E4-1807-4597-87E6-07525C1A84B1}"/>
    <cellStyle name="Currency 3 2 2 3 2 4" xfId="17705" xr:uid="{C3857EAA-278E-48B4-9CC5-23BA33790877}"/>
    <cellStyle name="Currency 3 2 2 3 2 5" xfId="9271" xr:uid="{5551ED53-551F-49A5-8A25-4F99F215B52F}"/>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24480" xr:uid="{63F2F044-CEB7-4531-9144-AF2FAD85000B}"/>
    <cellStyle name="Currency 3 2 2 3 3 2 2 3" xfId="16046" xr:uid="{273EDFC6-F3A2-4190-8798-ADF95D0A7447}"/>
    <cellStyle name="Currency 3 2 2 3 3 2 3" xfId="20263" xr:uid="{DFA3E65F-25E7-4395-B07D-218BC519FCC1}"/>
    <cellStyle name="Currency 3 2 2 3 3 2 4" xfId="11829" xr:uid="{7AC30917-1D99-4074-A538-DA7A4B384E1B}"/>
    <cellStyle name="Currency 3 2 2 3 3 3" xfId="5463" xr:uid="{00000000-0005-0000-0000-0000DC0A0000}"/>
    <cellStyle name="Currency 3 2 2 3 3 3 2" xfId="22335" xr:uid="{A55617B0-9083-4432-8F42-AAD2627EB004}"/>
    <cellStyle name="Currency 3 2 2 3 3 3 3" xfId="13901" xr:uid="{F1179D04-C01A-46C3-A32C-F60ED935E799}"/>
    <cellStyle name="Currency 3 2 2 3 3 4" xfId="18118" xr:uid="{6CEBE32D-955F-4CF0-B7C2-9CF2FF17ED99}"/>
    <cellStyle name="Currency 3 2 2 3 3 5" xfId="9684" xr:uid="{AAAA7FF6-A722-4B9A-A9F5-9D9689B3D01A}"/>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24893" xr:uid="{8DA881C2-28BA-4513-9203-390C16B20C45}"/>
    <cellStyle name="Currency 3 2 2 3 4 2 2 3" xfId="16459" xr:uid="{417D775A-266D-4ABA-BAC2-B6486052C579}"/>
    <cellStyle name="Currency 3 2 2 3 4 2 3" xfId="20676" xr:uid="{80D3F530-A0BB-4728-B8D6-22EFE8289292}"/>
    <cellStyle name="Currency 3 2 2 3 4 2 4" xfId="12242" xr:uid="{C9C639E0-54FA-46DA-B2ED-209F729EB546}"/>
    <cellStyle name="Currency 3 2 2 3 4 3" xfId="5876" xr:uid="{00000000-0005-0000-0000-0000E00A0000}"/>
    <cellStyle name="Currency 3 2 2 3 4 3 2" xfId="22748" xr:uid="{55A6F81D-9606-44C4-B501-E429B7C0CCC9}"/>
    <cellStyle name="Currency 3 2 2 3 4 3 3" xfId="14314" xr:uid="{17E94CF3-6009-446F-8487-8E75CF6B39EF}"/>
    <cellStyle name="Currency 3 2 2 3 4 4" xfId="18531" xr:uid="{E033C2F7-CBB1-4233-8204-4645D0021474}"/>
    <cellStyle name="Currency 3 2 2 3 4 5" xfId="10097" xr:uid="{DAB451BD-DA60-4923-87BC-B6F2E80427D7}"/>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25306" xr:uid="{CD242030-2BB1-47F1-8CA5-0601F19FEBA2}"/>
    <cellStyle name="Currency 3 2 2 3 5 2 2 3" xfId="16872" xr:uid="{A1332FBA-0CE3-45BF-94B2-000D53A29D66}"/>
    <cellStyle name="Currency 3 2 2 3 5 2 3" xfId="21089" xr:uid="{9B81EB6A-12C2-4EF1-8337-968FB7AC1FA9}"/>
    <cellStyle name="Currency 3 2 2 3 5 2 4" xfId="12655" xr:uid="{DE4D3855-0200-48D5-88E5-95025C0BE611}"/>
    <cellStyle name="Currency 3 2 2 3 5 3" xfId="6289" xr:uid="{00000000-0005-0000-0000-0000E40A0000}"/>
    <cellStyle name="Currency 3 2 2 3 5 3 2" xfId="23161" xr:uid="{9ED66463-33F8-47AE-8326-6A8C74D67C82}"/>
    <cellStyle name="Currency 3 2 2 3 5 3 3" xfId="14727" xr:uid="{9D2AF0B7-C36F-41E0-859E-823A859B016E}"/>
    <cellStyle name="Currency 3 2 2 3 5 4" xfId="18944" xr:uid="{6C56C238-5EE2-4FE7-AE79-3F09CAA93043}"/>
    <cellStyle name="Currency 3 2 2 3 5 5" xfId="10510" xr:uid="{09780A84-51A5-4B0C-A285-7C18040DA5E4}"/>
    <cellStyle name="Currency 3 2 2 3 6" xfId="2417" xr:uid="{00000000-0005-0000-0000-0000E50A0000}"/>
    <cellStyle name="Currency 3 2 2 3 6 2" xfId="6702" xr:uid="{00000000-0005-0000-0000-0000E60A0000}"/>
    <cellStyle name="Currency 3 2 2 3 6 2 2" xfId="23574" xr:uid="{257F91CC-DC9A-4076-89B2-800AAD88A59E}"/>
    <cellStyle name="Currency 3 2 2 3 6 2 3" xfId="15140" xr:uid="{337C176A-4474-43EA-8B91-439977FDEB44}"/>
    <cellStyle name="Currency 3 2 2 3 6 3" xfId="19357" xr:uid="{A8CC492F-1CA0-4E23-A33A-0376C6A21EDE}"/>
    <cellStyle name="Currency 3 2 2 3 6 4" xfId="10923" xr:uid="{202EC05B-5513-4BED-BC38-7917B564688F}"/>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23891" xr:uid="{415A34C2-6D4C-4FF4-9AF7-F42AB94079DB}"/>
    <cellStyle name="Currency 3 2 2 3 8 2 3" xfId="15457" xr:uid="{34DF4435-9203-417E-9F5A-2051EA3BE085}"/>
    <cellStyle name="Currency 3 2 2 3 8 3" xfId="19674" xr:uid="{CCF2BB1F-8CBC-423B-AA32-D8F2D85214A4}"/>
    <cellStyle name="Currency 3 2 2 3 8 4" xfId="11240" xr:uid="{C6582BF2-482C-4814-A93E-51393A24FEF6}"/>
    <cellStyle name="Currency 3 2 2 3 9" xfId="4636" xr:uid="{00000000-0005-0000-0000-0000EA0A0000}"/>
    <cellStyle name="Currency 3 2 2 3 9 2" xfId="21508" xr:uid="{BE168EBB-7B17-4601-8E90-CEACFB45DD95}"/>
    <cellStyle name="Currency 3 2 2 3 9 3" xfId="13074" xr:uid="{52169C9A-542B-47A4-A655-79A7992DB7A5}"/>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24064" xr:uid="{9CBEF298-4EDF-4FB9-B130-FF42D1415266}"/>
    <cellStyle name="Currency 3 2 2 4 2 2 3" xfId="15630" xr:uid="{AF3CA7AA-9904-44A4-ABA8-112F445A562D}"/>
    <cellStyle name="Currency 3 2 2 4 2 3" xfId="19847" xr:uid="{42966D50-E7D6-40A2-9966-B844292F31C1}"/>
    <cellStyle name="Currency 3 2 2 4 2 4" xfId="11413" xr:uid="{4B861F68-D7FD-4389-B26E-99DABDF1ACD8}"/>
    <cellStyle name="Currency 3 2 2 4 3" xfId="5047" xr:uid="{00000000-0005-0000-0000-0000EE0A0000}"/>
    <cellStyle name="Currency 3 2 2 4 3 2" xfId="21919" xr:uid="{9140CA08-AC71-49B5-93F5-60D0A27DD7F8}"/>
    <cellStyle name="Currency 3 2 2 4 3 3" xfId="13485" xr:uid="{909E84E7-DEB5-45F4-B672-103F7425EAB9}"/>
    <cellStyle name="Currency 3 2 2 4 4" xfId="17702" xr:uid="{9073187C-233F-4A20-B9B3-DAC6866273B9}"/>
    <cellStyle name="Currency 3 2 2 4 5" xfId="9268" xr:uid="{041FC85B-8597-4716-8CE7-68A3CC023930}"/>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24477" xr:uid="{8ED28C5D-8A89-475D-96C4-FA87161C9076}"/>
    <cellStyle name="Currency 3 2 2 5 2 2 3" xfId="16043" xr:uid="{8EE4D890-0D3C-430C-86A6-03226B20730F}"/>
    <cellStyle name="Currency 3 2 2 5 2 3" xfId="20260" xr:uid="{624BEDFA-F904-462F-BE4F-772B1EB92134}"/>
    <cellStyle name="Currency 3 2 2 5 2 4" xfId="11826" xr:uid="{45E468CF-96D9-4C26-BDD7-B3342C494AF0}"/>
    <cellStyle name="Currency 3 2 2 5 3" xfId="5460" xr:uid="{00000000-0005-0000-0000-0000F20A0000}"/>
    <cellStyle name="Currency 3 2 2 5 3 2" xfId="22332" xr:uid="{2CA8FC98-7BB2-412E-A591-7CFB7C7D8821}"/>
    <cellStyle name="Currency 3 2 2 5 3 3" xfId="13898" xr:uid="{1C9924D5-19D1-4397-894F-A75DA0912643}"/>
    <cellStyle name="Currency 3 2 2 5 4" xfId="18115" xr:uid="{6CAF5A97-8CD3-4D95-BC1F-081ADBA4C176}"/>
    <cellStyle name="Currency 3 2 2 5 5" xfId="9681" xr:uid="{D9DEAD73-9156-455F-957D-F7A6A5CE9393}"/>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24890" xr:uid="{13B7AB3B-0C63-46C3-9067-02FB4BD9052A}"/>
    <cellStyle name="Currency 3 2 2 6 2 2 3" xfId="16456" xr:uid="{2180C768-9DD0-4A0C-A6ED-F56C3A13B6AA}"/>
    <cellStyle name="Currency 3 2 2 6 2 3" xfId="20673" xr:uid="{494D60F0-4342-4DAE-84B6-A6C38848FD13}"/>
    <cellStyle name="Currency 3 2 2 6 2 4" xfId="12239" xr:uid="{51EF6744-639D-4832-A432-A849B242E0A1}"/>
    <cellStyle name="Currency 3 2 2 6 3" xfId="5873" xr:uid="{00000000-0005-0000-0000-0000F60A0000}"/>
    <cellStyle name="Currency 3 2 2 6 3 2" xfId="22745" xr:uid="{10BDCE57-4E85-465D-8A2C-0B4FF7F9BB37}"/>
    <cellStyle name="Currency 3 2 2 6 3 3" xfId="14311" xr:uid="{28EBC82C-BB99-4750-BC4B-0BA2530C2DA7}"/>
    <cellStyle name="Currency 3 2 2 6 4" xfId="18528" xr:uid="{277BBAD3-4146-44C6-A604-179E555CF039}"/>
    <cellStyle name="Currency 3 2 2 6 5" xfId="10094" xr:uid="{DD2B99FD-7099-4190-A2CF-2CD6DD0F3CBE}"/>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25303" xr:uid="{6CAD0BAD-42CE-41D9-B07B-647406AB5EBD}"/>
    <cellStyle name="Currency 3 2 2 7 2 2 3" xfId="16869" xr:uid="{0735D75B-32F9-4E70-B63F-E19891DF48CF}"/>
    <cellStyle name="Currency 3 2 2 7 2 3" xfId="21086" xr:uid="{A04976FD-E9D8-4469-8526-E9DC729D73FF}"/>
    <cellStyle name="Currency 3 2 2 7 2 4" xfId="12652" xr:uid="{51E31E43-FA74-4F55-9B11-97D88F07A7E6}"/>
    <cellStyle name="Currency 3 2 2 7 3" xfId="6286" xr:uid="{00000000-0005-0000-0000-0000FA0A0000}"/>
    <cellStyle name="Currency 3 2 2 7 3 2" xfId="23158" xr:uid="{03E5B005-6810-40A0-B7FF-38DB3FB604F0}"/>
    <cellStyle name="Currency 3 2 2 7 3 3" xfId="14724" xr:uid="{1336ADB4-DB62-4B07-92F6-075631DA1C9E}"/>
    <cellStyle name="Currency 3 2 2 7 4" xfId="18941" xr:uid="{7E49BFAC-67A5-4161-BE81-0BA4EABCF707}"/>
    <cellStyle name="Currency 3 2 2 7 5" xfId="10507" xr:uid="{FEC5255F-A394-4594-B226-C57A80D30131}"/>
    <cellStyle name="Currency 3 2 2 8" xfId="2414" xr:uid="{00000000-0005-0000-0000-0000FB0A0000}"/>
    <cellStyle name="Currency 3 2 2 8 2" xfId="6699" xr:uid="{00000000-0005-0000-0000-0000FC0A0000}"/>
    <cellStyle name="Currency 3 2 2 8 2 2" xfId="23571" xr:uid="{EE72470C-16E7-47F3-880B-A50305D5D2FD}"/>
    <cellStyle name="Currency 3 2 2 8 2 3" xfId="15137" xr:uid="{E980A0BF-F570-43A8-BBCF-1DE66FCE8883}"/>
    <cellStyle name="Currency 3 2 2 8 3" xfId="19354" xr:uid="{7272890C-ADDC-4C7F-89DC-6D2A2D0F6DDC}"/>
    <cellStyle name="Currency 3 2 2 8 4" xfId="10920" xr:uid="{3AD17091-13DE-4F16-B9C4-21863754BF7A}"/>
    <cellStyle name="Currency 3 2 2 9" xfId="2711" xr:uid="{00000000-0005-0000-0000-0000FD0A0000}"/>
    <cellStyle name="Currency 3 2 3" xfId="182" xr:uid="{00000000-0005-0000-0000-0000FE0A0000}"/>
    <cellStyle name="Currency 3 2 3 10" xfId="4637" xr:uid="{00000000-0005-0000-0000-0000FF0A0000}"/>
    <cellStyle name="Currency 3 2 3 10 2" xfId="21509" xr:uid="{90AC8E06-296C-4798-94A9-9D387AD42B12}"/>
    <cellStyle name="Currency 3 2 3 10 3" xfId="13075" xr:uid="{D7B777F9-A84E-4B51-B236-D20AAE1F785A}"/>
    <cellStyle name="Currency 3 2 3 11" xfId="17292" xr:uid="{A61B3311-2D90-4AF8-804E-09F2C108BFAE}"/>
    <cellStyle name="Currency 3 2 3 12" xfId="8858" xr:uid="{ED508FC8-D9C5-4A01-9003-5BB4C6BBDE07}"/>
    <cellStyle name="Currency 3 2 3 2" xfId="183" xr:uid="{00000000-0005-0000-0000-0000000B0000}"/>
    <cellStyle name="Currency 3 2 3 2 10" xfId="17293" xr:uid="{96E065CB-0CCD-4D75-A38C-C041E316C83B}"/>
    <cellStyle name="Currency 3 2 3 2 11" xfId="8859" xr:uid="{2611B55B-7DE5-4B0A-9167-FA9F5EBCE997}"/>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24069" xr:uid="{1D1E725A-F02D-4DA4-B82B-E193AB4CD196}"/>
    <cellStyle name="Currency 3 2 3 2 2 2 2 3" xfId="15635" xr:uid="{D91C9C37-6435-4CB4-957E-558F30E32AF8}"/>
    <cellStyle name="Currency 3 2 3 2 2 2 3" xfId="19852" xr:uid="{7212FE2C-7901-46A7-A633-366A5727B6D2}"/>
    <cellStyle name="Currency 3 2 3 2 2 2 4" xfId="11418" xr:uid="{34F240D0-DC18-488F-8A60-D8DFBDA1E121}"/>
    <cellStyle name="Currency 3 2 3 2 2 3" xfId="5052" xr:uid="{00000000-0005-0000-0000-0000040B0000}"/>
    <cellStyle name="Currency 3 2 3 2 2 3 2" xfId="21924" xr:uid="{92AD4604-4034-4B0E-84E1-C7F1D811067C}"/>
    <cellStyle name="Currency 3 2 3 2 2 3 3" xfId="13490" xr:uid="{4CF51B22-06B2-4265-A9BD-7007480CFA2A}"/>
    <cellStyle name="Currency 3 2 3 2 2 4" xfId="17707" xr:uid="{4DDD16FC-5F6F-4261-A92D-EDCB7E5F1712}"/>
    <cellStyle name="Currency 3 2 3 2 2 5" xfId="9273" xr:uid="{E96DDF24-D0E2-4B1A-B178-46D52A87D227}"/>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24482" xr:uid="{F85457AF-60BB-4F61-B460-E1F1CEBB9F51}"/>
    <cellStyle name="Currency 3 2 3 2 3 2 2 3" xfId="16048" xr:uid="{7A927310-6EB8-4540-B599-048A24DE2BB7}"/>
    <cellStyle name="Currency 3 2 3 2 3 2 3" xfId="20265" xr:uid="{2F1DEF71-27C8-4FDC-A7F3-CE3CB71CC3E4}"/>
    <cellStyle name="Currency 3 2 3 2 3 2 4" xfId="11831" xr:uid="{9540A04B-CC8E-4E58-B1D9-EB41FCF58EFB}"/>
    <cellStyle name="Currency 3 2 3 2 3 3" xfId="5465" xr:uid="{00000000-0005-0000-0000-0000080B0000}"/>
    <cellStyle name="Currency 3 2 3 2 3 3 2" xfId="22337" xr:uid="{FDD1EFDE-432F-4266-8341-E5A3B5D7073D}"/>
    <cellStyle name="Currency 3 2 3 2 3 3 3" xfId="13903" xr:uid="{2BE38831-94B3-47B9-BA69-84FB62B2FBB1}"/>
    <cellStyle name="Currency 3 2 3 2 3 4" xfId="18120" xr:uid="{5D3B7F64-2DE4-457E-B21C-93AF48E4FD1A}"/>
    <cellStyle name="Currency 3 2 3 2 3 5" xfId="9686" xr:uid="{A756386A-60A1-40D1-9CCA-E731D3A32988}"/>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24895" xr:uid="{FDF4D360-B018-403D-84FA-07930FCA13D7}"/>
    <cellStyle name="Currency 3 2 3 2 4 2 2 3" xfId="16461" xr:uid="{99AE670B-830D-4DE8-8689-4611474C4EA3}"/>
    <cellStyle name="Currency 3 2 3 2 4 2 3" xfId="20678" xr:uid="{BD53F6FB-B265-4442-B2EC-DA29E537A623}"/>
    <cellStyle name="Currency 3 2 3 2 4 2 4" xfId="12244" xr:uid="{D9E9E263-AF89-435C-B25D-DC4F7230220E}"/>
    <cellStyle name="Currency 3 2 3 2 4 3" xfId="5878" xr:uid="{00000000-0005-0000-0000-00000C0B0000}"/>
    <cellStyle name="Currency 3 2 3 2 4 3 2" xfId="22750" xr:uid="{660FDF5A-1D69-4B23-BA0F-975FF453341A}"/>
    <cellStyle name="Currency 3 2 3 2 4 3 3" xfId="14316" xr:uid="{EA38A19C-66EF-4A0D-A18F-D262A43A3ACB}"/>
    <cellStyle name="Currency 3 2 3 2 4 4" xfId="18533" xr:uid="{BF9B3DF2-9D3C-48B1-8319-74B34C1BBF53}"/>
    <cellStyle name="Currency 3 2 3 2 4 5" xfId="10099" xr:uid="{EEF02DC3-16E4-4688-8C95-2953F36232B1}"/>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25308" xr:uid="{553BAB6E-44FC-4D25-9981-DFD8B3412691}"/>
    <cellStyle name="Currency 3 2 3 2 5 2 2 3" xfId="16874" xr:uid="{9399AF9E-87BE-4C46-93FB-7F8B58B7A6AD}"/>
    <cellStyle name="Currency 3 2 3 2 5 2 3" xfId="21091" xr:uid="{410B67C5-BF1E-49E8-963A-32B6A07D282C}"/>
    <cellStyle name="Currency 3 2 3 2 5 2 4" xfId="12657" xr:uid="{B7599AF8-17E3-41E2-9A5E-88DEF9136517}"/>
    <cellStyle name="Currency 3 2 3 2 5 3" xfId="6291" xr:uid="{00000000-0005-0000-0000-0000100B0000}"/>
    <cellStyle name="Currency 3 2 3 2 5 3 2" xfId="23163" xr:uid="{8CBB7B6D-E9CC-4047-987A-ACF7111B3C3E}"/>
    <cellStyle name="Currency 3 2 3 2 5 3 3" xfId="14729" xr:uid="{6ED60866-1BE5-4102-A0DC-DD73DD56A88D}"/>
    <cellStyle name="Currency 3 2 3 2 5 4" xfId="18946" xr:uid="{7CA1D3B3-5006-44BA-B66E-D24670D63855}"/>
    <cellStyle name="Currency 3 2 3 2 5 5" xfId="10512" xr:uid="{8CFEF70B-CB29-413C-AE60-3BE5C1E94912}"/>
    <cellStyle name="Currency 3 2 3 2 6" xfId="2419" xr:uid="{00000000-0005-0000-0000-0000110B0000}"/>
    <cellStyle name="Currency 3 2 3 2 6 2" xfId="6704" xr:uid="{00000000-0005-0000-0000-0000120B0000}"/>
    <cellStyle name="Currency 3 2 3 2 6 2 2" xfId="23576" xr:uid="{44BF8EDF-E092-4419-B624-E23790D71449}"/>
    <cellStyle name="Currency 3 2 3 2 6 2 3" xfId="15142" xr:uid="{C2AD3539-3E6F-41F5-AC0D-E9A1F2199624}"/>
    <cellStyle name="Currency 3 2 3 2 6 3" xfId="19359" xr:uid="{660A5A08-938C-444A-BF5D-E9BAC8C6EF26}"/>
    <cellStyle name="Currency 3 2 3 2 6 4" xfId="10925" xr:uid="{4DD85082-8798-4D67-9793-FBED185A6F21}"/>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23893" xr:uid="{10379699-84B8-41B8-8F12-31367340A020}"/>
    <cellStyle name="Currency 3 2 3 2 8 2 3" xfId="15459" xr:uid="{DA82C4AB-D73E-4A4E-95E0-A3D85265DD4C}"/>
    <cellStyle name="Currency 3 2 3 2 8 3" xfId="19676" xr:uid="{BAB6CC30-131B-4688-AE36-57ED88F07C33}"/>
    <cellStyle name="Currency 3 2 3 2 8 4" xfId="11242" xr:uid="{BF7B803F-C4F5-4D86-A7DB-3811BD25412B}"/>
    <cellStyle name="Currency 3 2 3 2 9" xfId="4638" xr:uid="{00000000-0005-0000-0000-0000160B0000}"/>
    <cellStyle name="Currency 3 2 3 2 9 2" xfId="21510" xr:uid="{2E07E8D1-5281-4EC4-8649-36E53F3E6D05}"/>
    <cellStyle name="Currency 3 2 3 2 9 3" xfId="13076" xr:uid="{E107B7DB-183D-45BE-9A99-B847E0E078D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24068" xr:uid="{9A0E6953-ED26-4E38-A7A4-E8E489D0D5FD}"/>
    <cellStyle name="Currency 3 2 3 3 2 2 3" xfId="15634" xr:uid="{DFDF9B3C-0848-4519-987D-391F3885CE02}"/>
    <cellStyle name="Currency 3 2 3 3 2 3" xfId="19851" xr:uid="{AB6CAA9E-8D79-4CDF-AC60-D84AD23A998D}"/>
    <cellStyle name="Currency 3 2 3 3 2 4" xfId="11417" xr:uid="{2D2CF6A0-EDFC-43FB-9DD0-6BBE85482793}"/>
    <cellStyle name="Currency 3 2 3 3 3" xfId="5051" xr:uid="{00000000-0005-0000-0000-00001A0B0000}"/>
    <cellStyle name="Currency 3 2 3 3 3 2" xfId="21923" xr:uid="{6E1F2BE4-5BDA-4919-97CD-6518CED3BD30}"/>
    <cellStyle name="Currency 3 2 3 3 3 3" xfId="13489" xr:uid="{3EC993E9-ACEB-4DC3-BB35-AA461AAC4F96}"/>
    <cellStyle name="Currency 3 2 3 3 4" xfId="17706" xr:uid="{003CAF26-E0B1-4CA0-969C-462438CF8007}"/>
    <cellStyle name="Currency 3 2 3 3 5" xfId="9272" xr:uid="{1E02D310-D57E-4B76-8030-6DED16E6EFD7}"/>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24481" xr:uid="{3CA4FA59-7340-4BAA-BB67-E209A695519E}"/>
    <cellStyle name="Currency 3 2 3 4 2 2 3" xfId="16047" xr:uid="{B47BB87A-1977-4D88-A53E-776B8055B152}"/>
    <cellStyle name="Currency 3 2 3 4 2 3" xfId="20264" xr:uid="{F97951CB-EDF4-4022-8EAF-904B75C05A7A}"/>
    <cellStyle name="Currency 3 2 3 4 2 4" xfId="11830" xr:uid="{A95FA099-DBBE-4532-A4CD-4EFC7D6D71CE}"/>
    <cellStyle name="Currency 3 2 3 4 3" xfId="5464" xr:uid="{00000000-0005-0000-0000-00001E0B0000}"/>
    <cellStyle name="Currency 3 2 3 4 3 2" xfId="22336" xr:uid="{8530D581-5BEA-4118-86FF-267D4E285DEB}"/>
    <cellStyle name="Currency 3 2 3 4 3 3" xfId="13902" xr:uid="{DD4D4FC8-C619-415C-97FF-B65206432905}"/>
    <cellStyle name="Currency 3 2 3 4 4" xfId="18119" xr:uid="{13559FD5-000A-4D35-AEC1-29AB7540DA78}"/>
    <cellStyle name="Currency 3 2 3 4 5" xfId="9685" xr:uid="{BAC197F1-6778-4B7C-9C0E-FDCDA1558593}"/>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24894" xr:uid="{03D0299E-28A6-4089-BEF3-9240A76A86E6}"/>
    <cellStyle name="Currency 3 2 3 5 2 2 3" xfId="16460" xr:uid="{7E47037E-19D7-4D03-901A-5155E185CC6C}"/>
    <cellStyle name="Currency 3 2 3 5 2 3" xfId="20677" xr:uid="{A67E80A0-0051-4578-85BD-D8503EBA9B95}"/>
    <cellStyle name="Currency 3 2 3 5 2 4" xfId="12243" xr:uid="{438E7C49-1859-4924-9821-94621500D84A}"/>
    <cellStyle name="Currency 3 2 3 5 3" xfId="5877" xr:uid="{00000000-0005-0000-0000-0000220B0000}"/>
    <cellStyle name="Currency 3 2 3 5 3 2" xfId="22749" xr:uid="{60A8E94A-B866-45E6-827D-CF1AF67756B2}"/>
    <cellStyle name="Currency 3 2 3 5 3 3" xfId="14315" xr:uid="{F5BD2E0F-096E-46D1-91A7-997CF0C34A88}"/>
    <cellStyle name="Currency 3 2 3 5 4" xfId="18532" xr:uid="{73C9755D-88AE-4B9A-89AC-4AF4FC30018E}"/>
    <cellStyle name="Currency 3 2 3 5 5" xfId="10098" xr:uid="{4C35FAC9-7F73-406B-AC4D-DE9308EC3ADA}"/>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25307" xr:uid="{BEE0656E-C5E9-4D4C-AD48-201F473FE55B}"/>
    <cellStyle name="Currency 3 2 3 6 2 2 3" xfId="16873" xr:uid="{CF96F0DE-6018-4282-AB1E-8C9DE8C2CB36}"/>
    <cellStyle name="Currency 3 2 3 6 2 3" xfId="21090" xr:uid="{1A6CC0DA-B9A0-4A27-9B8A-D0046C58972A}"/>
    <cellStyle name="Currency 3 2 3 6 2 4" xfId="12656" xr:uid="{EB426D95-9F41-4AF6-9306-EE7D444806D4}"/>
    <cellStyle name="Currency 3 2 3 6 3" xfId="6290" xr:uid="{00000000-0005-0000-0000-0000260B0000}"/>
    <cellStyle name="Currency 3 2 3 6 3 2" xfId="23162" xr:uid="{2F25C5F5-88D3-4E2E-922E-0D93B6BA90CC}"/>
    <cellStyle name="Currency 3 2 3 6 3 3" xfId="14728" xr:uid="{3062786D-F961-4900-87CF-BA6674551385}"/>
    <cellStyle name="Currency 3 2 3 6 4" xfId="18945" xr:uid="{6688B469-9C74-4FDA-95DA-ECF47F7CA627}"/>
    <cellStyle name="Currency 3 2 3 6 5" xfId="10511" xr:uid="{F72F050C-B2D4-4A10-A082-90CDA62C23DA}"/>
    <cellStyle name="Currency 3 2 3 7" xfId="2418" xr:uid="{00000000-0005-0000-0000-0000270B0000}"/>
    <cellStyle name="Currency 3 2 3 7 2" xfId="6703" xr:uid="{00000000-0005-0000-0000-0000280B0000}"/>
    <cellStyle name="Currency 3 2 3 7 2 2" xfId="23575" xr:uid="{9E87F957-920B-4F99-9650-8BC3830D2467}"/>
    <cellStyle name="Currency 3 2 3 7 2 3" xfId="15141" xr:uid="{46214A79-DD88-43D1-82AF-F46532EDE169}"/>
    <cellStyle name="Currency 3 2 3 7 3" xfId="19358" xr:uid="{C316EE41-27F1-42B3-B1AC-DEE35F910C43}"/>
    <cellStyle name="Currency 3 2 3 7 4" xfId="10924" xr:uid="{207B89E3-2BB6-489F-8303-F51B206C3501}"/>
    <cellStyle name="Currency 3 2 3 8" xfId="2715" xr:uid="{00000000-0005-0000-0000-0000290B0000}"/>
    <cellStyle name="Currency 3 2 3 9" xfId="2796" xr:uid="{00000000-0005-0000-0000-00002A0B0000}"/>
    <cellStyle name="Currency 3 2 3 9 2" xfId="7020" xr:uid="{00000000-0005-0000-0000-00002B0B0000}"/>
    <cellStyle name="Currency 3 2 3 9 2 2" xfId="23892" xr:uid="{E6E9E557-F5FB-4E63-A61E-D2601AB112A8}"/>
    <cellStyle name="Currency 3 2 3 9 2 3" xfId="15458" xr:uid="{78191E30-99B3-426B-8BBD-EF3CDDF0DA4E}"/>
    <cellStyle name="Currency 3 2 3 9 3" xfId="19675" xr:uid="{816C4DCB-1CE9-4E97-90B0-8E6A229972B8}"/>
    <cellStyle name="Currency 3 2 3 9 4" xfId="11241" xr:uid="{0A268AD8-BA63-408B-B024-DF71C4DF3786}"/>
    <cellStyle name="Currency 3 2 4" xfId="184" xr:uid="{00000000-0005-0000-0000-00002C0B0000}"/>
    <cellStyle name="Currency 3 2 4 10" xfId="17294" xr:uid="{1C89C2CA-F118-4D0C-B245-4997BD851F92}"/>
    <cellStyle name="Currency 3 2 4 11" xfId="8860" xr:uid="{668B2EE0-5A1C-4A21-A8FA-5F4A17F9DF90}"/>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24070" xr:uid="{7434109E-9318-434C-B479-C868DA891813}"/>
    <cellStyle name="Currency 3 2 4 2 2 2 3" xfId="15636" xr:uid="{0E5059E3-3045-4BAF-AABF-99F1EB0A954F}"/>
    <cellStyle name="Currency 3 2 4 2 2 3" xfId="19853" xr:uid="{1857876F-815B-4D6D-982D-CD4F85A6146F}"/>
    <cellStyle name="Currency 3 2 4 2 2 4" xfId="11419" xr:uid="{19077849-FD86-4C2E-A09C-A286521E9468}"/>
    <cellStyle name="Currency 3 2 4 2 3" xfId="5053" xr:uid="{00000000-0005-0000-0000-0000300B0000}"/>
    <cellStyle name="Currency 3 2 4 2 3 2" xfId="21925" xr:uid="{5788AA56-1D5F-4ECF-AF7D-27F3749378E4}"/>
    <cellStyle name="Currency 3 2 4 2 3 3" xfId="13491" xr:uid="{5167ACE0-84B6-44C6-8C74-78BC3F41F82B}"/>
    <cellStyle name="Currency 3 2 4 2 4" xfId="17708" xr:uid="{23A9E264-B49F-4159-90DE-15E10D04A6A5}"/>
    <cellStyle name="Currency 3 2 4 2 5" xfId="9274" xr:uid="{E71688FA-1353-4288-96FE-51E1AB6796B4}"/>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24483" xr:uid="{DD34376E-21E3-4FDA-8AE7-BEB915981818}"/>
    <cellStyle name="Currency 3 2 4 3 2 2 3" xfId="16049" xr:uid="{6DDB0585-D873-46A0-9581-138C3E1EA924}"/>
    <cellStyle name="Currency 3 2 4 3 2 3" xfId="20266" xr:uid="{49476BC0-1D07-42BC-A6A4-91EF2EFE0CD3}"/>
    <cellStyle name="Currency 3 2 4 3 2 4" xfId="11832" xr:uid="{EE56FEDB-E180-4AE6-8503-60A7BCE3A76F}"/>
    <cellStyle name="Currency 3 2 4 3 3" xfId="5466" xr:uid="{00000000-0005-0000-0000-0000340B0000}"/>
    <cellStyle name="Currency 3 2 4 3 3 2" xfId="22338" xr:uid="{582AF6C3-9B7C-406E-B717-27415103EAB7}"/>
    <cellStyle name="Currency 3 2 4 3 3 3" xfId="13904" xr:uid="{C4CE262F-D1E7-43AE-9778-7F24B500BB2C}"/>
    <cellStyle name="Currency 3 2 4 3 4" xfId="18121" xr:uid="{50749E1E-95A8-4F20-BE3E-0FAE0E5CBD0B}"/>
    <cellStyle name="Currency 3 2 4 3 5" xfId="9687" xr:uid="{DAE29450-7FD4-4C54-8E9C-FB234D46FF35}"/>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24896" xr:uid="{810002F9-4BF0-4B1A-8B83-6AC089C02EC9}"/>
    <cellStyle name="Currency 3 2 4 4 2 2 3" xfId="16462" xr:uid="{686BDA4D-48E0-4016-80E5-F5F14FB6BBC3}"/>
    <cellStyle name="Currency 3 2 4 4 2 3" xfId="20679" xr:uid="{A6823138-E5BE-48FC-B9B0-58A543EBEE88}"/>
    <cellStyle name="Currency 3 2 4 4 2 4" xfId="12245" xr:uid="{942D00D9-CDF1-483C-9B2B-845B5BA651F5}"/>
    <cellStyle name="Currency 3 2 4 4 3" xfId="5879" xr:uid="{00000000-0005-0000-0000-0000380B0000}"/>
    <cellStyle name="Currency 3 2 4 4 3 2" xfId="22751" xr:uid="{E345C308-5DA2-4C95-AED2-944200B0462A}"/>
    <cellStyle name="Currency 3 2 4 4 3 3" xfId="14317" xr:uid="{C1D041C9-A089-40BF-A1E9-6C9FD2A9D786}"/>
    <cellStyle name="Currency 3 2 4 4 4" xfId="18534" xr:uid="{FC72DDE1-0BBC-4D3C-AE37-4862E1335D12}"/>
    <cellStyle name="Currency 3 2 4 4 5" xfId="10100" xr:uid="{10A71162-74CF-4674-AF30-1CF25337B97D}"/>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25309" xr:uid="{559847EC-C36F-4DAE-8511-244339DE219B}"/>
    <cellStyle name="Currency 3 2 4 5 2 2 3" xfId="16875" xr:uid="{55827DC0-D03A-442A-AF3B-23D875EC8A53}"/>
    <cellStyle name="Currency 3 2 4 5 2 3" xfId="21092" xr:uid="{C5D6CF0E-DAF5-4A9C-8599-C0F85A4CE8F9}"/>
    <cellStyle name="Currency 3 2 4 5 2 4" xfId="12658" xr:uid="{7E071D16-5042-4DF1-9307-C342164A7E9D}"/>
    <cellStyle name="Currency 3 2 4 5 3" xfId="6292" xr:uid="{00000000-0005-0000-0000-00003C0B0000}"/>
    <cellStyle name="Currency 3 2 4 5 3 2" xfId="23164" xr:uid="{FD8679EC-9739-448D-9978-885434862CC2}"/>
    <cellStyle name="Currency 3 2 4 5 3 3" xfId="14730" xr:uid="{905418DC-F0E0-4113-8AF4-B5106040F4D7}"/>
    <cellStyle name="Currency 3 2 4 5 4" xfId="18947" xr:uid="{35C43624-FE83-458A-BD9B-C86BF1961324}"/>
    <cellStyle name="Currency 3 2 4 5 5" xfId="10513" xr:uid="{3A71B194-ADDF-43AA-A292-A0D482C7BA08}"/>
    <cellStyle name="Currency 3 2 4 6" xfId="2420" xr:uid="{00000000-0005-0000-0000-00003D0B0000}"/>
    <cellStyle name="Currency 3 2 4 6 2" xfId="6705" xr:uid="{00000000-0005-0000-0000-00003E0B0000}"/>
    <cellStyle name="Currency 3 2 4 6 2 2" xfId="23577" xr:uid="{F8DA0AB4-4574-480D-AF8D-BD17E0BABDC6}"/>
    <cellStyle name="Currency 3 2 4 6 2 3" xfId="15143" xr:uid="{6D38A274-B883-4048-AB15-73C1A3D61BE4}"/>
    <cellStyle name="Currency 3 2 4 6 3" xfId="19360" xr:uid="{B0D35C5E-1301-466F-8623-CE9BEEF40610}"/>
    <cellStyle name="Currency 3 2 4 6 4" xfId="10926" xr:uid="{FF2340E1-130F-401C-98D9-41452E4291F1}"/>
    <cellStyle name="Currency 3 2 4 7" xfId="2717" xr:uid="{00000000-0005-0000-0000-00003F0B0000}"/>
    <cellStyle name="Currency 3 2 4 8" xfId="2798" xr:uid="{00000000-0005-0000-0000-0000400B0000}"/>
    <cellStyle name="Currency 3 2 4 8 2" xfId="7022" xr:uid="{00000000-0005-0000-0000-0000410B0000}"/>
    <cellStyle name="Currency 3 2 4 8 2 2" xfId="23894" xr:uid="{2D700A83-0CD9-401C-80C5-3376FAFD3844}"/>
    <cellStyle name="Currency 3 2 4 8 2 3" xfId="15460" xr:uid="{96D3AC7E-17DC-47F7-9F0F-7F5E94EDF2C3}"/>
    <cellStyle name="Currency 3 2 4 8 3" xfId="19677" xr:uid="{F656A900-F0DA-4CA0-A70C-05B9E4CE2EEB}"/>
    <cellStyle name="Currency 3 2 4 8 4" xfId="11243" xr:uid="{4C4D35FF-93D2-4D2D-B625-CFDF8A8DEBA1}"/>
    <cellStyle name="Currency 3 2 4 9" xfId="4639" xr:uid="{00000000-0005-0000-0000-0000420B0000}"/>
    <cellStyle name="Currency 3 2 4 9 2" xfId="21511" xr:uid="{3B1456D0-D207-4BFE-8A43-67FB572A676E}"/>
    <cellStyle name="Currency 3 2 4 9 3" xfId="13077" xr:uid="{C2F86CA6-FF82-4212-B21C-3F3B2D8E96B7}"/>
    <cellStyle name="Currency 3 2 5" xfId="185" xr:uid="{00000000-0005-0000-0000-0000430B0000}"/>
    <cellStyle name="Currency 3 2 5 10" xfId="17295" xr:uid="{F70B9B4A-C861-4D57-B84E-707FF1D790B6}"/>
    <cellStyle name="Currency 3 2 5 11" xfId="8861" xr:uid="{FCA633DA-20AD-49F3-8A27-97A614EF8D46}"/>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24071" xr:uid="{2AACD6B0-C1D6-4A94-9ADE-E6E5F3C6EC4D}"/>
    <cellStyle name="Currency 3 2 5 2 2 2 3" xfId="15637" xr:uid="{BD30CC5A-EAFD-4509-B1F2-6EE81C526DF1}"/>
    <cellStyle name="Currency 3 2 5 2 2 3" xfId="19854" xr:uid="{86EE79A1-61C9-41A6-B02C-89D9AEF8AF97}"/>
    <cellStyle name="Currency 3 2 5 2 2 4" xfId="11420" xr:uid="{0298FCE9-6B70-444E-8974-C230274446D5}"/>
    <cellStyle name="Currency 3 2 5 2 3" xfId="5054" xr:uid="{00000000-0005-0000-0000-0000470B0000}"/>
    <cellStyle name="Currency 3 2 5 2 3 2" xfId="21926" xr:uid="{600F2579-8559-45F4-B451-5DB4DF3F36EF}"/>
    <cellStyle name="Currency 3 2 5 2 3 3" xfId="13492" xr:uid="{B84AC715-B55C-40A8-885B-E739BEECF2D5}"/>
    <cellStyle name="Currency 3 2 5 2 4" xfId="17709" xr:uid="{D8F65D92-DDB4-43B8-B3C5-8EFB050D0E00}"/>
    <cellStyle name="Currency 3 2 5 2 5" xfId="9275" xr:uid="{051CC0F4-8518-4D45-9FA3-3D8162E6343E}"/>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24484" xr:uid="{4E38D8AE-F4FB-4E59-B10E-38B2C6AFACB1}"/>
    <cellStyle name="Currency 3 2 5 3 2 2 3" xfId="16050" xr:uid="{202D037C-E791-48CE-B382-8EC6AE58F606}"/>
    <cellStyle name="Currency 3 2 5 3 2 3" xfId="20267" xr:uid="{5589E45E-FD89-438E-8580-9744B79C734D}"/>
    <cellStyle name="Currency 3 2 5 3 2 4" xfId="11833" xr:uid="{E942915E-4472-42A1-A6D0-D7BDE2DF1F87}"/>
    <cellStyle name="Currency 3 2 5 3 3" xfId="5467" xr:uid="{00000000-0005-0000-0000-00004B0B0000}"/>
    <cellStyle name="Currency 3 2 5 3 3 2" xfId="22339" xr:uid="{6D3C00C2-0320-48AC-9EC5-060D9E670DB2}"/>
    <cellStyle name="Currency 3 2 5 3 3 3" xfId="13905" xr:uid="{2074AC1F-3C49-4C5A-9B17-4EC8554C80D7}"/>
    <cellStyle name="Currency 3 2 5 3 4" xfId="18122" xr:uid="{5902513C-FB7A-4462-A838-D5AA6C743401}"/>
    <cellStyle name="Currency 3 2 5 3 5" xfId="9688" xr:uid="{7336FF82-1066-4F85-8566-AF974E069052}"/>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24897" xr:uid="{78745705-7387-428F-81D8-10C9E7C1FE70}"/>
    <cellStyle name="Currency 3 2 5 4 2 2 3" xfId="16463" xr:uid="{FCBA6D57-54E5-453B-B583-B2AAFE82004E}"/>
    <cellStyle name="Currency 3 2 5 4 2 3" xfId="20680" xr:uid="{3A027830-1C56-490F-B454-3EF5B4447315}"/>
    <cellStyle name="Currency 3 2 5 4 2 4" xfId="12246" xr:uid="{B6BACCDB-DFEA-4555-9787-A22E066BBE85}"/>
    <cellStyle name="Currency 3 2 5 4 3" xfId="5880" xr:uid="{00000000-0005-0000-0000-00004F0B0000}"/>
    <cellStyle name="Currency 3 2 5 4 3 2" xfId="22752" xr:uid="{7CD1BD67-E5DA-4D28-A398-DD0BB572251B}"/>
    <cellStyle name="Currency 3 2 5 4 3 3" xfId="14318" xr:uid="{7F7300F5-0A44-4F96-BCD6-30DE3EABB52C}"/>
    <cellStyle name="Currency 3 2 5 4 4" xfId="18535" xr:uid="{59053193-70F8-4FC7-8E5E-9C647446597B}"/>
    <cellStyle name="Currency 3 2 5 4 5" xfId="10101" xr:uid="{35F4E0D1-E533-4A2C-9B8A-76A43A6F796E}"/>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25310" xr:uid="{799D37FC-4A2B-4A62-83B0-CA6B09FBF67F}"/>
    <cellStyle name="Currency 3 2 5 5 2 2 3" xfId="16876" xr:uid="{7543F649-759C-4400-AB5D-F1E072CE1922}"/>
    <cellStyle name="Currency 3 2 5 5 2 3" xfId="21093" xr:uid="{40788D23-9C6B-49FD-BA55-165947956708}"/>
    <cellStyle name="Currency 3 2 5 5 2 4" xfId="12659" xr:uid="{BE869C5B-C3EE-4479-A51C-BCA12C1187F5}"/>
    <cellStyle name="Currency 3 2 5 5 3" xfId="6293" xr:uid="{00000000-0005-0000-0000-0000530B0000}"/>
    <cellStyle name="Currency 3 2 5 5 3 2" xfId="23165" xr:uid="{1C85C1C8-A10E-437E-A7E0-106287EE821E}"/>
    <cellStyle name="Currency 3 2 5 5 3 3" xfId="14731" xr:uid="{180B72BD-203B-4026-9F24-CD39CB1943B3}"/>
    <cellStyle name="Currency 3 2 5 5 4" xfId="18948" xr:uid="{95E0BC5C-9F26-4FE9-944E-264EFA845C97}"/>
    <cellStyle name="Currency 3 2 5 5 5" xfId="10514" xr:uid="{F55DA4E5-B90E-458D-BBB6-A5867830A14C}"/>
    <cellStyle name="Currency 3 2 5 6" xfId="2421" xr:uid="{00000000-0005-0000-0000-0000540B0000}"/>
    <cellStyle name="Currency 3 2 5 6 2" xfId="6706" xr:uid="{00000000-0005-0000-0000-0000550B0000}"/>
    <cellStyle name="Currency 3 2 5 6 2 2" xfId="23578" xr:uid="{BABA755F-D8ED-4CA6-B5F5-836895B24FBA}"/>
    <cellStyle name="Currency 3 2 5 6 2 3" xfId="15144" xr:uid="{30255A3D-9455-420F-9665-EF910E0D206F}"/>
    <cellStyle name="Currency 3 2 5 6 3" xfId="19361" xr:uid="{C3D795DE-537F-42E5-A6D5-53B2D8048E89}"/>
    <cellStyle name="Currency 3 2 5 6 4" xfId="10927" xr:uid="{19723421-3EFB-48F2-BFB6-40F1D87150A4}"/>
    <cellStyle name="Currency 3 2 5 7" xfId="2718" xr:uid="{00000000-0005-0000-0000-0000560B0000}"/>
    <cellStyle name="Currency 3 2 5 8" xfId="2799" xr:uid="{00000000-0005-0000-0000-0000570B0000}"/>
    <cellStyle name="Currency 3 2 5 8 2" xfId="7023" xr:uid="{00000000-0005-0000-0000-0000580B0000}"/>
    <cellStyle name="Currency 3 2 5 8 2 2" xfId="23895" xr:uid="{B01A2E5F-2713-4539-ADA2-67D596458650}"/>
    <cellStyle name="Currency 3 2 5 8 2 3" xfId="15461" xr:uid="{46AD39CC-414D-4ACF-A119-746DC0EC66D7}"/>
    <cellStyle name="Currency 3 2 5 8 3" xfId="19678" xr:uid="{3D177E92-D6FA-4C07-BB75-3120F03B3565}"/>
    <cellStyle name="Currency 3 2 5 8 4" xfId="11244" xr:uid="{431FB2B4-648F-4EB4-8312-6A4A6E5F9026}"/>
    <cellStyle name="Currency 3 2 5 9" xfId="4640" xr:uid="{00000000-0005-0000-0000-0000590B0000}"/>
    <cellStyle name="Currency 3 2 5 9 2" xfId="21512" xr:uid="{EFF5C663-4DDF-43C0-B99D-21DB2F182320}"/>
    <cellStyle name="Currency 3 2 5 9 3" xfId="13078" xr:uid="{D03DB3F0-2F25-40AE-898E-7992EE4B63E8}"/>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23896" xr:uid="{C8A7E9A0-213F-4F5A-B5C7-B01651F0ECEF}"/>
    <cellStyle name="Currency 5 2 2 2 10 2 3" xfId="15462" xr:uid="{670F336D-D62D-4563-B5D5-1DD15F92C824}"/>
    <cellStyle name="Currency 5 2 2 2 10 3" xfId="19679" xr:uid="{0AD9A8E3-ED8A-4894-80D0-F424C8F673A8}"/>
    <cellStyle name="Currency 5 2 2 2 10 4" xfId="11245" xr:uid="{18F45DD2-4461-4DC0-B107-7EF9DC3B1880}"/>
    <cellStyle name="Currency 5 2 2 2 11" xfId="4641" xr:uid="{00000000-0005-0000-0000-00006C0B0000}"/>
    <cellStyle name="Currency 5 2 2 2 11 2" xfId="21513" xr:uid="{4C8DA9FA-A619-4AF6-ABE7-F6BD63D8E153}"/>
    <cellStyle name="Currency 5 2 2 2 11 3" xfId="13079" xr:uid="{D35742EC-2B5B-47CC-958B-1A927AFDF1D0}"/>
    <cellStyle name="Currency 5 2 2 2 12" xfId="17296" xr:uid="{A1D8762A-E607-4652-A3E5-5E907070FEEE}"/>
    <cellStyle name="Currency 5 2 2 2 13" xfId="8862" xr:uid="{9BFADF40-A447-4348-BE20-20296BEC70FF}"/>
    <cellStyle name="Currency 5 2 2 2 2" xfId="197" xr:uid="{00000000-0005-0000-0000-00006D0B0000}"/>
    <cellStyle name="Currency 5 2 2 2 2 10" xfId="4642" xr:uid="{00000000-0005-0000-0000-00006E0B0000}"/>
    <cellStyle name="Currency 5 2 2 2 2 10 2" xfId="21514" xr:uid="{6E22CCDA-27DD-4C0C-9A74-F9E7CFC73198}"/>
    <cellStyle name="Currency 5 2 2 2 2 10 3" xfId="13080" xr:uid="{10CB3ABD-6272-4BC7-A39D-0B952D8A1EC1}"/>
    <cellStyle name="Currency 5 2 2 2 2 11" xfId="17297" xr:uid="{87FB679D-BE5E-4245-A3E0-65C072D893B6}"/>
    <cellStyle name="Currency 5 2 2 2 2 12" xfId="8863" xr:uid="{289C48AA-AB1B-44C8-9C9A-CEADFADB473C}"/>
    <cellStyle name="Currency 5 2 2 2 2 2" xfId="198" xr:uid="{00000000-0005-0000-0000-00006F0B0000}"/>
    <cellStyle name="Currency 5 2 2 2 2 2 10" xfId="17298" xr:uid="{597F1AAD-31FA-4F6D-A774-F281A5C7F9F1}"/>
    <cellStyle name="Currency 5 2 2 2 2 2 11" xfId="8864" xr:uid="{71149162-F668-4905-949E-0B6A565B20A8}"/>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24074" xr:uid="{D5257263-3B17-4907-A17F-A8C5FD506EE6}"/>
    <cellStyle name="Currency 5 2 2 2 2 2 2 2 2 3" xfId="15640" xr:uid="{EC2EE9EB-8070-457F-85C4-1D46843552FF}"/>
    <cellStyle name="Currency 5 2 2 2 2 2 2 2 3" xfId="19857" xr:uid="{F107A5A2-80BB-4032-890C-16C82178DE89}"/>
    <cellStyle name="Currency 5 2 2 2 2 2 2 2 4" xfId="11423" xr:uid="{B5BD104F-400A-4FF1-BA2E-974F4E499CEE}"/>
    <cellStyle name="Currency 5 2 2 2 2 2 2 3" xfId="5057" xr:uid="{00000000-0005-0000-0000-0000730B0000}"/>
    <cellStyle name="Currency 5 2 2 2 2 2 2 3 2" xfId="21929" xr:uid="{1AA4F4C6-903A-4F71-8C78-3D3B6FDC5D95}"/>
    <cellStyle name="Currency 5 2 2 2 2 2 2 3 3" xfId="13495" xr:uid="{AADB2AD8-F241-402A-95C7-D43148A7F893}"/>
    <cellStyle name="Currency 5 2 2 2 2 2 2 4" xfId="17712" xr:uid="{D814EB77-475A-4339-8279-07835E64BA1B}"/>
    <cellStyle name="Currency 5 2 2 2 2 2 2 5" xfId="9278" xr:uid="{1A11AC6E-A9E1-47DE-8753-1E633162A3EA}"/>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24487" xr:uid="{0114A2E3-3D5A-40A6-824D-0763C0C40251}"/>
    <cellStyle name="Currency 5 2 2 2 2 2 3 2 2 3" xfId="16053" xr:uid="{58E3087A-2F7A-4A6D-B391-720125697A58}"/>
    <cellStyle name="Currency 5 2 2 2 2 2 3 2 3" xfId="20270" xr:uid="{1A78D2A6-04C1-4742-ACAC-C87900651DCB}"/>
    <cellStyle name="Currency 5 2 2 2 2 2 3 2 4" xfId="11836" xr:uid="{DE40A42E-2399-4A33-BE52-ADDEB16D529E}"/>
    <cellStyle name="Currency 5 2 2 2 2 2 3 3" xfId="5470" xr:uid="{00000000-0005-0000-0000-0000770B0000}"/>
    <cellStyle name="Currency 5 2 2 2 2 2 3 3 2" xfId="22342" xr:uid="{5CCD5A72-CE59-4BE0-8C93-7244A5556D94}"/>
    <cellStyle name="Currency 5 2 2 2 2 2 3 3 3" xfId="13908" xr:uid="{17AE6EA0-768C-4624-9F91-9151C7AB672B}"/>
    <cellStyle name="Currency 5 2 2 2 2 2 3 4" xfId="18125" xr:uid="{21DDB682-832D-4B6C-BB7C-1492BC9A7041}"/>
    <cellStyle name="Currency 5 2 2 2 2 2 3 5" xfId="9691" xr:uid="{D16E8050-5C32-4177-89BE-5FEBE55BFC8A}"/>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24900" xr:uid="{D43DA0FC-6F39-4B2D-B6C0-92A3587D4EE4}"/>
    <cellStyle name="Currency 5 2 2 2 2 2 4 2 2 3" xfId="16466" xr:uid="{D5A7C594-6D97-4F82-A2FB-00C086315F01}"/>
    <cellStyle name="Currency 5 2 2 2 2 2 4 2 3" xfId="20683" xr:uid="{7D861FA9-96CB-4B1D-811A-B68123CCA026}"/>
    <cellStyle name="Currency 5 2 2 2 2 2 4 2 4" xfId="12249" xr:uid="{F0B831E5-C601-4B50-A0B7-F4B209FDCD93}"/>
    <cellStyle name="Currency 5 2 2 2 2 2 4 3" xfId="5883" xr:uid="{00000000-0005-0000-0000-00007B0B0000}"/>
    <cellStyle name="Currency 5 2 2 2 2 2 4 3 2" xfId="22755" xr:uid="{03BAA370-1A09-4137-9E76-BFC3DF608889}"/>
    <cellStyle name="Currency 5 2 2 2 2 2 4 3 3" xfId="14321" xr:uid="{5205A5E8-126E-4C0F-855F-BE7EE70A6EFB}"/>
    <cellStyle name="Currency 5 2 2 2 2 2 4 4" xfId="18538" xr:uid="{9ABDD285-5DEE-4CD3-803F-DD7A06714656}"/>
    <cellStyle name="Currency 5 2 2 2 2 2 4 5" xfId="10104" xr:uid="{3CA89E5B-A58E-446A-8D9F-F88B06326DE8}"/>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25313" xr:uid="{510E6854-1D92-4608-BC36-C0EAAF1A58B3}"/>
    <cellStyle name="Currency 5 2 2 2 2 2 5 2 2 3" xfId="16879" xr:uid="{720E496F-E62D-468D-AC83-13235D8502FB}"/>
    <cellStyle name="Currency 5 2 2 2 2 2 5 2 3" xfId="21096" xr:uid="{17D1583E-2677-4958-9208-3C3CF1A9520E}"/>
    <cellStyle name="Currency 5 2 2 2 2 2 5 2 4" xfId="12662" xr:uid="{E5A82F12-803B-469A-BF78-184D7A975798}"/>
    <cellStyle name="Currency 5 2 2 2 2 2 5 3" xfId="6296" xr:uid="{00000000-0005-0000-0000-00007F0B0000}"/>
    <cellStyle name="Currency 5 2 2 2 2 2 5 3 2" xfId="23168" xr:uid="{ABF71B8A-F108-46D3-8345-29454FC0E528}"/>
    <cellStyle name="Currency 5 2 2 2 2 2 5 3 3" xfId="14734" xr:uid="{330D5D53-2765-4655-873C-C498AE6C4D3C}"/>
    <cellStyle name="Currency 5 2 2 2 2 2 5 4" xfId="18951" xr:uid="{21D7CECB-CA96-4AAB-A1A3-74846C7D9914}"/>
    <cellStyle name="Currency 5 2 2 2 2 2 5 5" xfId="10517" xr:uid="{5382937D-C522-4BDC-BD7B-F61F0B4ECD98}"/>
    <cellStyle name="Currency 5 2 2 2 2 2 6" xfId="2424" xr:uid="{00000000-0005-0000-0000-0000800B0000}"/>
    <cellStyle name="Currency 5 2 2 2 2 2 6 2" xfId="6709" xr:uid="{00000000-0005-0000-0000-0000810B0000}"/>
    <cellStyle name="Currency 5 2 2 2 2 2 6 2 2" xfId="23581" xr:uid="{BE2AE0C7-9DF3-47F6-B371-12F833509810}"/>
    <cellStyle name="Currency 5 2 2 2 2 2 6 2 3" xfId="15147" xr:uid="{7A9218FE-61FA-4C3C-908D-058BF8707F40}"/>
    <cellStyle name="Currency 5 2 2 2 2 2 6 3" xfId="19364" xr:uid="{B78D8921-4791-44AB-8657-7DAA7ADB6262}"/>
    <cellStyle name="Currency 5 2 2 2 2 2 6 4" xfId="10930" xr:uid="{511C1CD6-D35B-4008-B14D-ED8A32735CB3}"/>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23898" xr:uid="{378F1CF8-8094-48CE-A00B-A599BF6C3DC6}"/>
    <cellStyle name="Currency 5 2 2 2 2 2 8 2 3" xfId="15464" xr:uid="{CA9BAC3E-260C-4FEF-8A3B-DB14EDAC7021}"/>
    <cellStyle name="Currency 5 2 2 2 2 2 8 3" xfId="19681" xr:uid="{21BE716A-44CA-4CFA-A41B-0B9D6BDB30F0}"/>
    <cellStyle name="Currency 5 2 2 2 2 2 8 4" xfId="11247" xr:uid="{03A0EF9A-3524-4C0F-9910-6A116FEC958E}"/>
    <cellStyle name="Currency 5 2 2 2 2 2 9" xfId="4643" xr:uid="{00000000-0005-0000-0000-0000850B0000}"/>
    <cellStyle name="Currency 5 2 2 2 2 2 9 2" xfId="21515" xr:uid="{415D2152-3319-4E85-B297-C7A0DD883E03}"/>
    <cellStyle name="Currency 5 2 2 2 2 2 9 3" xfId="13081" xr:uid="{B95681F8-26B0-40AE-BBDE-CC7466B64F4F}"/>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24073" xr:uid="{DCB38622-3C3A-425D-89A1-73A24EDA8368}"/>
    <cellStyle name="Currency 5 2 2 2 2 3 2 2 3" xfId="15639" xr:uid="{499809C6-E6FC-4789-9419-F68118AE43C3}"/>
    <cellStyle name="Currency 5 2 2 2 2 3 2 3" xfId="19856" xr:uid="{6D2855AD-BE66-4024-BF2D-586D82241A60}"/>
    <cellStyle name="Currency 5 2 2 2 2 3 2 4" xfId="11422" xr:uid="{51580039-3501-4E25-8452-6BD2ADF9E22F}"/>
    <cellStyle name="Currency 5 2 2 2 2 3 3" xfId="5056" xr:uid="{00000000-0005-0000-0000-0000890B0000}"/>
    <cellStyle name="Currency 5 2 2 2 2 3 3 2" xfId="21928" xr:uid="{870BB62A-0761-48B9-AA47-37501DCFD973}"/>
    <cellStyle name="Currency 5 2 2 2 2 3 3 3" xfId="13494" xr:uid="{29AF5942-AABC-461F-93A0-05BE97DEFF8D}"/>
    <cellStyle name="Currency 5 2 2 2 2 3 4" xfId="17711" xr:uid="{5FB48F1F-4FD9-487B-8B65-F4051658076D}"/>
    <cellStyle name="Currency 5 2 2 2 2 3 5" xfId="9277" xr:uid="{1FC6DE2B-441E-4081-A034-C97D3BB70A53}"/>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24486" xr:uid="{C83F9BD9-BC9C-4841-AC1D-8428B2FCA31F}"/>
    <cellStyle name="Currency 5 2 2 2 2 4 2 2 3" xfId="16052" xr:uid="{5EE1AAEB-52BB-4E71-A031-EDB8D33ADDE5}"/>
    <cellStyle name="Currency 5 2 2 2 2 4 2 3" xfId="20269" xr:uid="{EA706B4E-4193-4E65-8DAB-C5CFF075C859}"/>
    <cellStyle name="Currency 5 2 2 2 2 4 2 4" xfId="11835" xr:uid="{F4883CFC-F4A9-4F01-A805-0941E22CD59E}"/>
    <cellStyle name="Currency 5 2 2 2 2 4 3" xfId="5469" xr:uid="{00000000-0005-0000-0000-00008D0B0000}"/>
    <cellStyle name="Currency 5 2 2 2 2 4 3 2" xfId="22341" xr:uid="{4B32FDA0-429E-47BE-9436-F897203C8712}"/>
    <cellStyle name="Currency 5 2 2 2 2 4 3 3" xfId="13907" xr:uid="{C7859E28-BEEB-4D47-A8A5-DEAE2B79F044}"/>
    <cellStyle name="Currency 5 2 2 2 2 4 4" xfId="18124" xr:uid="{28A3C869-A3E1-42A2-8DEE-8BA6899528D6}"/>
    <cellStyle name="Currency 5 2 2 2 2 4 5" xfId="9690" xr:uid="{5C2EC47C-0683-45C8-B2DF-A0820432A2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24899" xr:uid="{6F48E945-A2FD-4F5E-81C4-367AE605E7C0}"/>
    <cellStyle name="Currency 5 2 2 2 2 5 2 2 3" xfId="16465" xr:uid="{B77C0166-A2EF-4C27-8F4D-28B537223A0F}"/>
    <cellStyle name="Currency 5 2 2 2 2 5 2 3" xfId="20682" xr:uid="{86C14E42-33AA-4F8F-9319-98EEE24189CF}"/>
    <cellStyle name="Currency 5 2 2 2 2 5 2 4" xfId="12248" xr:uid="{9191B563-DFE8-447F-BCFD-E79CDA3881FB}"/>
    <cellStyle name="Currency 5 2 2 2 2 5 3" xfId="5882" xr:uid="{00000000-0005-0000-0000-0000910B0000}"/>
    <cellStyle name="Currency 5 2 2 2 2 5 3 2" xfId="22754" xr:uid="{F697AF33-201B-4C3A-9033-F71D022507DB}"/>
    <cellStyle name="Currency 5 2 2 2 2 5 3 3" xfId="14320" xr:uid="{BC1298F2-E0F7-4555-8C1E-0BB9FB605B34}"/>
    <cellStyle name="Currency 5 2 2 2 2 5 4" xfId="18537" xr:uid="{5D2BA309-7ABA-4D8E-885E-E01354A7204B}"/>
    <cellStyle name="Currency 5 2 2 2 2 5 5" xfId="10103" xr:uid="{F5A04FE2-849E-41FE-B50E-374F59C42291}"/>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25312" xr:uid="{AF29A191-4B1C-47A6-9A25-58A820614BEC}"/>
    <cellStyle name="Currency 5 2 2 2 2 6 2 2 3" xfId="16878" xr:uid="{475C48C7-7A3B-45CC-AD4C-E8B2A646FE83}"/>
    <cellStyle name="Currency 5 2 2 2 2 6 2 3" xfId="21095" xr:uid="{8F6B5AAB-DDB9-40C6-A0CA-AC95710CDDF8}"/>
    <cellStyle name="Currency 5 2 2 2 2 6 2 4" xfId="12661" xr:uid="{91C93081-4288-4387-A6F6-A27A40901AD0}"/>
    <cellStyle name="Currency 5 2 2 2 2 6 3" xfId="6295" xr:uid="{00000000-0005-0000-0000-0000950B0000}"/>
    <cellStyle name="Currency 5 2 2 2 2 6 3 2" xfId="23167" xr:uid="{49AE7AC8-7E94-418F-8D0E-6B5BE95A0D44}"/>
    <cellStyle name="Currency 5 2 2 2 2 6 3 3" xfId="14733" xr:uid="{A3CBB196-7650-438E-A88E-7A64D797AB84}"/>
    <cellStyle name="Currency 5 2 2 2 2 6 4" xfId="18950" xr:uid="{A7BF79F9-FE27-48F4-B3A3-721F4D4C428F}"/>
    <cellStyle name="Currency 5 2 2 2 2 6 5" xfId="10516" xr:uid="{4CFA481C-8DA0-49A6-8F64-FD5672199478}"/>
    <cellStyle name="Currency 5 2 2 2 2 7" xfId="2423" xr:uid="{00000000-0005-0000-0000-0000960B0000}"/>
    <cellStyle name="Currency 5 2 2 2 2 7 2" xfId="6708" xr:uid="{00000000-0005-0000-0000-0000970B0000}"/>
    <cellStyle name="Currency 5 2 2 2 2 7 2 2" xfId="23580" xr:uid="{A4D69651-8951-45A0-A9E2-9FCF1F6DFB67}"/>
    <cellStyle name="Currency 5 2 2 2 2 7 2 3" xfId="15146" xr:uid="{04966D88-6950-4DF6-A284-028F529FB040}"/>
    <cellStyle name="Currency 5 2 2 2 2 7 3" xfId="19363" xr:uid="{ED61CF05-61AA-4940-ABB0-EF1F3E6E1C80}"/>
    <cellStyle name="Currency 5 2 2 2 2 7 4" xfId="10929" xr:uid="{9A645F8F-6BF5-46C8-9A6B-E11DD02CCCA6}"/>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23897" xr:uid="{5100FF1D-BD16-4450-980A-9D5D9FF8635E}"/>
    <cellStyle name="Currency 5 2 2 2 2 9 2 3" xfId="15463" xr:uid="{BB742225-D6BD-4619-ADE0-05EE1E755BFC}"/>
    <cellStyle name="Currency 5 2 2 2 2 9 3" xfId="19680" xr:uid="{9477983E-90FE-455F-AE6D-C9C020305A64}"/>
    <cellStyle name="Currency 5 2 2 2 2 9 4" xfId="11246" xr:uid="{50707491-1718-4408-9E17-3D6DE3DCE391}"/>
    <cellStyle name="Currency 5 2 2 2 3" xfId="199" xr:uid="{00000000-0005-0000-0000-00009B0B0000}"/>
    <cellStyle name="Currency 5 2 2 2 3 10" xfId="17299" xr:uid="{50EBEE74-F2B4-4A16-AFB4-386B203B9624}"/>
    <cellStyle name="Currency 5 2 2 2 3 11" xfId="8865" xr:uid="{56314C03-767A-4A6A-BDB6-E380F931F47A}"/>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24075" xr:uid="{17E51B3B-EA70-4B70-B8DF-3F8196C268A5}"/>
    <cellStyle name="Currency 5 2 2 2 3 2 2 2 3" xfId="15641" xr:uid="{86BA2A03-4D37-4AEA-83E7-05BBCC80EC5B}"/>
    <cellStyle name="Currency 5 2 2 2 3 2 2 3" xfId="19858" xr:uid="{766D02AB-266F-4463-AE05-32EBEC99CF4F}"/>
    <cellStyle name="Currency 5 2 2 2 3 2 2 4" xfId="11424" xr:uid="{C1847BF3-D40F-45ED-81AD-0FC9CD2F1CFE}"/>
    <cellStyle name="Currency 5 2 2 2 3 2 3" xfId="5058" xr:uid="{00000000-0005-0000-0000-00009F0B0000}"/>
    <cellStyle name="Currency 5 2 2 2 3 2 3 2" xfId="21930" xr:uid="{822F428D-F83C-4319-A135-35EFD358E5CB}"/>
    <cellStyle name="Currency 5 2 2 2 3 2 3 3" xfId="13496" xr:uid="{18048E08-6124-4574-A02F-5AAEB331F3CD}"/>
    <cellStyle name="Currency 5 2 2 2 3 2 4" xfId="17713" xr:uid="{077305AC-9553-40FA-91C8-67D4AF77794F}"/>
    <cellStyle name="Currency 5 2 2 2 3 2 5" xfId="9279" xr:uid="{9AC05BEB-7702-45AF-8E4B-8AC01B51DB79}"/>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24488" xr:uid="{348D85B2-1970-4EA7-87CA-8325440483AC}"/>
    <cellStyle name="Currency 5 2 2 2 3 3 2 2 3" xfId="16054" xr:uid="{48EB9EF3-91C3-40C4-AC95-414EE0BFFD15}"/>
    <cellStyle name="Currency 5 2 2 2 3 3 2 3" xfId="20271" xr:uid="{59788287-81DC-4C66-AEBC-2420072D462B}"/>
    <cellStyle name="Currency 5 2 2 2 3 3 2 4" xfId="11837" xr:uid="{AA80D463-A42A-497C-8B8E-970E49E8A2E6}"/>
    <cellStyle name="Currency 5 2 2 2 3 3 3" xfId="5471" xr:uid="{00000000-0005-0000-0000-0000A30B0000}"/>
    <cellStyle name="Currency 5 2 2 2 3 3 3 2" xfId="22343" xr:uid="{B0ED2AD9-2658-49B1-AF46-FA201B4EA7A9}"/>
    <cellStyle name="Currency 5 2 2 2 3 3 3 3" xfId="13909" xr:uid="{55EF2AD6-3FD4-4C4A-82A9-46C109D9C828}"/>
    <cellStyle name="Currency 5 2 2 2 3 3 4" xfId="18126" xr:uid="{F67ED7A5-BB78-4D9E-9DB0-0E0DE7AAAA43}"/>
    <cellStyle name="Currency 5 2 2 2 3 3 5" xfId="9692" xr:uid="{E79A188C-446F-424C-95BD-405436EC6B64}"/>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24901" xr:uid="{658F9E1A-CE93-4A63-9CAD-D93871E92F77}"/>
    <cellStyle name="Currency 5 2 2 2 3 4 2 2 3" xfId="16467" xr:uid="{887AD07F-1AA8-4B29-8CA7-D1B76518A1C6}"/>
    <cellStyle name="Currency 5 2 2 2 3 4 2 3" xfId="20684" xr:uid="{8BB3E722-296F-43AB-9F08-DF081E91C9A1}"/>
    <cellStyle name="Currency 5 2 2 2 3 4 2 4" xfId="12250" xr:uid="{B6F7CEB4-B818-451B-AE9E-78CD769381EB}"/>
    <cellStyle name="Currency 5 2 2 2 3 4 3" xfId="5884" xr:uid="{00000000-0005-0000-0000-0000A70B0000}"/>
    <cellStyle name="Currency 5 2 2 2 3 4 3 2" xfId="22756" xr:uid="{554F5C38-61C7-4474-8CD0-2825464B0322}"/>
    <cellStyle name="Currency 5 2 2 2 3 4 3 3" xfId="14322" xr:uid="{127E1439-FC6E-4D7E-BC11-42624829895F}"/>
    <cellStyle name="Currency 5 2 2 2 3 4 4" xfId="18539" xr:uid="{41CF4CB2-A2DC-42E9-8C65-B44F91FEB8CF}"/>
    <cellStyle name="Currency 5 2 2 2 3 4 5" xfId="10105" xr:uid="{0CABFD46-FD71-46AE-B3DB-9B2DDBB55EA3}"/>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25314" xr:uid="{15AA5F22-ED1D-4883-9AB8-48355A2EF571}"/>
    <cellStyle name="Currency 5 2 2 2 3 5 2 2 3" xfId="16880" xr:uid="{026586EF-A8FF-4CF7-9AC9-BF60DD0E6B7C}"/>
    <cellStyle name="Currency 5 2 2 2 3 5 2 3" xfId="21097" xr:uid="{E629FD22-F46D-4B84-B7CE-6FE33C64A518}"/>
    <cellStyle name="Currency 5 2 2 2 3 5 2 4" xfId="12663" xr:uid="{A68063A5-7B38-475B-8959-26645612C22B}"/>
    <cellStyle name="Currency 5 2 2 2 3 5 3" xfId="6297" xr:uid="{00000000-0005-0000-0000-0000AB0B0000}"/>
    <cellStyle name="Currency 5 2 2 2 3 5 3 2" xfId="23169" xr:uid="{D337E807-9C12-41E8-AA2D-2136CE23A66F}"/>
    <cellStyle name="Currency 5 2 2 2 3 5 3 3" xfId="14735" xr:uid="{BD196C57-1C64-45F4-8C74-217F08CE1F33}"/>
    <cellStyle name="Currency 5 2 2 2 3 5 4" xfId="18952" xr:uid="{442E15A4-914D-41F4-BC17-3DDF865228F6}"/>
    <cellStyle name="Currency 5 2 2 2 3 5 5" xfId="10518" xr:uid="{0AA65D8B-6545-4E90-87FC-7DD8DA2FEF60}"/>
    <cellStyle name="Currency 5 2 2 2 3 6" xfId="2425" xr:uid="{00000000-0005-0000-0000-0000AC0B0000}"/>
    <cellStyle name="Currency 5 2 2 2 3 6 2" xfId="6710" xr:uid="{00000000-0005-0000-0000-0000AD0B0000}"/>
    <cellStyle name="Currency 5 2 2 2 3 6 2 2" xfId="23582" xr:uid="{671DFB0C-3190-4534-B737-0EDEDC0B8707}"/>
    <cellStyle name="Currency 5 2 2 2 3 6 2 3" xfId="15148" xr:uid="{8489A8C3-CE16-4DD3-8999-0F232BCC1B64}"/>
    <cellStyle name="Currency 5 2 2 2 3 6 3" xfId="19365" xr:uid="{1BB112D4-DD7F-4685-9F08-63E8C43110D5}"/>
    <cellStyle name="Currency 5 2 2 2 3 6 4" xfId="10931" xr:uid="{BEC3AEB3-6D58-4105-980B-CA00C3D7279B}"/>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23899" xr:uid="{5038797C-8FD9-4903-94E8-4DC60C4C3C60}"/>
    <cellStyle name="Currency 5 2 2 2 3 8 2 3" xfId="15465" xr:uid="{57A61D11-0382-42C8-A75F-BFE3CDA254B4}"/>
    <cellStyle name="Currency 5 2 2 2 3 8 3" xfId="19682" xr:uid="{1760A57D-FAD4-4A1D-AB06-EC97136225EE}"/>
    <cellStyle name="Currency 5 2 2 2 3 8 4" xfId="11248" xr:uid="{3107BBFA-5CDC-4010-AAD2-3C3372092D5E}"/>
    <cellStyle name="Currency 5 2 2 2 3 9" xfId="4644" xr:uid="{00000000-0005-0000-0000-0000B10B0000}"/>
    <cellStyle name="Currency 5 2 2 2 3 9 2" xfId="21516" xr:uid="{6F410EBD-52F7-4E3E-B493-477860BD39CB}"/>
    <cellStyle name="Currency 5 2 2 2 3 9 3" xfId="13082" xr:uid="{85BC86CD-48FC-46A9-B8C4-95191FBD0B19}"/>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24072" xr:uid="{74166B89-CC31-49A5-9155-DDD3C122F80D}"/>
    <cellStyle name="Currency 5 2 2 2 4 2 2 3" xfId="15638" xr:uid="{EA1CB2F4-CEB9-4D42-A07E-922106521536}"/>
    <cellStyle name="Currency 5 2 2 2 4 2 3" xfId="19855" xr:uid="{4544A89D-504F-4ED7-85B0-FDD810F4E175}"/>
    <cellStyle name="Currency 5 2 2 2 4 2 4" xfId="11421" xr:uid="{79B68E37-6E61-4699-BCF4-83DC3CBC7E8D}"/>
    <cellStyle name="Currency 5 2 2 2 4 3" xfId="5055" xr:uid="{00000000-0005-0000-0000-0000B50B0000}"/>
    <cellStyle name="Currency 5 2 2 2 4 3 2" xfId="21927" xr:uid="{8CD0CAC1-D6AF-42F3-B48E-622419E4EBAB}"/>
    <cellStyle name="Currency 5 2 2 2 4 3 3" xfId="13493" xr:uid="{78C39A23-9A2B-41CC-9644-72B1D2099AEC}"/>
    <cellStyle name="Currency 5 2 2 2 4 4" xfId="17710" xr:uid="{4295F22C-FE9B-4981-AE99-9C7151D999F7}"/>
    <cellStyle name="Currency 5 2 2 2 4 5" xfId="9276" xr:uid="{56BA84C7-1133-444E-A1FF-7FE0724DDC75}"/>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24485" xr:uid="{5538713B-11DC-4B43-8D78-9B2D22984D42}"/>
    <cellStyle name="Currency 5 2 2 2 5 2 2 3" xfId="16051" xr:uid="{AF21A6B4-D8E7-4AB6-AA58-3D88F6826EFE}"/>
    <cellStyle name="Currency 5 2 2 2 5 2 3" xfId="20268" xr:uid="{3D169AC5-9198-4C65-86D8-844FBF371852}"/>
    <cellStyle name="Currency 5 2 2 2 5 2 4" xfId="11834" xr:uid="{2CBEDC02-7E98-4C7F-B1AD-17E062CEEDA6}"/>
    <cellStyle name="Currency 5 2 2 2 5 3" xfId="5468" xr:uid="{00000000-0005-0000-0000-0000B90B0000}"/>
    <cellStyle name="Currency 5 2 2 2 5 3 2" xfId="22340" xr:uid="{539B2B04-B278-493C-89AF-5C7B8B46F16B}"/>
    <cellStyle name="Currency 5 2 2 2 5 3 3" xfId="13906" xr:uid="{700AF628-D768-447F-8510-A1329C910699}"/>
    <cellStyle name="Currency 5 2 2 2 5 4" xfId="18123" xr:uid="{115CC75A-1BB7-442C-AEAF-0A71D1E2EDA2}"/>
    <cellStyle name="Currency 5 2 2 2 5 5" xfId="9689" xr:uid="{9E10A785-C082-43E5-BEC7-25FAE54012F5}"/>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24898" xr:uid="{E6B7563A-5C1A-4A8A-B0C0-D36F7774C03D}"/>
    <cellStyle name="Currency 5 2 2 2 6 2 2 3" xfId="16464" xr:uid="{091355CE-03AE-4B17-96B7-82DDC8DD1D05}"/>
    <cellStyle name="Currency 5 2 2 2 6 2 3" xfId="20681" xr:uid="{76CDB18D-DECA-47FF-ACF2-84C914DE592A}"/>
    <cellStyle name="Currency 5 2 2 2 6 2 4" xfId="12247" xr:uid="{88545817-0502-4426-A3FE-661300CA5051}"/>
    <cellStyle name="Currency 5 2 2 2 6 3" xfId="5881" xr:uid="{00000000-0005-0000-0000-0000BD0B0000}"/>
    <cellStyle name="Currency 5 2 2 2 6 3 2" xfId="22753" xr:uid="{7AB4BC97-2F94-43BD-AC45-DC2C454D6752}"/>
    <cellStyle name="Currency 5 2 2 2 6 3 3" xfId="14319" xr:uid="{CE3EFEC9-C838-493D-8289-AA4D828F3FBD}"/>
    <cellStyle name="Currency 5 2 2 2 6 4" xfId="18536" xr:uid="{3C954D6B-7867-4E09-8742-42D2DE0753A2}"/>
    <cellStyle name="Currency 5 2 2 2 6 5" xfId="10102" xr:uid="{5E5B159A-74F3-4F7F-B260-35CBFB6121B3}"/>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25311" xr:uid="{96A9704C-C900-49D0-A0F4-23F67AA953C1}"/>
    <cellStyle name="Currency 5 2 2 2 7 2 2 3" xfId="16877" xr:uid="{4CF2C8D8-4F5A-43A4-BC72-7990B745202B}"/>
    <cellStyle name="Currency 5 2 2 2 7 2 3" xfId="21094" xr:uid="{A5AE7A9C-B96C-4CFD-8DF5-7976A7D08CF8}"/>
    <cellStyle name="Currency 5 2 2 2 7 2 4" xfId="12660" xr:uid="{8F93171A-978C-4ADC-82E3-171F402481C1}"/>
    <cellStyle name="Currency 5 2 2 2 7 3" xfId="6294" xr:uid="{00000000-0005-0000-0000-0000C10B0000}"/>
    <cellStyle name="Currency 5 2 2 2 7 3 2" xfId="23166" xr:uid="{908D3E5D-1B91-4258-A74F-9C41D9848F31}"/>
    <cellStyle name="Currency 5 2 2 2 7 3 3" xfId="14732" xr:uid="{781348A1-E208-44F7-B9B3-F1337BAF6E9D}"/>
    <cellStyle name="Currency 5 2 2 2 7 4" xfId="18949" xr:uid="{BFFC3756-86CE-499F-B496-05035468C448}"/>
    <cellStyle name="Currency 5 2 2 2 7 5" xfId="10515" xr:uid="{325D8BBE-4DE9-4070-AEF9-9BCB13E2D0E7}"/>
    <cellStyle name="Currency 5 2 2 2 8" xfId="2422" xr:uid="{00000000-0005-0000-0000-0000C20B0000}"/>
    <cellStyle name="Currency 5 2 2 2 8 2" xfId="6707" xr:uid="{00000000-0005-0000-0000-0000C30B0000}"/>
    <cellStyle name="Currency 5 2 2 2 8 2 2" xfId="23579" xr:uid="{80B4C59C-F5E3-4D39-952B-5DE4D6CBEE0F}"/>
    <cellStyle name="Currency 5 2 2 2 8 2 3" xfId="15145" xr:uid="{B8388C29-2B16-4DB1-940E-E4699A28C127}"/>
    <cellStyle name="Currency 5 2 2 2 8 3" xfId="19362" xr:uid="{E7762B0D-FAFC-4B18-8A65-5DD54097F970}"/>
    <cellStyle name="Currency 5 2 2 2 8 4" xfId="10928" xr:uid="{E066459E-A9AC-4CF6-B48F-D6845C93E6C4}"/>
    <cellStyle name="Currency 5 2 2 2 9" xfId="2719" xr:uid="{00000000-0005-0000-0000-0000C40B0000}"/>
    <cellStyle name="Currency 5 2 2 3" xfId="200" xr:uid="{00000000-0005-0000-0000-0000C50B0000}"/>
    <cellStyle name="Currency 5 2 2 3 10" xfId="4645" xr:uid="{00000000-0005-0000-0000-0000C60B0000}"/>
    <cellStyle name="Currency 5 2 2 3 10 2" xfId="21517" xr:uid="{7682B4F4-1066-4DB1-B1D6-276275F42561}"/>
    <cellStyle name="Currency 5 2 2 3 10 3" xfId="13083" xr:uid="{0C88E948-C005-4E13-A7CA-D86027F5D50E}"/>
    <cellStyle name="Currency 5 2 2 3 11" xfId="17300" xr:uid="{7A896589-747B-49C7-8D76-339BB8ACB698}"/>
    <cellStyle name="Currency 5 2 2 3 12" xfId="8866" xr:uid="{AA1EC4B1-A6BF-4CD2-BCA7-E4A4D688E681}"/>
    <cellStyle name="Currency 5 2 2 3 2" xfId="201" xr:uid="{00000000-0005-0000-0000-0000C70B0000}"/>
    <cellStyle name="Currency 5 2 2 3 2 10" xfId="17301" xr:uid="{104AAE6F-5BCE-44D3-823C-5B831E26BA29}"/>
    <cellStyle name="Currency 5 2 2 3 2 11" xfId="8867" xr:uid="{D644093A-8D6D-4F38-A6C5-FA0241913741}"/>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24077" xr:uid="{91B9B674-2697-4B50-94F6-032CDDBE58DE}"/>
    <cellStyle name="Currency 5 2 2 3 2 2 2 2 3" xfId="15643" xr:uid="{6CBF95B1-685E-4823-B216-3354ED385202}"/>
    <cellStyle name="Currency 5 2 2 3 2 2 2 3" xfId="19860" xr:uid="{B417FC62-FDA5-430C-A3B5-2474E732EE23}"/>
    <cellStyle name="Currency 5 2 2 3 2 2 2 4" xfId="11426" xr:uid="{B13BACEB-C378-493F-A089-27A98243667A}"/>
    <cellStyle name="Currency 5 2 2 3 2 2 3" xfId="5060" xr:uid="{00000000-0005-0000-0000-0000CB0B0000}"/>
    <cellStyle name="Currency 5 2 2 3 2 2 3 2" xfId="21932" xr:uid="{D2E16ED2-A3B4-4ED9-B88B-5A92AF870B42}"/>
    <cellStyle name="Currency 5 2 2 3 2 2 3 3" xfId="13498" xr:uid="{86D7B7F1-C27C-4DF3-AEFF-66CF1C714132}"/>
    <cellStyle name="Currency 5 2 2 3 2 2 4" xfId="17715" xr:uid="{FCD24079-7006-4A71-9E39-24F8F2EFCD02}"/>
    <cellStyle name="Currency 5 2 2 3 2 2 5" xfId="9281" xr:uid="{05E3CE8B-E266-42D0-9098-66EFF5F86814}"/>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24490" xr:uid="{92CD02C3-5F1E-49A8-9203-D2B8635E3844}"/>
    <cellStyle name="Currency 5 2 2 3 2 3 2 2 3" xfId="16056" xr:uid="{54A1635C-7BBA-428C-A0AA-9F482507EF6B}"/>
    <cellStyle name="Currency 5 2 2 3 2 3 2 3" xfId="20273" xr:uid="{3A1E4D2E-850F-4598-B03C-2A63FFD5DD8D}"/>
    <cellStyle name="Currency 5 2 2 3 2 3 2 4" xfId="11839" xr:uid="{9B19E6FC-EABF-415D-B518-BFD1B0025CA3}"/>
    <cellStyle name="Currency 5 2 2 3 2 3 3" xfId="5473" xr:uid="{00000000-0005-0000-0000-0000CF0B0000}"/>
    <cellStyle name="Currency 5 2 2 3 2 3 3 2" xfId="22345" xr:uid="{77BDBA5E-0AEC-49C1-9290-1488D25EF303}"/>
    <cellStyle name="Currency 5 2 2 3 2 3 3 3" xfId="13911" xr:uid="{A37FD026-F31B-4FF9-AB06-80B4E2D1DCD0}"/>
    <cellStyle name="Currency 5 2 2 3 2 3 4" xfId="18128" xr:uid="{9C3ED62E-747F-4850-BD8E-75832432733A}"/>
    <cellStyle name="Currency 5 2 2 3 2 3 5" xfId="9694" xr:uid="{B554D987-7345-491C-90B2-F659D1FE9298}"/>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24903" xr:uid="{39602AF8-493F-47C4-9809-A8EB62544D07}"/>
    <cellStyle name="Currency 5 2 2 3 2 4 2 2 3" xfId="16469" xr:uid="{A43DC23B-E0D0-4858-8603-23B2ABEA049F}"/>
    <cellStyle name="Currency 5 2 2 3 2 4 2 3" xfId="20686" xr:uid="{B33530F2-E71A-4FE3-8733-B6F97507A60F}"/>
    <cellStyle name="Currency 5 2 2 3 2 4 2 4" xfId="12252" xr:uid="{D3BC851F-279A-48E0-8154-EA196A4A5155}"/>
    <cellStyle name="Currency 5 2 2 3 2 4 3" xfId="5886" xr:uid="{00000000-0005-0000-0000-0000D30B0000}"/>
    <cellStyle name="Currency 5 2 2 3 2 4 3 2" xfId="22758" xr:uid="{ACCBCD6A-3A9E-4B36-AC81-9D38506E36CC}"/>
    <cellStyle name="Currency 5 2 2 3 2 4 3 3" xfId="14324" xr:uid="{DEBF821F-5E6E-4F98-8DC5-EBC82368D418}"/>
    <cellStyle name="Currency 5 2 2 3 2 4 4" xfId="18541" xr:uid="{AEAFDDBB-252A-4D8A-9449-2802E4A23DAE}"/>
    <cellStyle name="Currency 5 2 2 3 2 4 5" xfId="10107" xr:uid="{F436515C-7D87-45BD-812E-D8ED0FB6E92A}"/>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25316" xr:uid="{A22BE304-C59B-4795-9AF9-98A0F3081E1B}"/>
    <cellStyle name="Currency 5 2 2 3 2 5 2 2 3" xfId="16882" xr:uid="{C9594957-A6EA-4A1F-AD06-EDF0014B69A8}"/>
    <cellStyle name="Currency 5 2 2 3 2 5 2 3" xfId="21099" xr:uid="{A8543520-DBDE-480E-8E59-93E752561213}"/>
    <cellStyle name="Currency 5 2 2 3 2 5 2 4" xfId="12665" xr:uid="{1F4BA2C2-D6F8-4177-9F8D-53995A49811A}"/>
    <cellStyle name="Currency 5 2 2 3 2 5 3" xfId="6299" xr:uid="{00000000-0005-0000-0000-0000D70B0000}"/>
    <cellStyle name="Currency 5 2 2 3 2 5 3 2" xfId="23171" xr:uid="{418AE98C-2C70-4D26-A0BB-D4AAA342BC56}"/>
    <cellStyle name="Currency 5 2 2 3 2 5 3 3" xfId="14737" xr:uid="{55603135-B794-4408-90D0-AA208F5FCFDD}"/>
    <cellStyle name="Currency 5 2 2 3 2 5 4" xfId="18954" xr:uid="{397AEE63-84B8-4553-AFDC-04F860E753C4}"/>
    <cellStyle name="Currency 5 2 2 3 2 5 5" xfId="10520" xr:uid="{285A88F4-F78F-4F8B-BB1F-979F3FF7CC03}"/>
    <cellStyle name="Currency 5 2 2 3 2 6" xfId="2427" xr:uid="{00000000-0005-0000-0000-0000D80B0000}"/>
    <cellStyle name="Currency 5 2 2 3 2 6 2" xfId="6712" xr:uid="{00000000-0005-0000-0000-0000D90B0000}"/>
    <cellStyle name="Currency 5 2 2 3 2 6 2 2" xfId="23584" xr:uid="{94608485-439F-4158-AE69-8465C1A75348}"/>
    <cellStyle name="Currency 5 2 2 3 2 6 2 3" xfId="15150" xr:uid="{881FD7B4-0206-4096-98C8-5052DA82D397}"/>
    <cellStyle name="Currency 5 2 2 3 2 6 3" xfId="19367" xr:uid="{49576810-9C77-4DCE-A191-22AE1DF37F98}"/>
    <cellStyle name="Currency 5 2 2 3 2 6 4" xfId="10933" xr:uid="{955547CB-1379-43EE-AF67-5590F472FAB9}"/>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23901" xr:uid="{3077A566-6F99-4EEB-A321-1406FE435656}"/>
    <cellStyle name="Currency 5 2 2 3 2 8 2 3" xfId="15467" xr:uid="{AE3D341E-E698-4F40-A741-FC9236D387A3}"/>
    <cellStyle name="Currency 5 2 2 3 2 8 3" xfId="19684" xr:uid="{D7BFC60C-54EE-465E-A6C8-9538E40B8895}"/>
    <cellStyle name="Currency 5 2 2 3 2 8 4" xfId="11250" xr:uid="{E59B3CAA-0C0A-4108-AB07-F3DE3AF3F0CF}"/>
    <cellStyle name="Currency 5 2 2 3 2 9" xfId="4646" xr:uid="{00000000-0005-0000-0000-0000DD0B0000}"/>
    <cellStyle name="Currency 5 2 2 3 2 9 2" xfId="21518" xr:uid="{F81388C5-4577-4D77-8E60-EC262B569A25}"/>
    <cellStyle name="Currency 5 2 2 3 2 9 3" xfId="13084" xr:uid="{BA1D1F2C-2704-480E-BA71-908BCA0F8A65}"/>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24076" xr:uid="{BDCB09EE-BACE-4193-80D5-6974A5006826}"/>
    <cellStyle name="Currency 5 2 2 3 3 2 2 3" xfId="15642" xr:uid="{7E195C30-84BA-4A36-8089-0C42BA50995A}"/>
    <cellStyle name="Currency 5 2 2 3 3 2 3" xfId="19859" xr:uid="{14C5D5A7-14A5-4744-824C-A8A0C6D24980}"/>
    <cellStyle name="Currency 5 2 2 3 3 2 4" xfId="11425" xr:uid="{38FCB6B7-6722-4D31-AA5C-6C156DE2432B}"/>
    <cellStyle name="Currency 5 2 2 3 3 3" xfId="5059" xr:uid="{00000000-0005-0000-0000-0000E10B0000}"/>
    <cellStyle name="Currency 5 2 2 3 3 3 2" xfId="21931" xr:uid="{4ADF5890-12CD-48AC-B4E2-DC1A5BF750C8}"/>
    <cellStyle name="Currency 5 2 2 3 3 3 3" xfId="13497" xr:uid="{E75A5631-D4E2-4962-B47F-EEFABF2CC124}"/>
    <cellStyle name="Currency 5 2 2 3 3 4" xfId="17714" xr:uid="{2370848E-36CF-4193-AA8F-5231048C4D44}"/>
    <cellStyle name="Currency 5 2 2 3 3 5" xfId="9280" xr:uid="{59CFB195-822B-4A7C-8BEE-27AD27521753}"/>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24489" xr:uid="{D9FB2B67-BE49-40D7-A5C8-489B7B276841}"/>
    <cellStyle name="Currency 5 2 2 3 4 2 2 3" xfId="16055" xr:uid="{F270DF26-8522-4BBF-91DE-D5FD5B280204}"/>
    <cellStyle name="Currency 5 2 2 3 4 2 3" xfId="20272" xr:uid="{EA4E4D53-48E6-4657-AF73-485DE3177840}"/>
    <cellStyle name="Currency 5 2 2 3 4 2 4" xfId="11838" xr:uid="{67809B02-249E-4284-A4F7-8C6781E522B2}"/>
    <cellStyle name="Currency 5 2 2 3 4 3" xfId="5472" xr:uid="{00000000-0005-0000-0000-0000E50B0000}"/>
    <cellStyle name="Currency 5 2 2 3 4 3 2" xfId="22344" xr:uid="{CE363272-4FAD-46A2-A2F2-6EDD6F2D1FA3}"/>
    <cellStyle name="Currency 5 2 2 3 4 3 3" xfId="13910" xr:uid="{CCBF7DA8-64CC-4C92-B235-674FAD431577}"/>
    <cellStyle name="Currency 5 2 2 3 4 4" xfId="18127" xr:uid="{781D7405-8F7B-419E-8283-AB30E5C9B344}"/>
    <cellStyle name="Currency 5 2 2 3 4 5" xfId="9693" xr:uid="{44D474DE-9149-4835-8447-DBC353474988}"/>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24902" xr:uid="{F37A7A4E-AEC2-4EFE-901F-D676EBC15B2A}"/>
    <cellStyle name="Currency 5 2 2 3 5 2 2 3" xfId="16468" xr:uid="{8F9EDE07-6496-4E90-8356-FD60AEF5814B}"/>
    <cellStyle name="Currency 5 2 2 3 5 2 3" xfId="20685" xr:uid="{9582A85D-AD01-46EE-8E02-AF7A5243E49D}"/>
    <cellStyle name="Currency 5 2 2 3 5 2 4" xfId="12251" xr:uid="{0EFF3CFF-5F7E-4222-9BCA-5ED04E94A14B}"/>
    <cellStyle name="Currency 5 2 2 3 5 3" xfId="5885" xr:uid="{00000000-0005-0000-0000-0000E90B0000}"/>
    <cellStyle name="Currency 5 2 2 3 5 3 2" xfId="22757" xr:uid="{07ECA1E7-66D7-4F36-A35B-C62DB65572F2}"/>
    <cellStyle name="Currency 5 2 2 3 5 3 3" xfId="14323" xr:uid="{36F1603B-91B8-4283-917A-F4073116D391}"/>
    <cellStyle name="Currency 5 2 2 3 5 4" xfId="18540" xr:uid="{248E66A6-072B-42FA-B292-50034964D7B5}"/>
    <cellStyle name="Currency 5 2 2 3 5 5" xfId="10106" xr:uid="{4A40EF00-20EA-410B-A8F7-EE51E10031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25315" xr:uid="{2BA70475-1B9D-4BE4-9F81-D1862AC94973}"/>
    <cellStyle name="Currency 5 2 2 3 6 2 2 3" xfId="16881" xr:uid="{09CFD57A-BFF5-446E-AAC5-7F1B0B5ED812}"/>
    <cellStyle name="Currency 5 2 2 3 6 2 3" xfId="21098" xr:uid="{EA5E6216-3F1E-4FD0-A6F5-B3A7CE0ED51E}"/>
    <cellStyle name="Currency 5 2 2 3 6 2 4" xfId="12664" xr:uid="{E71947F8-67DD-477C-902F-00493A060770}"/>
    <cellStyle name="Currency 5 2 2 3 6 3" xfId="6298" xr:uid="{00000000-0005-0000-0000-0000ED0B0000}"/>
    <cellStyle name="Currency 5 2 2 3 6 3 2" xfId="23170" xr:uid="{3C9F81D2-0C5A-42A6-AB76-9A8049613B32}"/>
    <cellStyle name="Currency 5 2 2 3 6 3 3" xfId="14736" xr:uid="{129F3233-EF1B-4D66-97F0-0FC3EA9EEC23}"/>
    <cellStyle name="Currency 5 2 2 3 6 4" xfId="18953" xr:uid="{353A235A-422D-47BD-94D8-F58B18DECE7F}"/>
    <cellStyle name="Currency 5 2 2 3 6 5" xfId="10519" xr:uid="{3BF958DF-F582-40A5-9815-36FC9A7970ED}"/>
    <cellStyle name="Currency 5 2 2 3 7" xfId="2426" xr:uid="{00000000-0005-0000-0000-0000EE0B0000}"/>
    <cellStyle name="Currency 5 2 2 3 7 2" xfId="6711" xr:uid="{00000000-0005-0000-0000-0000EF0B0000}"/>
    <cellStyle name="Currency 5 2 2 3 7 2 2" xfId="23583" xr:uid="{6C253943-D35B-4713-BAB6-0BA792907D62}"/>
    <cellStyle name="Currency 5 2 2 3 7 2 3" xfId="15149" xr:uid="{89448B7A-FB4D-4D14-AD57-BFB23E143A04}"/>
    <cellStyle name="Currency 5 2 2 3 7 3" xfId="19366" xr:uid="{FD69A04F-681A-4977-A601-61615E9F0A5F}"/>
    <cellStyle name="Currency 5 2 2 3 7 4" xfId="10932" xr:uid="{B59E903D-04FF-4710-ACBB-535DC71209EA}"/>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23900" xr:uid="{7D2296DB-78DB-40B8-876B-E33D38F58792}"/>
    <cellStyle name="Currency 5 2 2 3 9 2 3" xfId="15466" xr:uid="{58F0F68B-37B4-42D1-A231-EB3F1E8B79FB}"/>
    <cellStyle name="Currency 5 2 2 3 9 3" xfId="19683" xr:uid="{7E23FBDE-2DEA-444A-833C-515AC547A268}"/>
    <cellStyle name="Currency 5 2 2 3 9 4" xfId="11249" xr:uid="{7EDC3EB3-9041-4B81-BADE-5CE3C91AB6B6}"/>
    <cellStyle name="Currency 5 2 2 4" xfId="202" xr:uid="{00000000-0005-0000-0000-0000F30B0000}"/>
    <cellStyle name="Currency 5 2 2 4 10" xfId="17302" xr:uid="{7D321A7D-919E-4714-AC0F-0A1B1A6F74C0}"/>
    <cellStyle name="Currency 5 2 2 4 11" xfId="8868" xr:uid="{04E6CE70-98C6-441B-A3AF-A8954D3DCFE2}"/>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24078" xr:uid="{862D8BC8-8187-4216-9B3F-A2D7CF155E40}"/>
    <cellStyle name="Currency 5 2 2 4 2 2 2 3" xfId="15644" xr:uid="{247F54EC-B526-473C-9AB7-FAF9F2CD317A}"/>
    <cellStyle name="Currency 5 2 2 4 2 2 3" xfId="19861" xr:uid="{B54C36B7-0F88-4739-A949-25C45FC83697}"/>
    <cellStyle name="Currency 5 2 2 4 2 2 4" xfId="11427" xr:uid="{322080F5-521E-4FE1-9B69-33718D621D19}"/>
    <cellStyle name="Currency 5 2 2 4 2 3" xfId="5061" xr:uid="{00000000-0005-0000-0000-0000F70B0000}"/>
    <cellStyle name="Currency 5 2 2 4 2 3 2" xfId="21933" xr:uid="{F0B7CA6C-FD76-4339-8D7D-B2618EE664EF}"/>
    <cellStyle name="Currency 5 2 2 4 2 3 3" xfId="13499" xr:uid="{576386F4-1F81-40B3-9282-DEE5DC5B1F6F}"/>
    <cellStyle name="Currency 5 2 2 4 2 4" xfId="17716" xr:uid="{E53B74E4-04A9-4288-9929-FE0690AA7CAA}"/>
    <cellStyle name="Currency 5 2 2 4 2 5" xfId="9282" xr:uid="{9AA08B5F-3D11-4C21-B316-1A37A93F5441}"/>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24491" xr:uid="{C9300280-2535-4668-98CE-BD8B3E931A5B}"/>
    <cellStyle name="Currency 5 2 2 4 3 2 2 3" xfId="16057" xr:uid="{5E7D604C-64F7-42EB-8853-B49F28044121}"/>
    <cellStyle name="Currency 5 2 2 4 3 2 3" xfId="20274" xr:uid="{E5CA5515-233A-4FF0-BEC4-992A58B1296B}"/>
    <cellStyle name="Currency 5 2 2 4 3 2 4" xfId="11840" xr:uid="{47A917A7-332B-4B97-A1C5-55BB64DD61C6}"/>
    <cellStyle name="Currency 5 2 2 4 3 3" xfId="5474" xr:uid="{00000000-0005-0000-0000-0000FB0B0000}"/>
    <cellStyle name="Currency 5 2 2 4 3 3 2" xfId="22346" xr:uid="{FDB34203-99FD-4679-BD3C-13B07FA2023F}"/>
    <cellStyle name="Currency 5 2 2 4 3 3 3" xfId="13912" xr:uid="{19F51509-9941-4756-A340-3E05AEF66E01}"/>
    <cellStyle name="Currency 5 2 2 4 3 4" xfId="18129" xr:uid="{9284C0A3-FEFC-488A-B9B1-076C33FE2AA0}"/>
    <cellStyle name="Currency 5 2 2 4 3 5" xfId="9695" xr:uid="{E5C22C5A-FFE9-4E16-BDF4-2AB4CF1872CB}"/>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24904" xr:uid="{ADE7473E-0ADD-46B7-8517-27240F93CD7E}"/>
    <cellStyle name="Currency 5 2 2 4 4 2 2 3" xfId="16470" xr:uid="{A34B7963-FCCF-4C7E-B14C-68988F5763EB}"/>
    <cellStyle name="Currency 5 2 2 4 4 2 3" xfId="20687" xr:uid="{B76E24A8-7D00-4FA0-8B2D-7ED7367D8B77}"/>
    <cellStyle name="Currency 5 2 2 4 4 2 4" xfId="12253" xr:uid="{EC81010A-20CC-4EA7-99CA-81F3453D776E}"/>
    <cellStyle name="Currency 5 2 2 4 4 3" xfId="5887" xr:uid="{00000000-0005-0000-0000-0000FF0B0000}"/>
    <cellStyle name="Currency 5 2 2 4 4 3 2" xfId="22759" xr:uid="{E4EB6015-16C8-4880-8951-589BBC491AD0}"/>
    <cellStyle name="Currency 5 2 2 4 4 3 3" xfId="14325" xr:uid="{7B58F63D-967E-4E6A-8D73-BCE70C520E59}"/>
    <cellStyle name="Currency 5 2 2 4 4 4" xfId="18542" xr:uid="{9557311E-3833-495B-9962-F4F72980A0A7}"/>
    <cellStyle name="Currency 5 2 2 4 4 5" xfId="10108" xr:uid="{66ABA287-A3F0-4A2F-BBC9-79C168B88073}"/>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25317" xr:uid="{2EA264D1-F728-48FC-AA2C-C846D5CE4143}"/>
    <cellStyle name="Currency 5 2 2 4 5 2 2 3" xfId="16883" xr:uid="{6FA5223C-8785-4768-A3CB-B6C26A17EB35}"/>
    <cellStyle name="Currency 5 2 2 4 5 2 3" xfId="21100" xr:uid="{1CCE2AD2-C626-46BD-934A-CF2382140A7A}"/>
    <cellStyle name="Currency 5 2 2 4 5 2 4" xfId="12666" xr:uid="{1100407E-BAD5-4C56-A324-DAFF6D799A2E}"/>
    <cellStyle name="Currency 5 2 2 4 5 3" xfId="6300" xr:uid="{00000000-0005-0000-0000-0000030C0000}"/>
    <cellStyle name="Currency 5 2 2 4 5 3 2" xfId="23172" xr:uid="{8BB267A6-3798-4F69-9A8A-0DCA889DF9D6}"/>
    <cellStyle name="Currency 5 2 2 4 5 3 3" xfId="14738" xr:uid="{AEDEF702-0D3E-4F64-B6F7-D4D683C06A63}"/>
    <cellStyle name="Currency 5 2 2 4 5 4" xfId="18955" xr:uid="{B5A8A077-2E25-4340-AE0B-5229B910A6CB}"/>
    <cellStyle name="Currency 5 2 2 4 5 5" xfId="10521" xr:uid="{B8E7C5D0-B356-4687-AC68-E2CA261090F8}"/>
    <cellStyle name="Currency 5 2 2 4 6" xfId="2428" xr:uid="{00000000-0005-0000-0000-0000040C0000}"/>
    <cellStyle name="Currency 5 2 2 4 6 2" xfId="6713" xr:uid="{00000000-0005-0000-0000-0000050C0000}"/>
    <cellStyle name="Currency 5 2 2 4 6 2 2" xfId="23585" xr:uid="{DEDA56AA-9137-46C7-9732-7E49BD768B0D}"/>
    <cellStyle name="Currency 5 2 2 4 6 2 3" xfId="15151" xr:uid="{517F2FF3-55B5-4C81-BB35-251D61A99ADB}"/>
    <cellStyle name="Currency 5 2 2 4 6 3" xfId="19368" xr:uid="{8C7BB53C-876E-4EC7-B2B0-A8869310EFF9}"/>
    <cellStyle name="Currency 5 2 2 4 6 4" xfId="10934" xr:uid="{71A60301-095D-4839-A852-4126F53CE06C}"/>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23902" xr:uid="{CCD7F711-ED7B-44E0-9C5E-EB51015E0EEC}"/>
    <cellStyle name="Currency 5 2 2 4 8 2 3" xfId="15468" xr:uid="{0A6563AD-D845-4054-BE40-5972B826B201}"/>
    <cellStyle name="Currency 5 2 2 4 8 3" xfId="19685" xr:uid="{50AC9F9C-BD24-4987-A580-0ABC8CE1E185}"/>
    <cellStyle name="Currency 5 2 2 4 8 4" xfId="11251" xr:uid="{3412C706-D7C6-43FB-84B4-B5D7CD99BD27}"/>
    <cellStyle name="Currency 5 2 2 4 9" xfId="4647" xr:uid="{00000000-0005-0000-0000-0000090C0000}"/>
    <cellStyle name="Currency 5 2 2 4 9 2" xfId="21519" xr:uid="{940D67F6-5D46-41AD-9E81-1A6CF84A9ADC}"/>
    <cellStyle name="Currency 5 2 2 4 9 3" xfId="13085" xr:uid="{6B190F4F-2F84-47BA-A425-A4051D0CB9C0}"/>
    <cellStyle name="Currency 5 2 2 5" xfId="203" xr:uid="{00000000-0005-0000-0000-00000A0C0000}"/>
    <cellStyle name="Currency 5 2 2 5 10" xfId="17303" xr:uid="{2B05F737-49B0-4966-AB9B-DFE021A4BC3D}"/>
    <cellStyle name="Currency 5 2 2 5 11" xfId="8869" xr:uid="{DC37364F-6D33-44CF-BD01-C33A2436BDFB}"/>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24079" xr:uid="{81E2B950-D3B2-4F90-B866-A07D97D9E04C}"/>
    <cellStyle name="Currency 5 2 2 5 2 2 2 3" xfId="15645" xr:uid="{42EBE57C-1602-4B26-A3D2-F8A73E560D8E}"/>
    <cellStyle name="Currency 5 2 2 5 2 2 3" xfId="19862" xr:uid="{7A3C2B0F-6B91-43B2-8576-1D3CD502DF04}"/>
    <cellStyle name="Currency 5 2 2 5 2 2 4" xfId="11428" xr:uid="{9774FA35-6D29-405B-BF51-FDD61126E116}"/>
    <cellStyle name="Currency 5 2 2 5 2 3" xfId="5062" xr:uid="{00000000-0005-0000-0000-00000E0C0000}"/>
    <cellStyle name="Currency 5 2 2 5 2 3 2" xfId="21934" xr:uid="{5AC7B24A-0953-4DE1-B344-F72A5622C5B1}"/>
    <cellStyle name="Currency 5 2 2 5 2 3 3" xfId="13500" xr:uid="{430F3005-82B4-4CC8-B7B2-8DF1D5BFB018}"/>
    <cellStyle name="Currency 5 2 2 5 2 4" xfId="17717" xr:uid="{93E22148-9E08-4A45-9C99-F27C212F422C}"/>
    <cellStyle name="Currency 5 2 2 5 2 5" xfId="9283" xr:uid="{23C65270-04BD-4E5B-A0CB-315A023BB67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24492" xr:uid="{85E6B9CE-3542-4CF5-88EE-283DCF79F4EB}"/>
    <cellStyle name="Currency 5 2 2 5 3 2 2 3" xfId="16058" xr:uid="{DA2E72C9-6483-4F78-9DED-BD5FCB376B61}"/>
    <cellStyle name="Currency 5 2 2 5 3 2 3" xfId="20275" xr:uid="{349B9C33-6086-41B7-822A-F6661EA2EDA4}"/>
    <cellStyle name="Currency 5 2 2 5 3 2 4" xfId="11841" xr:uid="{44B2EE5E-516B-4AC3-A69B-6DCD55ECDAB8}"/>
    <cellStyle name="Currency 5 2 2 5 3 3" xfId="5475" xr:uid="{00000000-0005-0000-0000-0000120C0000}"/>
    <cellStyle name="Currency 5 2 2 5 3 3 2" xfId="22347" xr:uid="{2E698947-0B5D-481E-8D82-2602BFF730DD}"/>
    <cellStyle name="Currency 5 2 2 5 3 3 3" xfId="13913" xr:uid="{961C473D-3FB2-4E87-9967-09BB8404365C}"/>
    <cellStyle name="Currency 5 2 2 5 3 4" xfId="18130" xr:uid="{122694E0-74A0-4B81-BC38-ABA031ED2737}"/>
    <cellStyle name="Currency 5 2 2 5 3 5" xfId="9696" xr:uid="{35874576-575F-4FC6-ABF4-A81D5250FF5C}"/>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24905" xr:uid="{F131A6C8-DED9-4791-B8AE-9830B739014B}"/>
    <cellStyle name="Currency 5 2 2 5 4 2 2 3" xfId="16471" xr:uid="{8FB558B8-DEA9-49E3-96E9-9ED2917633C9}"/>
    <cellStyle name="Currency 5 2 2 5 4 2 3" xfId="20688" xr:uid="{69170066-AA0F-4CEF-BD09-351BED0FF68E}"/>
    <cellStyle name="Currency 5 2 2 5 4 2 4" xfId="12254" xr:uid="{B65F5F0F-B8EB-4C39-958B-9DC78241F80A}"/>
    <cellStyle name="Currency 5 2 2 5 4 3" xfId="5888" xr:uid="{00000000-0005-0000-0000-0000160C0000}"/>
    <cellStyle name="Currency 5 2 2 5 4 3 2" xfId="22760" xr:uid="{A712AB27-EB0B-4598-AB3D-031353B3AC30}"/>
    <cellStyle name="Currency 5 2 2 5 4 3 3" xfId="14326" xr:uid="{30CC0001-4454-4A09-8824-EC488967BF98}"/>
    <cellStyle name="Currency 5 2 2 5 4 4" xfId="18543" xr:uid="{1DA1B89C-7953-40DA-AB8C-BC29303FB9C8}"/>
    <cellStyle name="Currency 5 2 2 5 4 5" xfId="10109" xr:uid="{5B6BACAE-5635-4F12-B6C8-96093234170F}"/>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25318" xr:uid="{6BA689CA-D5D3-40E7-B4D4-6F3C3AEBE743}"/>
    <cellStyle name="Currency 5 2 2 5 5 2 2 3" xfId="16884" xr:uid="{EF0FE62D-D3B7-4F83-A1D7-FFD2BBEC46A1}"/>
    <cellStyle name="Currency 5 2 2 5 5 2 3" xfId="21101" xr:uid="{CEC6FD8F-6BAD-464A-8AF8-DE824F3C1F05}"/>
    <cellStyle name="Currency 5 2 2 5 5 2 4" xfId="12667" xr:uid="{388D7771-0430-4C71-A935-4DB96B89149D}"/>
    <cellStyle name="Currency 5 2 2 5 5 3" xfId="6301" xr:uid="{00000000-0005-0000-0000-00001A0C0000}"/>
    <cellStyle name="Currency 5 2 2 5 5 3 2" xfId="23173" xr:uid="{04E0769A-73C9-4E50-9953-8B3A8C12273B}"/>
    <cellStyle name="Currency 5 2 2 5 5 3 3" xfId="14739" xr:uid="{7B868974-EFE4-41E8-9CDD-89509FBD2022}"/>
    <cellStyle name="Currency 5 2 2 5 5 4" xfId="18956" xr:uid="{27FA6496-4CBE-44C6-83D3-9AB42B5D6D6E}"/>
    <cellStyle name="Currency 5 2 2 5 5 5" xfId="10522" xr:uid="{F120842E-DCDF-4B10-A366-22FA5746C6BA}"/>
    <cellStyle name="Currency 5 2 2 5 6" xfId="2429" xr:uid="{00000000-0005-0000-0000-00001B0C0000}"/>
    <cellStyle name="Currency 5 2 2 5 6 2" xfId="6714" xr:uid="{00000000-0005-0000-0000-00001C0C0000}"/>
    <cellStyle name="Currency 5 2 2 5 6 2 2" xfId="23586" xr:uid="{EBB1CB84-7D10-444C-8990-0AC3F4EAEB5E}"/>
    <cellStyle name="Currency 5 2 2 5 6 2 3" xfId="15152" xr:uid="{2886F233-B5E5-434D-B38D-32CBA6FD8039}"/>
    <cellStyle name="Currency 5 2 2 5 6 3" xfId="19369" xr:uid="{A0BF29DB-59D7-4A0C-930C-A29A09160627}"/>
    <cellStyle name="Currency 5 2 2 5 6 4" xfId="10935" xr:uid="{8F1FC6A6-93F9-4B9C-B2A9-637FC153C304}"/>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23903" xr:uid="{2A7903F2-BC57-4344-BD1F-BAB3EB8C1C51}"/>
    <cellStyle name="Currency 5 2 2 5 8 2 3" xfId="15469" xr:uid="{B775459E-72A4-4B9D-AD5C-01CA4AB7AB3A}"/>
    <cellStyle name="Currency 5 2 2 5 8 3" xfId="19686" xr:uid="{1D16A2F7-B6A5-4CFC-9F75-9C7C5AB41010}"/>
    <cellStyle name="Currency 5 2 2 5 8 4" xfId="11252" xr:uid="{162FB90D-A678-4B1B-927E-2BDAF923D02E}"/>
    <cellStyle name="Currency 5 2 2 5 9" xfId="4648" xr:uid="{00000000-0005-0000-0000-0000200C0000}"/>
    <cellStyle name="Currency 5 2 2 5 9 2" xfId="21520" xr:uid="{CED9E8FD-0371-428C-AEBA-D102B3F01621}"/>
    <cellStyle name="Currency 5 2 2 5 9 3" xfId="13086" xr:uid="{9AE26B85-06F2-46A0-8341-5D75B9E04F56}"/>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21521" xr:uid="{E79B08F1-5A2F-44EA-8B4B-C095CB4B044A}"/>
    <cellStyle name="Currency 5 2 4 10 3" xfId="13087" xr:uid="{2866B96F-A1CC-42B7-9C9E-FAE68ACE817D}"/>
    <cellStyle name="Currency 5 2 4 11" xfId="17304" xr:uid="{B46064D2-B0C4-4444-80E4-893020B9170A}"/>
    <cellStyle name="Currency 5 2 4 12" xfId="8870" xr:uid="{47359F52-5B20-462F-9F39-8883F96BC9EF}"/>
    <cellStyle name="Currency 5 2 4 2" xfId="206" xr:uid="{00000000-0005-0000-0000-0000250C0000}"/>
    <cellStyle name="Currency 5 2 4 2 10" xfId="17305" xr:uid="{AFCC5309-6184-4F47-BC01-7AA42CBA8A39}"/>
    <cellStyle name="Currency 5 2 4 2 11" xfId="8871" xr:uid="{4273F659-4534-46A6-BE13-8E249EBD997B}"/>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24081" xr:uid="{388A75FE-B046-4742-94F7-A036A38FB9AD}"/>
    <cellStyle name="Currency 5 2 4 2 2 2 2 3" xfId="15647" xr:uid="{EE61491F-CDA5-4DB7-9DCB-EB25E194AC0B}"/>
    <cellStyle name="Currency 5 2 4 2 2 2 3" xfId="19864" xr:uid="{DE321F3F-72D4-4449-9AEF-120B300248BF}"/>
    <cellStyle name="Currency 5 2 4 2 2 2 4" xfId="11430" xr:uid="{6FEDBA45-5EB4-4F84-850B-8E557BE224FE}"/>
    <cellStyle name="Currency 5 2 4 2 2 3" xfId="5064" xr:uid="{00000000-0005-0000-0000-0000290C0000}"/>
    <cellStyle name="Currency 5 2 4 2 2 3 2" xfId="21936" xr:uid="{DBF79AE2-0594-40A0-948A-56AC325010F7}"/>
    <cellStyle name="Currency 5 2 4 2 2 3 3" xfId="13502" xr:uid="{2FFF95F3-1DC4-4E7D-8CF6-E227709B2110}"/>
    <cellStyle name="Currency 5 2 4 2 2 4" xfId="17719" xr:uid="{3A006FA6-E2C5-4D7D-9519-0623ACA65537}"/>
    <cellStyle name="Currency 5 2 4 2 2 5" xfId="9285" xr:uid="{5E4334B8-2776-413C-B970-255CDF165875}"/>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24494" xr:uid="{2085296C-866E-452D-BFDD-8D661DC803AF}"/>
    <cellStyle name="Currency 5 2 4 2 3 2 2 3" xfId="16060" xr:uid="{17045570-7A81-4C66-850C-7E2195DB5D88}"/>
    <cellStyle name="Currency 5 2 4 2 3 2 3" xfId="20277" xr:uid="{4B4CE6CE-2965-43F4-9711-BF5175D2AEBF}"/>
    <cellStyle name="Currency 5 2 4 2 3 2 4" xfId="11843" xr:uid="{704CFB7B-A8AA-4F16-A578-4C28AA189E41}"/>
    <cellStyle name="Currency 5 2 4 2 3 3" xfId="5477" xr:uid="{00000000-0005-0000-0000-00002D0C0000}"/>
    <cellStyle name="Currency 5 2 4 2 3 3 2" xfId="22349" xr:uid="{73869FD8-1486-4A3E-84FA-6A2CD7C98B9A}"/>
    <cellStyle name="Currency 5 2 4 2 3 3 3" xfId="13915" xr:uid="{94A6A5E8-62D1-4AD3-91D3-D42E62D3ABFD}"/>
    <cellStyle name="Currency 5 2 4 2 3 4" xfId="18132" xr:uid="{BE894236-DC12-45B9-9FA0-BCB1509C9000}"/>
    <cellStyle name="Currency 5 2 4 2 3 5" xfId="9698" xr:uid="{25A8F905-367E-4F38-B784-A0BC28EB3567}"/>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24907" xr:uid="{B2885494-82F9-430F-B6A2-A3604DED20F8}"/>
    <cellStyle name="Currency 5 2 4 2 4 2 2 3" xfId="16473" xr:uid="{A2FB6C59-EE06-4472-86B9-F4B7DBA1CA04}"/>
    <cellStyle name="Currency 5 2 4 2 4 2 3" xfId="20690" xr:uid="{0BC5E78F-C02B-4189-9E0E-8331EE3F5D74}"/>
    <cellStyle name="Currency 5 2 4 2 4 2 4" xfId="12256" xr:uid="{221692C1-105A-4B49-8FDA-2A9AD0476AC1}"/>
    <cellStyle name="Currency 5 2 4 2 4 3" xfId="5890" xr:uid="{00000000-0005-0000-0000-0000310C0000}"/>
    <cellStyle name="Currency 5 2 4 2 4 3 2" xfId="22762" xr:uid="{E053CE2A-C552-4F9E-A58E-B5102F048F03}"/>
    <cellStyle name="Currency 5 2 4 2 4 3 3" xfId="14328" xr:uid="{3B5BDFD5-5722-44F0-8B1C-F66FBFD541CC}"/>
    <cellStyle name="Currency 5 2 4 2 4 4" xfId="18545" xr:uid="{8AFB5762-1A53-47A5-90BB-D9F83F77BE69}"/>
    <cellStyle name="Currency 5 2 4 2 4 5" xfId="10111" xr:uid="{C0361420-EF23-48F7-A298-C968278DCB07}"/>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25320" xr:uid="{F22A6B1E-F574-49A6-A0D4-855AF261B8D0}"/>
    <cellStyle name="Currency 5 2 4 2 5 2 2 3" xfId="16886" xr:uid="{7F0BEA95-EB5C-45D7-B7BA-5C50537DC9E6}"/>
    <cellStyle name="Currency 5 2 4 2 5 2 3" xfId="21103" xr:uid="{99345221-D3F0-4B25-911D-467ED96C8B0A}"/>
    <cellStyle name="Currency 5 2 4 2 5 2 4" xfId="12669" xr:uid="{73106CA4-E610-4C3D-8B99-393B07251C30}"/>
    <cellStyle name="Currency 5 2 4 2 5 3" xfId="6303" xr:uid="{00000000-0005-0000-0000-0000350C0000}"/>
    <cellStyle name="Currency 5 2 4 2 5 3 2" xfId="23175" xr:uid="{F3F0B802-D909-4C24-8441-906E2F677524}"/>
    <cellStyle name="Currency 5 2 4 2 5 3 3" xfId="14741" xr:uid="{8044A5C6-FB38-4E01-8B3A-EC69EB563B5E}"/>
    <cellStyle name="Currency 5 2 4 2 5 4" xfId="18958" xr:uid="{C448F0C7-65D9-4868-996F-BDAC154E0B12}"/>
    <cellStyle name="Currency 5 2 4 2 5 5" xfId="10524" xr:uid="{8EC7DA15-5311-4C49-B9EB-0BCD9AD94379}"/>
    <cellStyle name="Currency 5 2 4 2 6" xfId="2431" xr:uid="{00000000-0005-0000-0000-0000360C0000}"/>
    <cellStyle name="Currency 5 2 4 2 6 2" xfId="6716" xr:uid="{00000000-0005-0000-0000-0000370C0000}"/>
    <cellStyle name="Currency 5 2 4 2 6 2 2" xfId="23588" xr:uid="{65393BBC-8208-4439-9D13-F1046DE4D727}"/>
    <cellStyle name="Currency 5 2 4 2 6 2 3" xfId="15154" xr:uid="{C47764C7-210C-4698-8851-85C59FC96C0D}"/>
    <cellStyle name="Currency 5 2 4 2 6 3" xfId="19371" xr:uid="{8A72D614-9E25-435C-99B5-DE7565314540}"/>
    <cellStyle name="Currency 5 2 4 2 6 4" xfId="10937" xr:uid="{8E22A7BD-58D6-46CB-99B1-A14F9D49DAB8}"/>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23905" xr:uid="{0AE84F58-C4DA-4CE8-9D01-852C7C75B148}"/>
    <cellStyle name="Currency 5 2 4 2 8 2 3" xfId="15471" xr:uid="{A31AE9D7-450F-4788-BB05-791E64083112}"/>
    <cellStyle name="Currency 5 2 4 2 8 3" xfId="19688" xr:uid="{B590D5AE-934C-44C0-A880-AAACF279218A}"/>
    <cellStyle name="Currency 5 2 4 2 8 4" xfId="11254" xr:uid="{ED33DDBF-D172-4BEC-870C-0B9455FF43F5}"/>
    <cellStyle name="Currency 5 2 4 2 9" xfId="4650" xr:uid="{00000000-0005-0000-0000-00003B0C0000}"/>
    <cellStyle name="Currency 5 2 4 2 9 2" xfId="21522" xr:uid="{05F6B7CF-54D1-4FEE-887B-6030EC143883}"/>
    <cellStyle name="Currency 5 2 4 2 9 3" xfId="13088" xr:uid="{700EBE65-5C2B-45A4-BD20-8188240252AA}"/>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24080" xr:uid="{8A9807A3-5CED-42B7-B79D-A8024A122F94}"/>
    <cellStyle name="Currency 5 2 4 3 2 2 3" xfId="15646" xr:uid="{D06BA3D3-E081-4C21-AE41-7C4FB92BB279}"/>
    <cellStyle name="Currency 5 2 4 3 2 3" xfId="19863" xr:uid="{57C1F3A9-3A20-4AE7-BB43-065A5CEA7BAF}"/>
    <cellStyle name="Currency 5 2 4 3 2 4" xfId="11429" xr:uid="{F935008C-9FA0-43EC-A81E-AE6C17DD335E}"/>
    <cellStyle name="Currency 5 2 4 3 3" xfId="5063" xr:uid="{00000000-0005-0000-0000-00003F0C0000}"/>
    <cellStyle name="Currency 5 2 4 3 3 2" xfId="21935" xr:uid="{F4B5F12B-35A9-49D6-97B2-84FDFFAB68EB}"/>
    <cellStyle name="Currency 5 2 4 3 3 3" xfId="13501" xr:uid="{37F8329A-FEE2-4672-8D56-A507BB82B7ED}"/>
    <cellStyle name="Currency 5 2 4 3 4" xfId="17718" xr:uid="{6B017E60-6C6F-48E7-B3DA-2DFBBBC19D55}"/>
    <cellStyle name="Currency 5 2 4 3 5" xfId="9284" xr:uid="{5CA63BA1-ACAF-4E8F-8BCA-CDC2A3B4D30C}"/>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24493" xr:uid="{459405A0-F7F6-4E07-83DB-9B49875013A4}"/>
    <cellStyle name="Currency 5 2 4 4 2 2 3" xfId="16059" xr:uid="{01973263-6EAF-4382-8F51-FFCDAE1814B1}"/>
    <cellStyle name="Currency 5 2 4 4 2 3" xfId="20276" xr:uid="{BF4EF8D0-4C5F-4692-B16B-568D523CE893}"/>
    <cellStyle name="Currency 5 2 4 4 2 4" xfId="11842" xr:uid="{E5AE334C-3DB0-48EE-9591-0B1A1F100712}"/>
    <cellStyle name="Currency 5 2 4 4 3" xfId="5476" xr:uid="{00000000-0005-0000-0000-0000430C0000}"/>
    <cellStyle name="Currency 5 2 4 4 3 2" xfId="22348" xr:uid="{16D93B9A-1F56-4ACA-8F4D-B6A357640378}"/>
    <cellStyle name="Currency 5 2 4 4 3 3" xfId="13914" xr:uid="{93AA19AE-AB72-460E-8360-CEDC142D8CA1}"/>
    <cellStyle name="Currency 5 2 4 4 4" xfId="18131" xr:uid="{2DB220D7-C6AA-406E-9A8F-F24D395D956D}"/>
    <cellStyle name="Currency 5 2 4 4 5" xfId="9697" xr:uid="{78FB8158-2827-4900-BC52-301B71F939F4}"/>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24906" xr:uid="{3C8A5386-631C-4F3E-B00D-92D9F4472437}"/>
    <cellStyle name="Currency 5 2 4 5 2 2 3" xfId="16472" xr:uid="{F9A9A27A-900D-46B2-B70A-4A71DDA0AB5C}"/>
    <cellStyle name="Currency 5 2 4 5 2 3" xfId="20689" xr:uid="{0FB35D1A-E738-4F34-8C4B-904FCD98BC00}"/>
    <cellStyle name="Currency 5 2 4 5 2 4" xfId="12255" xr:uid="{508FAD2B-6701-4956-A50D-34DD8DC69EC7}"/>
    <cellStyle name="Currency 5 2 4 5 3" xfId="5889" xr:uid="{00000000-0005-0000-0000-0000470C0000}"/>
    <cellStyle name="Currency 5 2 4 5 3 2" xfId="22761" xr:uid="{A0EA25D1-6B5E-4DD1-A804-25109F9A6617}"/>
    <cellStyle name="Currency 5 2 4 5 3 3" xfId="14327" xr:uid="{02360252-F7AD-45E3-8826-170FB28E9ECD}"/>
    <cellStyle name="Currency 5 2 4 5 4" xfId="18544" xr:uid="{F9852515-9B69-4EF8-92FC-C9AE7FAAD0BC}"/>
    <cellStyle name="Currency 5 2 4 5 5" xfId="10110" xr:uid="{D9034EB3-E4F4-48DC-9997-61C8B5CB0EF2}"/>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25319" xr:uid="{3E2B3E86-ECC0-4E16-8016-2ADE4DB250CC}"/>
    <cellStyle name="Currency 5 2 4 6 2 2 3" xfId="16885" xr:uid="{A87984DE-DBA9-4EE4-BC13-6DF40F075115}"/>
    <cellStyle name="Currency 5 2 4 6 2 3" xfId="21102" xr:uid="{542C06B3-A948-420B-8452-C2ED0AAEADB8}"/>
    <cellStyle name="Currency 5 2 4 6 2 4" xfId="12668" xr:uid="{FD6B5E80-8B68-46EB-BA02-99D830862587}"/>
    <cellStyle name="Currency 5 2 4 6 3" xfId="6302" xr:uid="{00000000-0005-0000-0000-00004B0C0000}"/>
    <cellStyle name="Currency 5 2 4 6 3 2" xfId="23174" xr:uid="{33CD8B60-EE5B-4626-B02D-2CF1424CB13D}"/>
    <cellStyle name="Currency 5 2 4 6 3 3" xfId="14740" xr:uid="{F7D35468-68B0-4683-A0F7-9A389828149C}"/>
    <cellStyle name="Currency 5 2 4 6 4" xfId="18957" xr:uid="{C3E7EDBD-F310-4729-8461-49CBD06FBAAE}"/>
    <cellStyle name="Currency 5 2 4 6 5" xfId="10523" xr:uid="{2EB34258-63D7-41A9-A6BE-91AF22723DCE}"/>
    <cellStyle name="Currency 5 2 4 7" xfId="2430" xr:uid="{00000000-0005-0000-0000-00004C0C0000}"/>
    <cellStyle name="Currency 5 2 4 7 2" xfId="6715" xr:uid="{00000000-0005-0000-0000-00004D0C0000}"/>
    <cellStyle name="Currency 5 2 4 7 2 2" xfId="23587" xr:uid="{55EC56A8-64E6-4722-868F-4FC9A2B4AB17}"/>
    <cellStyle name="Currency 5 2 4 7 2 3" xfId="15153" xr:uid="{53376612-3F22-4424-85EB-64E3BC5AF119}"/>
    <cellStyle name="Currency 5 2 4 7 3" xfId="19370" xr:uid="{7F9A007B-AF0F-4506-AD44-399408A1913E}"/>
    <cellStyle name="Currency 5 2 4 7 4" xfId="10936" xr:uid="{240834EC-9436-4C01-A3DB-BE8A47E98C64}"/>
    <cellStyle name="Currency 5 2 4 8" xfId="2727" xr:uid="{00000000-0005-0000-0000-00004E0C0000}"/>
    <cellStyle name="Currency 5 2 4 9" xfId="2808" xr:uid="{00000000-0005-0000-0000-00004F0C0000}"/>
    <cellStyle name="Currency 5 2 4 9 2" xfId="7032" xr:uid="{00000000-0005-0000-0000-0000500C0000}"/>
    <cellStyle name="Currency 5 2 4 9 2 2" xfId="23904" xr:uid="{A74990AB-D46F-477A-9B5F-4766D3AFA114}"/>
    <cellStyle name="Currency 5 2 4 9 2 3" xfId="15470" xr:uid="{5EFACAE0-9AAB-4A05-9FC4-4CF094412BC2}"/>
    <cellStyle name="Currency 5 2 4 9 3" xfId="19687" xr:uid="{D0438398-BB55-45AF-A190-E12C1A814898}"/>
    <cellStyle name="Currency 5 2 4 9 4" xfId="11253" xr:uid="{2AD5B4B3-EDFD-482E-9DB2-AD19EADC2713}"/>
    <cellStyle name="Currency 5 2 5" xfId="207" xr:uid="{00000000-0005-0000-0000-0000510C0000}"/>
    <cellStyle name="Currency 5 2 5 10" xfId="17306" xr:uid="{05B5ACE1-5F02-446A-B762-869C6E02B062}"/>
    <cellStyle name="Currency 5 2 5 11" xfId="8872" xr:uid="{99B487AF-A160-4CB2-BFE8-E4F10F44A704}"/>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24082" xr:uid="{6B2141D6-D45C-485A-A70E-A022B058F67C}"/>
    <cellStyle name="Currency 5 2 5 2 2 2 3" xfId="15648" xr:uid="{BF2E2CBE-A43E-4496-8FA2-073268F3FE8E}"/>
    <cellStyle name="Currency 5 2 5 2 2 3" xfId="19865" xr:uid="{E76CB5F2-2248-48E1-9991-198E134E1243}"/>
    <cellStyle name="Currency 5 2 5 2 2 4" xfId="11431" xr:uid="{2FE7D980-1C1C-47C1-AD6F-019E9E5F62CB}"/>
    <cellStyle name="Currency 5 2 5 2 3" xfId="5065" xr:uid="{00000000-0005-0000-0000-0000550C0000}"/>
    <cellStyle name="Currency 5 2 5 2 3 2" xfId="21937" xr:uid="{CE97C684-612C-4F78-852B-AEB9BF3973C8}"/>
    <cellStyle name="Currency 5 2 5 2 3 3" xfId="13503" xr:uid="{34464EAF-1A8F-4E0F-BF45-EBC9411AF062}"/>
    <cellStyle name="Currency 5 2 5 2 4" xfId="17720" xr:uid="{72CBC338-9A04-4E79-9FF7-8066156FE85F}"/>
    <cellStyle name="Currency 5 2 5 2 5" xfId="9286" xr:uid="{9F0B3F2D-9CE1-40E4-A870-3A9FD14FB0F5}"/>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24495" xr:uid="{43E21D8F-7FB1-48A1-857D-1B70B7E0D376}"/>
    <cellStyle name="Currency 5 2 5 3 2 2 3" xfId="16061" xr:uid="{011AE18B-D7D2-407F-AE07-FC3534063D41}"/>
    <cellStyle name="Currency 5 2 5 3 2 3" xfId="20278" xr:uid="{7DEA9204-7F3A-44EA-977B-4396B44298F0}"/>
    <cellStyle name="Currency 5 2 5 3 2 4" xfId="11844" xr:uid="{07256E50-B07D-469D-8925-E8ECE632CCD2}"/>
    <cellStyle name="Currency 5 2 5 3 3" xfId="5478" xr:uid="{00000000-0005-0000-0000-0000590C0000}"/>
    <cellStyle name="Currency 5 2 5 3 3 2" xfId="22350" xr:uid="{A9BD5679-DC54-4F80-B3BE-AB8C23DCCB62}"/>
    <cellStyle name="Currency 5 2 5 3 3 3" xfId="13916" xr:uid="{555A571D-64C6-45DC-8BF9-91B1242384E9}"/>
    <cellStyle name="Currency 5 2 5 3 4" xfId="18133" xr:uid="{B86C9286-A3FF-48D7-80AC-F3FF42FC8FC4}"/>
    <cellStyle name="Currency 5 2 5 3 5" xfId="9699" xr:uid="{E67D9B45-B0E4-4514-866E-3F2C4FD9776A}"/>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24908" xr:uid="{236FCC98-8046-4512-A570-70ED6AE10208}"/>
    <cellStyle name="Currency 5 2 5 4 2 2 3" xfId="16474" xr:uid="{DA40D245-7804-43F3-81A6-72FF95CA4FFB}"/>
    <cellStyle name="Currency 5 2 5 4 2 3" xfId="20691" xr:uid="{B39D6D16-86EF-4408-952E-D01844A6D3C2}"/>
    <cellStyle name="Currency 5 2 5 4 2 4" xfId="12257" xr:uid="{B6DE55A7-73B8-4982-97CD-69924CFEFAF6}"/>
    <cellStyle name="Currency 5 2 5 4 3" xfId="5891" xr:uid="{00000000-0005-0000-0000-00005D0C0000}"/>
    <cellStyle name="Currency 5 2 5 4 3 2" xfId="22763" xr:uid="{5B923055-CBA9-4482-9597-1C39114D30EE}"/>
    <cellStyle name="Currency 5 2 5 4 3 3" xfId="14329" xr:uid="{2E04CFD6-DDC8-4CED-B5BE-C03071CD52E3}"/>
    <cellStyle name="Currency 5 2 5 4 4" xfId="18546" xr:uid="{3F7FE0EB-5A6B-46D2-B941-94C9689C415B}"/>
    <cellStyle name="Currency 5 2 5 4 5" xfId="10112" xr:uid="{35DA5A47-2B0C-488E-9CCE-8333DF644FA6}"/>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25321" xr:uid="{BF116F46-6BB7-4EB3-9701-FE9412D9FD6E}"/>
    <cellStyle name="Currency 5 2 5 5 2 2 3" xfId="16887" xr:uid="{E3BE90B0-9B2D-4487-998A-788976AB4403}"/>
    <cellStyle name="Currency 5 2 5 5 2 3" xfId="21104" xr:uid="{80F27917-65F6-4B1D-9E75-90F595F1A33B}"/>
    <cellStyle name="Currency 5 2 5 5 2 4" xfId="12670" xr:uid="{BFFC3E8E-BA89-41CF-8C2B-5BFC05BA7371}"/>
    <cellStyle name="Currency 5 2 5 5 3" xfId="6304" xr:uid="{00000000-0005-0000-0000-0000610C0000}"/>
    <cellStyle name="Currency 5 2 5 5 3 2" xfId="23176" xr:uid="{E41D95BE-E7B5-47CA-965E-8866131B17B3}"/>
    <cellStyle name="Currency 5 2 5 5 3 3" xfId="14742" xr:uid="{4356762B-C3CC-402E-A5E6-1765F8A66E64}"/>
    <cellStyle name="Currency 5 2 5 5 4" xfId="18959" xr:uid="{C4280928-3C22-47DE-B7B1-E77059EEB900}"/>
    <cellStyle name="Currency 5 2 5 5 5" xfId="10525" xr:uid="{016CE0B1-A19C-418C-B09B-421D92D3684E}"/>
    <cellStyle name="Currency 5 2 5 6" xfId="2432" xr:uid="{00000000-0005-0000-0000-0000620C0000}"/>
    <cellStyle name="Currency 5 2 5 6 2" xfId="6717" xr:uid="{00000000-0005-0000-0000-0000630C0000}"/>
    <cellStyle name="Currency 5 2 5 6 2 2" xfId="23589" xr:uid="{9A6D833E-02F6-4872-B403-67C5C17FBA6F}"/>
    <cellStyle name="Currency 5 2 5 6 2 3" xfId="15155" xr:uid="{3C62DF5F-3077-496E-A2F4-CA8AFCB671DC}"/>
    <cellStyle name="Currency 5 2 5 6 3" xfId="19372" xr:uid="{D37C0720-612E-4970-B5D8-4B5125321F3D}"/>
    <cellStyle name="Currency 5 2 5 6 4" xfId="10938" xr:uid="{D4B81A23-3AA3-4324-B1BB-75BD84672AA8}"/>
    <cellStyle name="Currency 5 2 5 7" xfId="2729" xr:uid="{00000000-0005-0000-0000-0000640C0000}"/>
    <cellStyle name="Currency 5 2 5 8" xfId="2810" xr:uid="{00000000-0005-0000-0000-0000650C0000}"/>
    <cellStyle name="Currency 5 2 5 8 2" xfId="7034" xr:uid="{00000000-0005-0000-0000-0000660C0000}"/>
    <cellStyle name="Currency 5 2 5 8 2 2" xfId="23906" xr:uid="{911A6CE1-6B68-4D96-9766-B2C8ECD9565D}"/>
    <cellStyle name="Currency 5 2 5 8 2 3" xfId="15472" xr:uid="{43A64FE0-A8FF-43DE-8D59-E2385EE8A381}"/>
    <cellStyle name="Currency 5 2 5 8 3" xfId="19689" xr:uid="{A641E882-806F-45FB-A72F-3FD5A6771286}"/>
    <cellStyle name="Currency 5 2 5 8 4" xfId="11255" xr:uid="{247FD942-A1A0-438A-91FA-94E8B0A05E05}"/>
    <cellStyle name="Currency 5 2 5 9" xfId="4651" xr:uid="{00000000-0005-0000-0000-0000670C0000}"/>
    <cellStyle name="Currency 5 2 5 9 2" xfId="21523" xr:uid="{9AD5841D-8D33-4A99-9C63-311BE9E22916}"/>
    <cellStyle name="Currency 5 2 5 9 3" xfId="13089" xr:uid="{1A18B825-C148-44B7-AB0F-F307ED845012}"/>
    <cellStyle name="Currency 5 2 6" xfId="208" xr:uid="{00000000-0005-0000-0000-0000680C0000}"/>
    <cellStyle name="Currency 5 2 6 10" xfId="17307" xr:uid="{866B635F-724F-43EA-83B3-F67E4CD1B2C6}"/>
    <cellStyle name="Currency 5 2 6 11" xfId="8873" xr:uid="{2D312F76-8D73-4315-A6A8-0684431D640C}"/>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24083" xr:uid="{4BE3E9DF-71F1-4FCF-B6F5-02A84C470F40}"/>
    <cellStyle name="Currency 5 2 6 2 2 2 3" xfId="15649" xr:uid="{9FE501AB-AD2B-4E7D-BA8A-16F574B0CCCF}"/>
    <cellStyle name="Currency 5 2 6 2 2 3" xfId="19866" xr:uid="{6913E4B8-4519-4A04-B182-80B03D7AB0AC}"/>
    <cellStyle name="Currency 5 2 6 2 2 4" xfId="11432" xr:uid="{A08D2D0F-F2B1-4B8D-B2AE-49D8FDFD03FA}"/>
    <cellStyle name="Currency 5 2 6 2 3" xfId="5066" xr:uid="{00000000-0005-0000-0000-00006C0C0000}"/>
    <cellStyle name="Currency 5 2 6 2 3 2" xfId="21938" xr:uid="{1F93217B-76CC-4447-968F-0FE552DE6443}"/>
    <cellStyle name="Currency 5 2 6 2 3 3" xfId="13504" xr:uid="{B1911784-6722-43AA-85B5-84EF619EEB12}"/>
    <cellStyle name="Currency 5 2 6 2 4" xfId="17721" xr:uid="{5B12B161-DB9E-4FF4-A51B-5F48483D0982}"/>
    <cellStyle name="Currency 5 2 6 2 5" xfId="9287" xr:uid="{A02F2553-8833-4DC3-A590-75C7E2F55998}"/>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24496" xr:uid="{8B6D6221-45FB-490A-9BC4-5B6086F955D5}"/>
    <cellStyle name="Currency 5 2 6 3 2 2 3" xfId="16062" xr:uid="{8314C7E3-6AD3-4124-AB11-B000A58456E0}"/>
    <cellStyle name="Currency 5 2 6 3 2 3" xfId="20279" xr:uid="{986E0392-B3EA-4BD8-8F91-1DE97015AA1D}"/>
    <cellStyle name="Currency 5 2 6 3 2 4" xfId="11845" xr:uid="{50591701-8EE4-4C60-BF4E-729FBF80FAE8}"/>
    <cellStyle name="Currency 5 2 6 3 3" xfId="5479" xr:uid="{00000000-0005-0000-0000-0000700C0000}"/>
    <cellStyle name="Currency 5 2 6 3 3 2" xfId="22351" xr:uid="{DA802386-494A-492C-9575-7AD0C8C15BF7}"/>
    <cellStyle name="Currency 5 2 6 3 3 3" xfId="13917" xr:uid="{5AE2C01A-18EF-47C5-B26C-25AF4CB349C6}"/>
    <cellStyle name="Currency 5 2 6 3 4" xfId="18134" xr:uid="{CDFDC67F-62BC-4E2A-9B0A-283337581739}"/>
    <cellStyle name="Currency 5 2 6 3 5" xfId="9700" xr:uid="{E0101678-BA26-4EFC-A5D6-BA65153A3F86}"/>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24909" xr:uid="{8FE4921E-803C-4924-A925-57283C6BB6D5}"/>
    <cellStyle name="Currency 5 2 6 4 2 2 3" xfId="16475" xr:uid="{AE547123-5F2E-4F21-BCB2-ABA0B8D44ABE}"/>
    <cellStyle name="Currency 5 2 6 4 2 3" xfId="20692" xr:uid="{0F921A0E-6413-4198-90FD-CB430C700BD1}"/>
    <cellStyle name="Currency 5 2 6 4 2 4" xfId="12258" xr:uid="{2805879A-61ED-464C-9FF8-76EC401AFD49}"/>
    <cellStyle name="Currency 5 2 6 4 3" xfId="5892" xr:uid="{00000000-0005-0000-0000-0000740C0000}"/>
    <cellStyle name="Currency 5 2 6 4 3 2" xfId="22764" xr:uid="{4207F165-0557-44FE-BD95-46D073AF3D9A}"/>
    <cellStyle name="Currency 5 2 6 4 3 3" xfId="14330" xr:uid="{7C704D20-95FA-42DF-9A02-E7FBAB0165C2}"/>
    <cellStyle name="Currency 5 2 6 4 4" xfId="18547" xr:uid="{A545AB4A-670E-4DB2-B9D3-09F839B9F72A}"/>
    <cellStyle name="Currency 5 2 6 4 5" xfId="10113" xr:uid="{3244CE49-60D0-4F4B-93B5-0C0649941499}"/>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25322" xr:uid="{8CF7B505-14AE-4B37-8E58-29CB95176EE8}"/>
    <cellStyle name="Currency 5 2 6 5 2 2 3" xfId="16888" xr:uid="{9DD45F53-D280-4CD4-B182-652C81128FF2}"/>
    <cellStyle name="Currency 5 2 6 5 2 3" xfId="21105" xr:uid="{F1976821-6A77-4CA3-B1DD-70667DD0BBC1}"/>
    <cellStyle name="Currency 5 2 6 5 2 4" xfId="12671" xr:uid="{626966F8-46B3-4543-A2EF-B2B0A2F2D56A}"/>
    <cellStyle name="Currency 5 2 6 5 3" xfId="6305" xr:uid="{00000000-0005-0000-0000-0000780C0000}"/>
    <cellStyle name="Currency 5 2 6 5 3 2" xfId="23177" xr:uid="{4FE367DE-1AEF-4ABA-95CD-BE245219F3A7}"/>
    <cellStyle name="Currency 5 2 6 5 3 3" xfId="14743" xr:uid="{9ED10FAF-2D1C-45C4-BB0D-1E968E32CAF9}"/>
    <cellStyle name="Currency 5 2 6 5 4" xfId="18960" xr:uid="{2DD364F8-6B4D-44E6-91F1-577D69893961}"/>
    <cellStyle name="Currency 5 2 6 5 5" xfId="10526" xr:uid="{C6A560A9-08DE-471A-8D0C-03AAED0C5B22}"/>
    <cellStyle name="Currency 5 2 6 6" xfId="2433" xr:uid="{00000000-0005-0000-0000-0000790C0000}"/>
    <cellStyle name="Currency 5 2 6 6 2" xfId="6718" xr:uid="{00000000-0005-0000-0000-00007A0C0000}"/>
    <cellStyle name="Currency 5 2 6 6 2 2" xfId="23590" xr:uid="{A0026A32-91FC-433B-8A81-17E631F1EE9F}"/>
    <cellStyle name="Currency 5 2 6 6 2 3" xfId="15156" xr:uid="{3CC2236F-5F3C-46C4-BA9E-15A3F77D87DF}"/>
    <cellStyle name="Currency 5 2 6 6 3" xfId="19373" xr:uid="{C5D82204-4281-4693-A2ED-CAF0E8D196DF}"/>
    <cellStyle name="Currency 5 2 6 6 4" xfId="10939" xr:uid="{F33E48FF-A71C-4A97-85EC-4F824F5CEBB0}"/>
    <cellStyle name="Currency 5 2 6 7" xfId="2730" xr:uid="{00000000-0005-0000-0000-00007B0C0000}"/>
    <cellStyle name="Currency 5 2 6 8" xfId="2811" xr:uid="{00000000-0005-0000-0000-00007C0C0000}"/>
    <cellStyle name="Currency 5 2 6 8 2" xfId="7035" xr:uid="{00000000-0005-0000-0000-00007D0C0000}"/>
    <cellStyle name="Currency 5 2 6 8 2 2" xfId="23907" xr:uid="{7C22C0D0-C202-4DB0-9E44-9C8997D3D7C1}"/>
    <cellStyle name="Currency 5 2 6 8 2 3" xfId="15473" xr:uid="{386C4EA3-CAD1-4B51-9E0F-611C8EFC846B}"/>
    <cellStyle name="Currency 5 2 6 8 3" xfId="19690" xr:uid="{F574FA09-2D7C-444D-8B7C-4AA870BE6A13}"/>
    <cellStyle name="Currency 5 2 6 8 4" xfId="11256" xr:uid="{E0776F22-E28D-4CA5-A7B8-093B081D5245}"/>
    <cellStyle name="Currency 5 2 6 9" xfId="4652" xr:uid="{00000000-0005-0000-0000-00007E0C0000}"/>
    <cellStyle name="Currency 5 2 6 9 2" xfId="21524" xr:uid="{55B9EF96-8231-4F52-A2C5-42BEAF1078D1}"/>
    <cellStyle name="Currency 5 2 6 9 3" xfId="13090" xr:uid="{7A16EC56-BD39-48A2-9C5D-7D0DA5FCDA55}"/>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23908" xr:uid="{DFAC282E-8BDE-4C3C-A301-409D8481C379}"/>
    <cellStyle name="Currency 5 3 2 10 2 3" xfId="15474" xr:uid="{1EEA578D-EAA3-41FB-B8FF-2140057AC8D1}"/>
    <cellStyle name="Currency 5 3 2 10 3" xfId="19691" xr:uid="{BDD2D013-D3C2-4BA6-A33B-A61303538278}"/>
    <cellStyle name="Currency 5 3 2 10 4" xfId="11257" xr:uid="{A756A9E4-3F35-4D79-9907-BD9ABBB99F62}"/>
    <cellStyle name="Currency 5 3 2 11" xfId="4653" xr:uid="{00000000-0005-0000-0000-0000840C0000}"/>
    <cellStyle name="Currency 5 3 2 11 2" xfId="21525" xr:uid="{039C2179-D57B-4656-B71F-1085671BC782}"/>
    <cellStyle name="Currency 5 3 2 11 3" xfId="13091" xr:uid="{03B92C06-0E48-4476-91BA-C5A4A4B040BE}"/>
    <cellStyle name="Currency 5 3 2 12" xfId="17308" xr:uid="{F67D48F1-7D98-4FD9-A038-E99AF0DB53FD}"/>
    <cellStyle name="Currency 5 3 2 13" xfId="8874" xr:uid="{E2DF66A5-CA09-48CB-8620-BF90E3407B40}"/>
    <cellStyle name="Currency 5 3 2 2" xfId="211" xr:uid="{00000000-0005-0000-0000-0000850C0000}"/>
    <cellStyle name="Currency 5 3 2 2 10" xfId="4654" xr:uid="{00000000-0005-0000-0000-0000860C0000}"/>
    <cellStyle name="Currency 5 3 2 2 10 2" xfId="21526" xr:uid="{6E7782FD-07D0-4797-9CEE-C26ADB3B308D}"/>
    <cellStyle name="Currency 5 3 2 2 10 3" xfId="13092" xr:uid="{682B2DF1-5B09-4896-B484-7DF74F0F2842}"/>
    <cellStyle name="Currency 5 3 2 2 11" xfId="17309" xr:uid="{7A994E30-5DCF-4D42-8141-6BE785A906D5}"/>
    <cellStyle name="Currency 5 3 2 2 12" xfId="8875" xr:uid="{67CA8C6D-9D4E-487B-8388-90C072E1F6B0}"/>
    <cellStyle name="Currency 5 3 2 2 2" xfId="212" xr:uid="{00000000-0005-0000-0000-0000870C0000}"/>
    <cellStyle name="Currency 5 3 2 2 2 10" xfId="17310" xr:uid="{22A188B7-E1BB-49E5-9F60-A9AB08F8B2DB}"/>
    <cellStyle name="Currency 5 3 2 2 2 11" xfId="8876" xr:uid="{C8009E0C-205B-4C90-B144-2C33CA83F0A5}"/>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24086" xr:uid="{FCE857AC-4216-49EC-ABF5-FFBD5B35AF91}"/>
    <cellStyle name="Currency 5 3 2 2 2 2 2 2 3" xfId="15652" xr:uid="{97B20369-A896-4170-A9ED-8ADFD05AA7A7}"/>
    <cellStyle name="Currency 5 3 2 2 2 2 2 3" xfId="19869" xr:uid="{4BB7A451-BEF4-4E11-A74E-A64227F22E3B}"/>
    <cellStyle name="Currency 5 3 2 2 2 2 2 4" xfId="11435" xr:uid="{598FA800-A837-4731-B9E1-102D7CB8E232}"/>
    <cellStyle name="Currency 5 3 2 2 2 2 3" xfId="5069" xr:uid="{00000000-0005-0000-0000-00008B0C0000}"/>
    <cellStyle name="Currency 5 3 2 2 2 2 3 2" xfId="21941" xr:uid="{3456BEE2-9769-411E-BDA4-5BD99B9858D8}"/>
    <cellStyle name="Currency 5 3 2 2 2 2 3 3" xfId="13507" xr:uid="{E04888AD-8FDB-4E99-A310-D2FD77D08DF7}"/>
    <cellStyle name="Currency 5 3 2 2 2 2 4" xfId="17724" xr:uid="{3FAF308F-E64F-41A6-B2F0-5C5477271F47}"/>
    <cellStyle name="Currency 5 3 2 2 2 2 5" xfId="9290" xr:uid="{AC9D7EEB-FCAD-4381-801A-CC086E40DA46}"/>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24499" xr:uid="{6141ACD8-1B2B-4DE8-A9C2-B03E64E72BD2}"/>
    <cellStyle name="Currency 5 3 2 2 2 3 2 2 3" xfId="16065" xr:uid="{3723243E-3C27-4E94-AA4E-482B4DCE533C}"/>
    <cellStyle name="Currency 5 3 2 2 2 3 2 3" xfId="20282" xr:uid="{3CD6769F-8DA8-49CD-A192-17F41946B632}"/>
    <cellStyle name="Currency 5 3 2 2 2 3 2 4" xfId="11848" xr:uid="{06CF3630-DB80-48D9-A1F8-C7D1D2896A31}"/>
    <cellStyle name="Currency 5 3 2 2 2 3 3" xfId="5482" xr:uid="{00000000-0005-0000-0000-00008F0C0000}"/>
    <cellStyle name="Currency 5 3 2 2 2 3 3 2" xfId="22354" xr:uid="{821E81A3-1B13-4F9D-B5E8-9D17ABCFCBE4}"/>
    <cellStyle name="Currency 5 3 2 2 2 3 3 3" xfId="13920" xr:uid="{8193F7FE-D925-46FE-8112-D321D5AB7895}"/>
    <cellStyle name="Currency 5 3 2 2 2 3 4" xfId="18137" xr:uid="{5CEB39C0-18C5-4F24-90DE-77D400476358}"/>
    <cellStyle name="Currency 5 3 2 2 2 3 5" xfId="9703" xr:uid="{7E725F42-2791-437B-B4F1-90B5200531D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24912" xr:uid="{A85FDAEC-A0BB-4559-8A23-9C20728D88A3}"/>
    <cellStyle name="Currency 5 3 2 2 2 4 2 2 3" xfId="16478" xr:uid="{068ECE01-B049-4443-A709-EBC65808A102}"/>
    <cellStyle name="Currency 5 3 2 2 2 4 2 3" xfId="20695" xr:uid="{4E492F5B-BF0B-472C-9BC5-5FC8647BC940}"/>
    <cellStyle name="Currency 5 3 2 2 2 4 2 4" xfId="12261" xr:uid="{218B1F69-942D-4ED3-8433-2F4938252FFD}"/>
    <cellStyle name="Currency 5 3 2 2 2 4 3" xfId="5895" xr:uid="{00000000-0005-0000-0000-0000930C0000}"/>
    <cellStyle name="Currency 5 3 2 2 2 4 3 2" xfId="22767" xr:uid="{ABB89EBD-F38F-40B8-8FB6-85273DD12283}"/>
    <cellStyle name="Currency 5 3 2 2 2 4 3 3" xfId="14333" xr:uid="{46BC0BD6-82B8-407C-9935-18A1045D700B}"/>
    <cellStyle name="Currency 5 3 2 2 2 4 4" xfId="18550" xr:uid="{45A152C2-186B-4C06-88F2-C0A4B9E9E7AB}"/>
    <cellStyle name="Currency 5 3 2 2 2 4 5" xfId="10116" xr:uid="{6AEA8ADF-4748-40D7-B6EC-626DA52EC19D}"/>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25325" xr:uid="{A516BA6F-5CDB-45A8-A085-0E550B402E4A}"/>
    <cellStyle name="Currency 5 3 2 2 2 5 2 2 3" xfId="16891" xr:uid="{0AF16B3E-DCDA-4ED4-A9B3-C7EEA383E38F}"/>
    <cellStyle name="Currency 5 3 2 2 2 5 2 3" xfId="21108" xr:uid="{344C6FDC-2743-4D58-91D9-4EDBD06BEA1B}"/>
    <cellStyle name="Currency 5 3 2 2 2 5 2 4" xfId="12674" xr:uid="{7A6F030A-804E-42E3-9A8C-93E614B0332D}"/>
    <cellStyle name="Currency 5 3 2 2 2 5 3" xfId="6308" xr:uid="{00000000-0005-0000-0000-0000970C0000}"/>
    <cellStyle name="Currency 5 3 2 2 2 5 3 2" xfId="23180" xr:uid="{D085804C-3956-47D6-A9CA-725DD388255A}"/>
    <cellStyle name="Currency 5 3 2 2 2 5 3 3" xfId="14746" xr:uid="{DFC28652-5774-4655-9DA1-C34F3C58F4EE}"/>
    <cellStyle name="Currency 5 3 2 2 2 5 4" xfId="18963" xr:uid="{DB0C1693-5BB9-4919-B474-C81625F53715}"/>
    <cellStyle name="Currency 5 3 2 2 2 5 5" xfId="10529" xr:uid="{16B6DE1A-26A8-4424-81A4-B62487C01643}"/>
    <cellStyle name="Currency 5 3 2 2 2 6" xfId="2436" xr:uid="{00000000-0005-0000-0000-0000980C0000}"/>
    <cellStyle name="Currency 5 3 2 2 2 6 2" xfId="6721" xr:uid="{00000000-0005-0000-0000-0000990C0000}"/>
    <cellStyle name="Currency 5 3 2 2 2 6 2 2" xfId="23593" xr:uid="{78364545-E11E-45B2-9CCC-F59B2AA69E3D}"/>
    <cellStyle name="Currency 5 3 2 2 2 6 2 3" xfId="15159" xr:uid="{0EA20ED4-FF35-412E-B482-1CE5BA8DCA44}"/>
    <cellStyle name="Currency 5 3 2 2 2 6 3" xfId="19376" xr:uid="{D8F7B539-BC95-4EA1-A871-6B9D9DC9E47F}"/>
    <cellStyle name="Currency 5 3 2 2 2 6 4" xfId="10942" xr:uid="{CF5F028F-B278-4B8D-8926-69EC8BFDB364}"/>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23910" xr:uid="{81448B33-80DB-484E-B2B7-B3CEC2D8DC62}"/>
    <cellStyle name="Currency 5 3 2 2 2 8 2 3" xfId="15476" xr:uid="{96D89DAF-5324-47F5-97EA-66A149A029E1}"/>
    <cellStyle name="Currency 5 3 2 2 2 8 3" xfId="19693" xr:uid="{E19CED8C-8C52-4310-BCDD-77A48BA233FD}"/>
    <cellStyle name="Currency 5 3 2 2 2 8 4" xfId="11259" xr:uid="{41397B36-E845-4380-B58E-ED4BE774C01A}"/>
    <cellStyle name="Currency 5 3 2 2 2 9" xfId="4655" xr:uid="{00000000-0005-0000-0000-00009D0C0000}"/>
    <cellStyle name="Currency 5 3 2 2 2 9 2" xfId="21527" xr:uid="{82D7164E-F0A1-42C7-8CA6-DFB6651BE514}"/>
    <cellStyle name="Currency 5 3 2 2 2 9 3" xfId="13093" xr:uid="{F3935CD3-43E0-4EFE-8103-32B156DA3305}"/>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24085" xr:uid="{32E7D926-47E6-4FB0-8776-88457118F13B}"/>
    <cellStyle name="Currency 5 3 2 2 3 2 2 3" xfId="15651" xr:uid="{DB7CD300-3687-4138-A5CA-4E7C3590FB34}"/>
    <cellStyle name="Currency 5 3 2 2 3 2 3" xfId="19868" xr:uid="{6111533C-1243-4B0D-823F-DF463A0C187B}"/>
    <cellStyle name="Currency 5 3 2 2 3 2 4" xfId="11434" xr:uid="{F5534EC3-328C-421F-9DB8-D796383609CC}"/>
    <cellStyle name="Currency 5 3 2 2 3 3" xfId="5068" xr:uid="{00000000-0005-0000-0000-0000A10C0000}"/>
    <cellStyle name="Currency 5 3 2 2 3 3 2" xfId="21940" xr:uid="{61C4952D-6424-446C-81D2-A2305E88C933}"/>
    <cellStyle name="Currency 5 3 2 2 3 3 3" xfId="13506" xr:uid="{F30ABC90-925F-4ED4-A55D-3E7DD1B36FFA}"/>
    <cellStyle name="Currency 5 3 2 2 3 4" xfId="17723" xr:uid="{3DFC33B7-6E1F-4B23-90CA-CCF0BC16B3A8}"/>
    <cellStyle name="Currency 5 3 2 2 3 5" xfId="9289" xr:uid="{A6BA1096-B4ED-493E-BB82-8049C0F5A19F}"/>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24498" xr:uid="{7B9B4373-5DC5-4F44-B2FD-4ED1A85F7638}"/>
    <cellStyle name="Currency 5 3 2 2 4 2 2 3" xfId="16064" xr:uid="{0BCBD499-AD09-4C40-9C43-07B294F3C2B7}"/>
    <cellStyle name="Currency 5 3 2 2 4 2 3" xfId="20281" xr:uid="{55FF1D79-1ED7-4FDF-928D-A1ADBC49E885}"/>
    <cellStyle name="Currency 5 3 2 2 4 2 4" xfId="11847" xr:uid="{2262E5B2-4C91-49C5-BE2E-D7D970968F87}"/>
    <cellStyle name="Currency 5 3 2 2 4 3" xfId="5481" xr:uid="{00000000-0005-0000-0000-0000A50C0000}"/>
    <cellStyle name="Currency 5 3 2 2 4 3 2" xfId="22353" xr:uid="{E8E37332-3FA8-452F-B9F9-D1591C0E5A5B}"/>
    <cellStyle name="Currency 5 3 2 2 4 3 3" xfId="13919" xr:uid="{ED3FA1DA-CC20-484D-AEBC-31F81FE7D494}"/>
    <cellStyle name="Currency 5 3 2 2 4 4" xfId="18136" xr:uid="{D04D5EF7-0FC7-4290-93EA-452502D1EAC5}"/>
    <cellStyle name="Currency 5 3 2 2 4 5" xfId="9702" xr:uid="{BD4880A9-D7C1-41B0-AF09-05E224C95877}"/>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24911" xr:uid="{90E1E094-2FDA-4682-9B49-25D319A9FD84}"/>
    <cellStyle name="Currency 5 3 2 2 5 2 2 3" xfId="16477" xr:uid="{DBC892EC-E895-4652-882E-E32F4F82B434}"/>
    <cellStyle name="Currency 5 3 2 2 5 2 3" xfId="20694" xr:uid="{D648BB30-1D81-467D-8B02-A088D26D3DD0}"/>
    <cellStyle name="Currency 5 3 2 2 5 2 4" xfId="12260" xr:uid="{4C9799DD-9B24-4E26-B7BB-9FFE08626661}"/>
    <cellStyle name="Currency 5 3 2 2 5 3" xfId="5894" xr:uid="{00000000-0005-0000-0000-0000A90C0000}"/>
    <cellStyle name="Currency 5 3 2 2 5 3 2" xfId="22766" xr:uid="{81EEA7C3-82DA-46A4-9A8C-018F315B5738}"/>
    <cellStyle name="Currency 5 3 2 2 5 3 3" xfId="14332" xr:uid="{55D62FF9-6DD1-41EF-AF1D-DB7A161190ED}"/>
    <cellStyle name="Currency 5 3 2 2 5 4" xfId="18549" xr:uid="{37D9E66F-E082-46CD-BA2C-2C5DC04632FA}"/>
    <cellStyle name="Currency 5 3 2 2 5 5" xfId="10115" xr:uid="{B9AFF950-B4DB-4654-9753-C3366EA0BB89}"/>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25324" xr:uid="{8D99145A-62F5-4F63-ABAA-BF103D89C196}"/>
    <cellStyle name="Currency 5 3 2 2 6 2 2 3" xfId="16890" xr:uid="{ACC20626-E5B5-4B68-96DF-9C00BFCA957A}"/>
    <cellStyle name="Currency 5 3 2 2 6 2 3" xfId="21107" xr:uid="{171B503D-CEC0-4D22-BE7B-3D152F9DE28B}"/>
    <cellStyle name="Currency 5 3 2 2 6 2 4" xfId="12673" xr:uid="{77DDCEEF-1B18-4BC0-B290-F545E90F01D8}"/>
    <cellStyle name="Currency 5 3 2 2 6 3" xfId="6307" xr:uid="{00000000-0005-0000-0000-0000AD0C0000}"/>
    <cellStyle name="Currency 5 3 2 2 6 3 2" xfId="23179" xr:uid="{94A11A42-01DD-4C00-9CB9-792CBDA3A8CB}"/>
    <cellStyle name="Currency 5 3 2 2 6 3 3" xfId="14745" xr:uid="{EE4CD973-382A-4C71-A6C9-CF0A4D790324}"/>
    <cellStyle name="Currency 5 3 2 2 6 4" xfId="18962" xr:uid="{BBB5FDA6-3400-426D-8B62-B79E18CFB7CA}"/>
    <cellStyle name="Currency 5 3 2 2 6 5" xfId="10528" xr:uid="{D9316DBD-287C-4006-9037-B76D3A4F973E}"/>
    <cellStyle name="Currency 5 3 2 2 7" xfId="2435" xr:uid="{00000000-0005-0000-0000-0000AE0C0000}"/>
    <cellStyle name="Currency 5 3 2 2 7 2" xfId="6720" xr:uid="{00000000-0005-0000-0000-0000AF0C0000}"/>
    <cellStyle name="Currency 5 3 2 2 7 2 2" xfId="23592" xr:uid="{BF60E07C-F2D3-4BDC-BD98-210E0E747DD8}"/>
    <cellStyle name="Currency 5 3 2 2 7 2 3" xfId="15158" xr:uid="{1A9F74F6-5826-40B7-8F03-5D694475B262}"/>
    <cellStyle name="Currency 5 3 2 2 7 3" xfId="19375" xr:uid="{CCEC6A7C-E458-476A-8E12-61433EA00718}"/>
    <cellStyle name="Currency 5 3 2 2 7 4" xfId="10941" xr:uid="{7F13380A-0EB9-4867-ADE3-4BFA8CEED794}"/>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23909" xr:uid="{9D44CE73-6219-4C55-B7C4-9AACA5457849}"/>
    <cellStyle name="Currency 5 3 2 2 9 2 3" xfId="15475" xr:uid="{9D8696D4-92C1-48F5-85A2-A221C48DC6F5}"/>
    <cellStyle name="Currency 5 3 2 2 9 3" xfId="19692" xr:uid="{93B3583D-A26F-4460-9A5F-F41088980F76}"/>
    <cellStyle name="Currency 5 3 2 2 9 4" xfId="11258" xr:uid="{76609E3F-461D-45D9-8F79-A297FEA7E813}"/>
    <cellStyle name="Currency 5 3 2 3" xfId="213" xr:uid="{00000000-0005-0000-0000-0000B30C0000}"/>
    <cellStyle name="Currency 5 3 2 3 10" xfId="17311" xr:uid="{3D0AAECA-A80F-47C2-991A-0546FC12C676}"/>
    <cellStyle name="Currency 5 3 2 3 11" xfId="8877" xr:uid="{F0FC9650-A805-4FC3-B6C1-8961F21259C5}"/>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24087" xr:uid="{A0CB3BDF-4D2B-45D0-8F0E-EDE753392B62}"/>
    <cellStyle name="Currency 5 3 2 3 2 2 2 3" xfId="15653" xr:uid="{8FC24569-FC95-4293-9DD9-E5C88680CB4F}"/>
    <cellStyle name="Currency 5 3 2 3 2 2 3" xfId="19870" xr:uid="{6DCD0C3E-6304-4B50-AB1B-C335E2518351}"/>
    <cellStyle name="Currency 5 3 2 3 2 2 4" xfId="11436" xr:uid="{8B7E4F3A-41FE-458A-B056-489DA15F0D00}"/>
    <cellStyle name="Currency 5 3 2 3 2 3" xfId="5070" xr:uid="{00000000-0005-0000-0000-0000B70C0000}"/>
    <cellStyle name="Currency 5 3 2 3 2 3 2" xfId="21942" xr:uid="{661AEABB-498E-49A7-9CCC-8BD971B29B3B}"/>
    <cellStyle name="Currency 5 3 2 3 2 3 3" xfId="13508" xr:uid="{6D4B5225-2B2C-44E5-B762-671FE5BE9C4A}"/>
    <cellStyle name="Currency 5 3 2 3 2 4" xfId="17725" xr:uid="{C7B2B01B-BBE1-430C-9D98-FA4EC1EBBF72}"/>
    <cellStyle name="Currency 5 3 2 3 2 5" xfId="9291" xr:uid="{9E2D6196-C6ED-40D7-8D73-FDFBD1169F17}"/>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24500" xr:uid="{551993F9-BE58-4137-83B4-8D9E360BC3D6}"/>
    <cellStyle name="Currency 5 3 2 3 3 2 2 3" xfId="16066" xr:uid="{8060E013-6377-47B9-9648-9EB77658E5A1}"/>
    <cellStyle name="Currency 5 3 2 3 3 2 3" xfId="20283" xr:uid="{CB7246A8-7F12-417A-B8EA-1623477F64A8}"/>
    <cellStyle name="Currency 5 3 2 3 3 2 4" xfId="11849" xr:uid="{86BFE670-094C-4B71-AE2B-335CBED64BE1}"/>
    <cellStyle name="Currency 5 3 2 3 3 3" xfId="5483" xr:uid="{00000000-0005-0000-0000-0000BB0C0000}"/>
    <cellStyle name="Currency 5 3 2 3 3 3 2" xfId="22355" xr:uid="{4F87D3E5-875D-4584-AA31-656DDC0C283F}"/>
    <cellStyle name="Currency 5 3 2 3 3 3 3" xfId="13921" xr:uid="{0445838F-383A-4913-ACD3-3D00E7A59AF1}"/>
    <cellStyle name="Currency 5 3 2 3 3 4" xfId="18138" xr:uid="{0DB0E6A7-0DAA-4E78-9AE4-753AA791EB71}"/>
    <cellStyle name="Currency 5 3 2 3 3 5" xfId="9704" xr:uid="{CCDAC87E-768C-4F96-8116-E79B6EBB6699}"/>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24913" xr:uid="{AB46FA31-B54E-48AD-89A5-AF60BFF709CD}"/>
    <cellStyle name="Currency 5 3 2 3 4 2 2 3" xfId="16479" xr:uid="{BC7C682A-630B-4CF4-A371-D999F696D8DB}"/>
    <cellStyle name="Currency 5 3 2 3 4 2 3" xfId="20696" xr:uid="{B3299DBE-C17C-4908-BAA1-945A2973EF1D}"/>
    <cellStyle name="Currency 5 3 2 3 4 2 4" xfId="12262" xr:uid="{CDF89407-6385-446A-A1CF-ED65682E3379}"/>
    <cellStyle name="Currency 5 3 2 3 4 3" xfId="5896" xr:uid="{00000000-0005-0000-0000-0000BF0C0000}"/>
    <cellStyle name="Currency 5 3 2 3 4 3 2" xfId="22768" xr:uid="{572014F4-D26A-418B-83DF-465881BA28C1}"/>
    <cellStyle name="Currency 5 3 2 3 4 3 3" xfId="14334" xr:uid="{5D890A35-8F31-4788-B54A-A65F47221286}"/>
    <cellStyle name="Currency 5 3 2 3 4 4" xfId="18551" xr:uid="{6B71BE28-94D9-49C6-A3AC-B4BAA9111627}"/>
    <cellStyle name="Currency 5 3 2 3 4 5" xfId="10117" xr:uid="{67CC54AA-0BD9-4CF4-BCE2-17DA8D7642B1}"/>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25326" xr:uid="{2FDF27DE-8E6E-4B61-85F5-BA3E19E3906E}"/>
    <cellStyle name="Currency 5 3 2 3 5 2 2 3" xfId="16892" xr:uid="{CAC32BA9-5007-4E78-B664-08C5EB61CE8E}"/>
    <cellStyle name="Currency 5 3 2 3 5 2 3" xfId="21109" xr:uid="{39E1B550-1EA3-4CD6-A705-4373A8E51323}"/>
    <cellStyle name="Currency 5 3 2 3 5 2 4" xfId="12675" xr:uid="{0DC1A4E8-A630-4D72-AE72-382138AEACA0}"/>
    <cellStyle name="Currency 5 3 2 3 5 3" xfId="6309" xr:uid="{00000000-0005-0000-0000-0000C30C0000}"/>
    <cellStyle name="Currency 5 3 2 3 5 3 2" xfId="23181" xr:uid="{71DA3124-20FA-449E-BC8C-399778934B09}"/>
    <cellStyle name="Currency 5 3 2 3 5 3 3" xfId="14747" xr:uid="{99D5B3A7-FE78-4253-8F26-3276D46AAD3F}"/>
    <cellStyle name="Currency 5 3 2 3 5 4" xfId="18964" xr:uid="{06F91F29-10DC-4E2C-8163-3DC3AD284C43}"/>
    <cellStyle name="Currency 5 3 2 3 5 5" xfId="10530" xr:uid="{05261AF6-0A5B-4FB1-B2A2-44199E04B622}"/>
    <cellStyle name="Currency 5 3 2 3 6" xfId="2437" xr:uid="{00000000-0005-0000-0000-0000C40C0000}"/>
    <cellStyle name="Currency 5 3 2 3 6 2" xfId="6722" xr:uid="{00000000-0005-0000-0000-0000C50C0000}"/>
    <cellStyle name="Currency 5 3 2 3 6 2 2" xfId="23594" xr:uid="{5432A778-1C6A-4FDF-8613-89EC51785BDA}"/>
    <cellStyle name="Currency 5 3 2 3 6 2 3" xfId="15160" xr:uid="{12996AC3-C9FD-490F-BD68-9180648DDE45}"/>
    <cellStyle name="Currency 5 3 2 3 6 3" xfId="19377" xr:uid="{904B4AE6-BD94-4440-AABA-6C8374C3F85C}"/>
    <cellStyle name="Currency 5 3 2 3 6 4" xfId="10943" xr:uid="{F88BE415-B4BC-4F14-A401-E81E148B6BF4}"/>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23911" xr:uid="{729BDD43-6389-43FB-B53E-DD033F28599A}"/>
    <cellStyle name="Currency 5 3 2 3 8 2 3" xfId="15477" xr:uid="{BE9BED89-6B85-4405-B377-533A20FFFB34}"/>
    <cellStyle name="Currency 5 3 2 3 8 3" xfId="19694" xr:uid="{AAD7205D-01BC-4BDF-BAE5-E1FC17C75DEC}"/>
    <cellStyle name="Currency 5 3 2 3 8 4" xfId="11260" xr:uid="{BF9B19A6-4B41-4C1D-A5F9-36F54891450A}"/>
    <cellStyle name="Currency 5 3 2 3 9" xfId="4656" xr:uid="{00000000-0005-0000-0000-0000C90C0000}"/>
    <cellStyle name="Currency 5 3 2 3 9 2" xfId="21528" xr:uid="{2FEDE6A5-41D2-4F7C-BB3D-ECAFCE98DC5C}"/>
    <cellStyle name="Currency 5 3 2 3 9 3" xfId="13094" xr:uid="{ECF647A0-B485-4887-A942-AF8F42830AC6}"/>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24084" xr:uid="{841BCA3B-E1AF-4295-A00C-C56BF80F0BA1}"/>
    <cellStyle name="Currency 5 3 2 4 2 2 3" xfId="15650" xr:uid="{DB39A4BF-0BE4-488F-8149-959D105648DE}"/>
    <cellStyle name="Currency 5 3 2 4 2 3" xfId="19867" xr:uid="{BAD6D619-552F-4262-8CAE-61079CE6B358}"/>
    <cellStyle name="Currency 5 3 2 4 2 4" xfId="11433" xr:uid="{2E8450E9-C04F-4FAA-A36D-1DEEF695716B}"/>
    <cellStyle name="Currency 5 3 2 4 3" xfId="5067" xr:uid="{00000000-0005-0000-0000-0000CD0C0000}"/>
    <cellStyle name="Currency 5 3 2 4 3 2" xfId="21939" xr:uid="{44FBC83C-893E-402A-8905-4203DB6F8EE4}"/>
    <cellStyle name="Currency 5 3 2 4 3 3" xfId="13505" xr:uid="{74ED0B4F-6102-4492-B701-8EAC32ED2F97}"/>
    <cellStyle name="Currency 5 3 2 4 4" xfId="17722" xr:uid="{5C412B68-4BF7-48EE-8522-5DAF3BA62152}"/>
    <cellStyle name="Currency 5 3 2 4 5" xfId="9288" xr:uid="{024E6A35-2DDE-4C46-AB5B-1E668B581D85}"/>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24497" xr:uid="{A7398098-7D6E-457E-B607-EF69BF8CE6E1}"/>
    <cellStyle name="Currency 5 3 2 5 2 2 3" xfId="16063" xr:uid="{098804C0-1726-4E1A-A5C1-0D897F7667DA}"/>
    <cellStyle name="Currency 5 3 2 5 2 3" xfId="20280" xr:uid="{843129DA-5E45-40B3-BE76-9C9BD0819547}"/>
    <cellStyle name="Currency 5 3 2 5 2 4" xfId="11846" xr:uid="{597E0858-1DD7-470F-81DF-6820230C1573}"/>
    <cellStyle name="Currency 5 3 2 5 3" xfId="5480" xr:uid="{00000000-0005-0000-0000-0000D10C0000}"/>
    <cellStyle name="Currency 5 3 2 5 3 2" xfId="22352" xr:uid="{53F49794-0D9D-4EAB-ACEC-C133273C898F}"/>
    <cellStyle name="Currency 5 3 2 5 3 3" xfId="13918" xr:uid="{5E6F3802-80FF-461F-BF8B-479D6B87545D}"/>
    <cellStyle name="Currency 5 3 2 5 4" xfId="18135" xr:uid="{FD6A4945-F888-42D2-953F-E12574D61563}"/>
    <cellStyle name="Currency 5 3 2 5 5" xfId="9701" xr:uid="{4BCB2BCC-7E6B-469C-8037-8D32DB5BE962}"/>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24910" xr:uid="{3A791D3A-46B9-4D91-AFC4-1342BF136AF4}"/>
    <cellStyle name="Currency 5 3 2 6 2 2 3" xfId="16476" xr:uid="{A376B74B-8277-4B64-833A-8384DB058819}"/>
    <cellStyle name="Currency 5 3 2 6 2 3" xfId="20693" xr:uid="{163A433A-87AC-4C3B-B0A4-8D24D02F9B5B}"/>
    <cellStyle name="Currency 5 3 2 6 2 4" xfId="12259" xr:uid="{1A550566-63A2-44DF-A6FB-88ECE33BBB98}"/>
    <cellStyle name="Currency 5 3 2 6 3" xfId="5893" xr:uid="{00000000-0005-0000-0000-0000D50C0000}"/>
    <cellStyle name="Currency 5 3 2 6 3 2" xfId="22765" xr:uid="{982B6BB8-8323-4D68-9195-6076E34FAA95}"/>
    <cellStyle name="Currency 5 3 2 6 3 3" xfId="14331" xr:uid="{DE10C92F-60F4-443F-A2E8-66E4694526EB}"/>
    <cellStyle name="Currency 5 3 2 6 4" xfId="18548" xr:uid="{66F86B0D-923D-4FD2-B8D6-6EA518FE4382}"/>
    <cellStyle name="Currency 5 3 2 6 5" xfId="10114" xr:uid="{C49AD28A-A937-42DB-AEF0-6353969D87AF}"/>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25323" xr:uid="{969C54B4-E488-4F1F-BE48-4E34D30E19C7}"/>
    <cellStyle name="Currency 5 3 2 7 2 2 3" xfId="16889" xr:uid="{2CED4C1E-E072-4A02-BA7A-4ADFD0C0EDFF}"/>
    <cellStyle name="Currency 5 3 2 7 2 3" xfId="21106" xr:uid="{944BE011-5E68-4877-B824-C04A5E916712}"/>
    <cellStyle name="Currency 5 3 2 7 2 4" xfId="12672" xr:uid="{EFD458AB-F5EA-45FF-B1D9-775B00E6C799}"/>
    <cellStyle name="Currency 5 3 2 7 3" xfId="6306" xr:uid="{00000000-0005-0000-0000-0000D90C0000}"/>
    <cellStyle name="Currency 5 3 2 7 3 2" xfId="23178" xr:uid="{2FF0E856-E2E3-4205-9294-831A01A29DBE}"/>
    <cellStyle name="Currency 5 3 2 7 3 3" xfId="14744" xr:uid="{09BF58B4-6445-4B9D-95AC-71DB90F6A921}"/>
    <cellStyle name="Currency 5 3 2 7 4" xfId="18961" xr:uid="{C401BF1D-1693-4FBC-8A75-0903E8EC45F3}"/>
    <cellStyle name="Currency 5 3 2 7 5" xfId="10527" xr:uid="{181B6CF3-F1A7-45AA-8DB5-FF5BFEA59DD4}"/>
    <cellStyle name="Currency 5 3 2 8" xfId="2434" xr:uid="{00000000-0005-0000-0000-0000DA0C0000}"/>
    <cellStyle name="Currency 5 3 2 8 2" xfId="6719" xr:uid="{00000000-0005-0000-0000-0000DB0C0000}"/>
    <cellStyle name="Currency 5 3 2 8 2 2" xfId="23591" xr:uid="{7E150F81-22B0-4B25-8E75-BB50CC1C0E2A}"/>
    <cellStyle name="Currency 5 3 2 8 2 3" xfId="15157" xr:uid="{2EB9EF80-3BA7-4A84-9C97-D823F60F818E}"/>
    <cellStyle name="Currency 5 3 2 8 3" xfId="19374" xr:uid="{947CEA91-D018-46BA-9E23-D4ED17C41B00}"/>
    <cellStyle name="Currency 5 3 2 8 4" xfId="10940" xr:uid="{9A52C4FB-8ECA-4347-B4D6-1EF3CE52B395}"/>
    <cellStyle name="Currency 5 3 2 9" xfId="2731" xr:uid="{00000000-0005-0000-0000-0000DC0C0000}"/>
    <cellStyle name="Currency 5 3 3" xfId="214" xr:uid="{00000000-0005-0000-0000-0000DD0C0000}"/>
    <cellStyle name="Currency 5 3 3 10" xfId="4657" xr:uid="{00000000-0005-0000-0000-0000DE0C0000}"/>
    <cellStyle name="Currency 5 3 3 10 2" xfId="21529" xr:uid="{98C33599-0C45-440D-9931-DAB2CA292E4F}"/>
    <cellStyle name="Currency 5 3 3 10 3" xfId="13095" xr:uid="{40C417E6-9A6E-4985-BC93-1464C6027F5E}"/>
    <cellStyle name="Currency 5 3 3 11" xfId="17312" xr:uid="{5CE16CD5-682F-4241-849E-151F26F0C289}"/>
    <cellStyle name="Currency 5 3 3 12" xfId="8878" xr:uid="{BC4B07CA-F049-4CFE-A4AE-1A1CE504F752}"/>
    <cellStyle name="Currency 5 3 3 2" xfId="215" xr:uid="{00000000-0005-0000-0000-0000DF0C0000}"/>
    <cellStyle name="Currency 5 3 3 2 10" xfId="17313" xr:uid="{2E995094-F7C8-485E-897A-429B541D9784}"/>
    <cellStyle name="Currency 5 3 3 2 11" xfId="8879" xr:uid="{A6642638-52F7-49D7-B674-6E5484EFF243}"/>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24089" xr:uid="{92C66869-2DA1-4AD5-8F7A-9AD25B888B61}"/>
    <cellStyle name="Currency 5 3 3 2 2 2 2 3" xfId="15655" xr:uid="{FAD939F5-F185-4829-8E7D-C66CAB3FC3FD}"/>
    <cellStyle name="Currency 5 3 3 2 2 2 3" xfId="19872" xr:uid="{269CAF48-FD03-46CB-BE1F-85FA30C7753A}"/>
    <cellStyle name="Currency 5 3 3 2 2 2 4" xfId="11438" xr:uid="{C6606C3E-2E15-427E-9C90-F82216A65465}"/>
    <cellStyle name="Currency 5 3 3 2 2 3" xfId="5072" xr:uid="{00000000-0005-0000-0000-0000E30C0000}"/>
    <cellStyle name="Currency 5 3 3 2 2 3 2" xfId="21944" xr:uid="{73A7960B-408A-4A7D-9AA9-FE6FA38C87D4}"/>
    <cellStyle name="Currency 5 3 3 2 2 3 3" xfId="13510" xr:uid="{BD32E9EE-8022-4A9A-8E9C-0A284E709111}"/>
    <cellStyle name="Currency 5 3 3 2 2 4" xfId="17727" xr:uid="{B290EE99-9493-4EC4-8E68-DC4939E2F5BE}"/>
    <cellStyle name="Currency 5 3 3 2 2 5" xfId="9293" xr:uid="{C66203C3-9FDD-41E6-84C5-FD345CE10EDF}"/>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24502" xr:uid="{83C4E402-C90E-462E-A450-A6952DA7C8DE}"/>
    <cellStyle name="Currency 5 3 3 2 3 2 2 3" xfId="16068" xr:uid="{2C8B04DB-7A8F-4352-A120-DE7E214E7C2B}"/>
    <cellStyle name="Currency 5 3 3 2 3 2 3" xfId="20285" xr:uid="{470C23FD-873B-4673-BC2F-749F191A05A2}"/>
    <cellStyle name="Currency 5 3 3 2 3 2 4" xfId="11851" xr:uid="{A5792245-F40B-484F-8731-737B80ED74A7}"/>
    <cellStyle name="Currency 5 3 3 2 3 3" xfId="5485" xr:uid="{00000000-0005-0000-0000-0000E70C0000}"/>
    <cellStyle name="Currency 5 3 3 2 3 3 2" xfId="22357" xr:uid="{F3A29BA0-D01C-434A-8851-85960712BF70}"/>
    <cellStyle name="Currency 5 3 3 2 3 3 3" xfId="13923" xr:uid="{E6D7A4C8-D2AE-4630-935F-DD451FEE28DF}"/>
    <cellStyle name="Currency 5 3 3 2 3 4" xfId="18140" xr:uid="{785D83F5-72A8-43EB-9C78-F5EFC585878A}"/>
    <cellStyle name="Currency 5 3 3 2 3 5" xfId="9706" xr:uid="{54E925F5-CD24-45CA-A079-07AFA6685707}"/>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24915" xr:uid="{5EF4321C-43D7-4415-BA4B-88157875D8EC}"/>
    <cellStyle name="Currency 5 3 3 2 4 2 2 3" xfId="16481" xr:uid="{7618E7AF-3825-4D83-A964-320B24241DD9}"/>
    <cellStyle name="Currency 5 3 3 2 4 2 3" xfId="20698" xr:uid="{04A7AD6A-A86C-4FD8-9909-EE8628B6769A}"/>
    <cellStyle name="Currency 5 3 3 2 4 2 4" xfId="12264" xr:uid="{164C9EC5-0654-4E03-BF83-BDB0C64E5DB6}"/>
    <cellStyle name="Currency 5 3 3 2 4 3" xfId="5898" xr:uid="{00000000-0005-0000-0000-0000EB0C0000}"/>
    <cellStyle name="Currency 5 3 3 2 4 3 2" xfId="22770" xr:uid="{80FA9EF4-4E9E-49E9-9531-108534D1C64C}"/>
    <cellStyle name="Currency 5 3 3 2 4 3 3" xfId="14336" xr:uid="{5BBC0D79-5915-419C-ADB0-9F769FA9FD42}"/>
    <cellStyle name="Currency 5 3 3 2 4 4" xfId="18553" xr:uid="{7AAF6CC9-CFA0-4AE0-9CA6-C77664EFC1E1}"/>
    <cellStyle name="Currency 5 3 3 2 4 5" xfId="10119" xr:uid="{AB6C5B67-CD8F-430B-9CCC-5AF7F7B7AC9F}"/>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25328" xr:uid="{C2EF2663-5318-42C7-B800-66D39AD50B05}"/>
    <cellStyle name="Currency 5 3 3 2 5 2 2 3" xfId="16894" xr:uid="{F2C8B295-21B3-4858-A6A8-C5AC835B4CF1}"/>
    <cellStyle name="Currency 5 3 3 2 5 2 3" xfId="21111" xr:uid="{21185FA3-32B2-41B8-9BA7-43120152358E}"/>
    <cellStyle name="Currency 5 3 3 2 5 2 4" xfId="12677" xr:uid="{A2CDFAEC-781D-4728-82AD-E12449DB60F1}"/>
    <cellStyle name="Currency 5 3 3 2 5 3" xfId="6311" xr:uid="{00000000-0005-0000-0000-0000EF0C0000}"/>
    <cellStyle name="Currency 5 3 3 2 5 3 2" xfId="23183" xr:uid="{E76C1FD2-D586-45C7-9FC2-944A3DE5734E}"/>
    <cellStyle name="Currency 5 3 3 2 5 3 3" xfId="14749" xr:uid="{02DF5E7C-277A-4103-86B5-2F53796C4A7D}"/>
    <cellStyle name="Currency 5 3 3 2 5 4" xfId="18966" xr:uid="{ECBC3F56-05F2-450A-A770-A35F47F5C0BD}"/>
    <cellStyle name="Currency 5 3 3 2 5 5" xfId="10532" xr:uid="{0A7B4FFD-35DF-4C1F-A5DE-18899F499FB9}"/>
    <cellStyle name="Currency 5 3 3 2 6" xfId="2439" xr:uid="{00000000-0005-0000-0000-0000F00C0000}"/>
    <cellStyle name="Currency 5 3 3 2 6 2" xfId="6724" xr:uid="{00000000-0005-0000-0000-0000F10C0000}"/>
    <cellStyle name="Currency 5 3 3 2 6 2 2" xfId="23596" xr:uid="{B390BBAC-794D-4ADA-81EA-E90FF12EF779}"/>
    <cellStyle name="Currency 5 3 3 2 6 2 3" xfId="15162" xr:uid="{03AE41CF-A159-4620-9370-9095E3F63BF6}"/>
    <cellStyle name="Currency 5 3 3 2 6 3" xfId="19379" xr:uid="{260D763F-9AF8-49CC-8407-61D5A3AE1740}"/>
    <cellStyle name="Currency 5 3 3 2 6 4" xfId="10945" xr:uid="{1D99E64E-7C68-4252-A33B-5A3B73768CD4}"/>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23913" xr:uid="{EB65A28D-C540-4B7B-BB3E-9198F80B2F3F}"/>
    <cellStyle name="Currency 5 3 3 2 8 2 3" xfId="15479" xr:uid="{2E0E9AD7-A461-4ABC-BC7B-793B4531D40B}"/>
    <cellStyle name="Currency 5 3 3 2 8 3" xfId="19696" xr:uid="{C5255304-6852-4B35-A726-FAA4BA8D21BC}"/>
    <cellStyle name="Currency 5 3 3 2 8 4" xfId="11262" xr:uid="{3551C0BA-5F02-468D-BE25-D96474514720}"/>
    <cellStyle name="Currency 5 3 3 2 9" xfId="4658" xr:uid="{00000000-0005-0000-0000-0000F50C0000}"/>
    <cellStyle name="Currency 5 3 3 2 9 2" xfId="21530" xr:uid="{ADFA7B64-BB44-43D1-8A7F-CF78F017C925}"/>
    <cellStyle name="Currency 5 3 3 2 9 3" xfId="13096" xr:uid="{D751D028-9F47-445A-9475-222D88E85594}"/>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24088" xr:uid="{76F7E6DF-2CBC-4B56-ABA4-F9F09F7FF32E}"/>
    <cellStyle name="Currency 5 3 3 3 2 2 3" xfId="15654" xr:uid="{08B770C0-CD3A-41C7-BCB6-21703870C2C2}"/>
    <cellStyle name="Currency 5 3 3 3 2 3" xfId="19871" xr:uid="{64BE1D63-3D45-4F4E-879E-CD36A93F4E7B}"/>
    <cellStyle name="Currency 5 3 3 3 2 4" xfId="11437" xr:uid="{C0CE9046-B69B-4F8C-963C-3A43E99359CD}"/>
    <cellStyle name="Currency 5 3 3 3 3" xfId="5071" xr:uid="{00000000-0005-0000-0000-0000F90C0000}"/>
    <cellStyle name="Currency 5 3 3 3 3 2" xfId="21943" xr:uid="{6E11C12B-D375-424C-A56B-09885C89C0F7}"/>
    <cellStyle name="Currency 5 3 3 3 3 3" xfId="13509" xr:uid="{322CD8D1-FF91-4437-B782-651B6DB7634A}"/>
    <cellStyle name="Currency 5 3 3 3 4" xfId="17726" xr:uid="{305663A0-9E42-4FAF-9136-FB0B41CAC61F}"/>
    <cellStyle name="Currency 5 3 3 3 5" xfId="9292" xr:uid="{D0504E4A-29D9-49D6-AB9A-352E919E62ED}"/>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24501" xr:uid="{FE75A775-34E0-4BAB-B16A-64DDA283792C}"/>
    <cellStyle name="Currency 5 3 3 4 2 2 3" xfId="16067" xr:uid="{E706EF69-22BF-4B3E-8C57-B7F1F700AD19}"/>
    <cellStyle name="Currency 5 3 3 4 2 3" xfId="20284" xr:uid="{46156BBA-EF0F-4B0D-86E9-688F8AA69510}"/>
    <cellStyle name="Currency 5 3 3 4 2 4" xfId="11850" xr:uid="{DE666632-E95B-4974-A875-1BFF9DBA056F}"/>
    <cellStyle name="Currency 5 3 3 4 3" xfId="5484" xr:uid="{00000000-0005-0000-0000-0000FD0C0000}"/>
    <cellStyle name="Currency 5 3 3 4 3 2" xfId="22356" xr:uid="{B6363ACA-2670-42F6-95E8-2150F61A6AE2}"/>
    <cellStyle name="Currency 5 3 3 4 3 3" xfId="13922" xr:uid="{1F64EA10-B240-475B-8F28-12E26695DC2C}"/>
    <cellStyle name="Currency 5 3 3 4 4" xfId="18139" xr:uid="{4BA6D2ED-C2D3-43DA-9985-8951B9DE0D05}"/>
    <cellStyle name="Currency 5 3 3 4 5" xfId="9705" xr:uid="{65B03214-DA1B-4BD0-AF76-075EFB14BB2F}"/>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24914" xr:uid="{4FE00045-350A-4CF6-8ACE-FCC2ED06FC4C}"/>
    <cellStyle name="Currency 5 3 3 5 2 2 3" xfId="16480" xr:uid="{C2ACC97E-C6D8-4B91-8124-0CD053FDB23A}"/>
    <cellStyle name="Currency 5 3 3 5 2 3" xfId="20697" xr:uid="{8FEA85C6-27CD-47EF-89D6-94FD0452756B}"/>
    <cellStyle name="Currency 5 3 3 5 2 4" xfId="12263" xr:uid="{306851CF-3323-4BE0-952B-0E4EAFAC66CA}"/>
    <cellStyle name="Currency 5 3 3 5 3" xfId="5897" xr:uid="{00000000-0005-0000-0000-0000010D0000}"/>
    <cellStyle name="Currency 5 3 3 5 3 2" xfId="22769" xr:uid="{ED4FCFC1-6491-4542-B3A7-DE096C05A57D}"/>
    <cellStyle name="Currency 5 3 3 5 3 3" xfId="14335" xr:uid="{D1DD6810-4DF1-450F-8CAC-D358267067A2}"/>
    <cellStyle name="Currency 5 3 3 5 4" xfId="18552" xr:uid="{551D7373-C5B5-4F76-9BBB-D327963FDF52}"/>
    <cellStyle name="Currency 5 3 3 5 5" xfId="10118" xr:uid="{A6E6E2BA-9B4C-4BCB-B7EB-7AF0DC3447D9}"/>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25327" xr:uid="{8F08CAC8-6494-44FF-AAFC-15F3A19F6BDC}"/>
    <cellStyle name="Currency 5 3 3 6 2 2 3" xfId="16893" xr:uid="{15DEFCA4-8EF6-450C-A279-68EE4769D30F}"/>
    <cellStyle name="Currency 5 3 3 6 2 3" xfId="21110" xr:uid="{173F6647-50F7-40AC-A2A6-EE8F9D54B273}"/>
    <cellStyle name="Currency 5 3 3 6 2 4" xfId="12676" xr:uid="{73470637-3015-4CD3-B063-60151AC32A7D}"/>
    <cellStyle name="Currency 5 3 3 6 3" xfId="6310" xr:uid="{00000000-0005-0000-0000-0000050D0000}"/>
    <cellStyle name="Currency 5 3 3 6 3 2" xfId="23182" xr:uid="{7933104F-D269-48F1-AC64-EB3238098B85}"/>
    <cellStyle name="Currency 5 3 3 6 3 3" xfId="14748" xr:uid="{D3C745E5-1C1D-4AAC-B532-B38E8BDCB249}"/>
    <cellStyle name="Currency 5 3 3 6 4" xfId="18965" xr:uid="{4157825A-CA52-49F3-AED2-17CD46A785F4}"/>
    <cellStyle name="Currency 5 3 3 6 5" xfId="10531" xr:uid="{AB385C5A-07A6-466C-92D1-FD01778DA090}"/>
    <cellStyle name="Currency 5 3 3 7" xfId="2438" xr:uid="{00000000-0005-0000-0000-0000060D0000}"/>
    <cellStyle name="Currency 5 3 3 7 2" xfId="6723" xr:uid="{00000000-0005-0000-0000-0000070D0000}"/>
    <cellStyle name="Currency 5 3 3 7 2 2" xfId="23595" xr:uid="{9BAD338A-6462-44A7-A77F-10901C118D04}"/>
    <cellStyle name="Currency 5 3 3 7 2 3" xfId="15161" xr:uid="{5C4CF138-CA70-4BDF-A3BE-BB6FBE66FD4C}"/>
    <cellStyle name="Currency 5 3 3 7 3" xfId="19378" xr:uid="{E05584EF-C626-4005-83EC-AA000E2F7BA1}"/>
    <cellStyle name="Currency 5 3 3 7 4" xfId="10944" xr:uid="{7FD759A5-20D2-4736-9B40-EB4103BF16A0}"/>
    <cellStyle name="Currency 5 3 3 8" xfId="2735" xr:uid="{00000000-0005-0000-0000-0000080D0000}"/>
    <cellStyle name="Currency 5 3 3 9" xfId="2816" xr:uid="{00000000-0005-0000-0000-0000090D0000}"/>
    <cellStyle name="Currency 5 3 3 9 2" xfId="7040" xr:uid="{00000000-0005-0000-0000-00000A0D0000}"/>
    <cellStyle name="Currency 5 3 3 9 2 2" xfId="23912" xr:uid="{B180C7E2-B3BB-4EF4-B282-1C22F3BCA061}"/>
    <cellStyle name="Currency 5 3 3 9 2 3" xfId="15478" xr:uid="{18373F46-9147-491E-90D2-2E5670F9C421}"/>
    <cellStyle name="Currency 5 3 3 9 3" xfId="19695" xr:uid="{2B5DC613-656A-4C6E-8AC6-914069EAE2FB}"/>
    <cellStyle name="Currency 5 3 3 9 4" xfId="11261" xr:uid="{9DA83A01-69C3-4926-8696-80413A0A662A}"/>
    <cellStyle name="Currency 5 3 4" xfId="216" xr:uid="{00000000-0005-0000-0000-00000B0D0000}"/>
    <cellStyle name="Currency 5 3 4 10" xfId="17314" xr:uid="{1C525BCD-D812-4AB8-89F5-1E627E7F0C91}"/>
    <cellStyle name="Currency 5 3 4 11" xfId="8880" xr:uid="{D0A708C8-3351-4106-AB0A-9090F48207AB}"/>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24090" xr:uid="{77603B93-6C01-429F-8C1B-660A44149C7D}"/>
    <cellStyle name="Currency 5 3 4 2 2 2 3" xfId="15656" xr:uid="{347DABE7-4799-4AAF-B3BE-738F83A56F4D}"/>
    <cellStyle name="Currency 5 3 4 2 2 3" xfId="19873" xr:uid="{7D397276-84D6-4572-9F8E-E84A0237974C}"/>
    <cellStyle name="Currency 5 3 4 2 2 4" xfId="11439" xr:uid="{B8E68FD3-078C-4BE1-80A2-D64342561914}"/>
    <cellStyle name="Currency 5 3 4 2 3" xfId="5073" xr:uid="{00000000-0005-0000-0000-00000F0D0000}"/>
    <cellStyle name="Currency 5 3 4 2 3 2" xfId="21945" xr:uid="{7FAE2612-C0FA-475A-B0F4-DC99C9FAE0F2}"/>
    <cellStyle name="Currency 5 3 4 2 3 3" xfId="13511" xr:uid="{6D46CA47-CA40-4888-BA68-7301D79DB6FA}"/>
    <cellStyle name="Currency 5 3 4 2 4" xfId="17728" xr:uid="{66961BBD-99D2-4B1C-A1AC-9C71A6C2A6A8}"/>
    <cellStyle name="Currency 5 3 4 2 5" xfId="9294" xr:uid="{0214B3E5-5198-4738-8781-0F1B61D5EE5B}"/>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24503" xr:uid="{A18470CA-C227-4E23-AE88-3CAEDCBBCF18}"/>
    <cellStyle name="Currency 5 3 4 3 2 2 3" xfId="16069" xr:uid="{B87188E5-3CED-4349-B0D2-F45CABE93EFD}"/>
    <cellStyle name="Currency 5 3 4 3 2 3" xfId="20286" xr:uid="{E65A8515-0400-442C-B302-C1F29067BAF5}"/>
    <cellStyle name="Currency 5 3 4 3 2 4" xfId="11852" xr:uid="{ECFDFE8B-71D0-4F3D-BC13-9351836D6419}"/>
    <cellStyle name="Currency 5 3 4 3 3" xfId="5486" xr:uid="{00000000-0005-0000-0000-0000130D0000}"/>
    <cellStyle name="Currency 5 3 4 3 3 2" xfId="22358" xr:uid="{FFB52202-77E1-4BB0-931C-359EF57264CA}"/>
    <cellStyle name="Currency 5 3 4 3 3 3" xfId="13924" xr:uid="{4AA29D25-6CD7-4566-8810-D49C0A233EE5}"/>
    <cellStyle name="Currency 5 3 4 3 4" xfId="18141" xr:uid="{E087283C-1A8E-4878-A0F9-D2C0E249132B}"/>
    <cellStyle name="Currency 5 3 4 3 5" xfId="9707" xr:uid="{EA733A0F-6AB3-4EE7-93EE-5AA0A72AB4CC}"/>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24916" xr:uid="{0981F6B4-E194-488D-83E5-01780193D95A}"/>
    <cellStyle name="Currency 5 3 4 4 2 2 3" xfId="16482" xr:uid="{FDD24EB0-6791-4071-B65B-5E7298675D44}"/>
    <cellStyle name="Currency 5 3 4 4 2 3" xfId="20699" xr:uid="{6E484DB7-BB33-44F5-BC60-52EAF47979D2}"/>
    <cellStyle name="Currency 5 3 4 4 2 4" xfId="12265" xr:uid="{45A2DF72-52F7-4B01-ACED-A7F0F9A0BC26}"/>
    <cellStyle name="Currency 5 3 4 4 3" xfId="5899" xr:uid="{00000000-0005-0000-0000-0000170D0000}"/>
    <cellStyle name="Currency 5 3 4 4 3 2" xfId="22771" xr:uid="{CF1CF2B6-803B-4468-B34D-02C424CC5368}"/>
    <cellStyle name="Currency 5 3 4 4 3 3" xfId="14337" xr:uid="{03D711D4-00AC-44E1-8284-14B4A0CFE409}"/>
    <cellStyle name="Currency 5 3 4 4 4" xfId="18554" xr:uid="{5325605F-84DE-4BC9-8832-F37D91BE99F2}"/>
    <cellStyle name="Currency 5 3 4 4 5" xfId="10120" xr:uid="{38154D26-81A5-4DEC-A041-B80181A9BC4B}"/>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25329" xr:uid="{C1057EB2-E4AA-4BD0-9A76-6954444CC6F0}"/>
    <cellStyle name="Currency 5 3 4 5 2 2 3" xfId="16895" xr:uid="{B77FD3A0-B3A0-4FBF-A6CA-5FF53F25A15B}"/>
    <cellStyle name="Currency 5 3 4 5 2 3" xfId="21112" xr:uid="{4EF06543-8DFB-42FA-961C-B903E48F1DB1}"/>
    <cellStyle name="Currency 5 3 4 5 2 4" xfId="12678" xr:uid="{839536D0-6D03-4C3F-88E1-4552186ED7B8}"/>
    <cellStyle name="Currency 5 3 4 5 3" xfId="6312" xr:uid="{00000000-0005-0000-0000-00001B0D0000}"/>
    <cellStyle name="Currency 5 3 4 5 3 2" xfId="23184" xr:uid="{BD785960-42B6-4CB3-8FF8-D4A36C410E5F}"/>
    <cellStyle name="Currency 5 3 4 5 3 3" xfId="14750" xr:uid="{834F8E01-906A-4421-8676-07647A5AE143}"/>
    <cellStyle name="Currency 5 3 4 5 4" xfId="18967" xr:uid="{369E1E9A-2387-440B-8C2E-FBD86BAA438E}"/>
    <cellStyle name="Currency 5 3 4 5 5" xfId="10533" xr:uid="{9B911801-9C7E-49D0-9EF4-AE995A10AA5D}"/>
    <cellStyle name="Currency 5 3 4 6" xfId="2440" xr:uid="{00000000-0005-0000-0000-00001C0D0000}"/>
    <cellStyle name="Currency 5 3 4 6 2" xfId="6725" xr:uid="{00000000-0005-0000-0000-00001D0D0000}"/>
    <cellStyle name="Currency 5 3 4 6 2 2" xfId="23597" xr:uid="{67F41BE9-81DC-4304-BD85-89B56D449C54}"/>
    <cellStyle name="Currency 5 3 4 6 2 3" xfId="15163" xr:uid="{A2884388-4B74-464E-867F-70A9D7B195AE}"/>
    <cellStyle name="Currency 5 3 4 6 3" xfId="19380" xr:uid="{74C570BF-139F-4228-AEFC-861462F72A78}"/>
    <cellStyle name="Currency 5 3 4 6 4" xfId="10946" xr:uid="{AC1F7FB6-2FFC-441D-8CD7-31634DDA3FBE}"/>
    <cellStyle name="Currency 5 3 4 7" xfId="2737" xr:uid="{00000000-0005-0000-0000-00001E0D0000}"/>
    <cellStyle name="Currency 5 3 4 8" xfId="2818" xr:uid="{00000000-0005-0000-0000-00001F0D0000}"/>
    <cellStyle name="Currency 5 3 4 8 2" xfId="7042" xr:uid="{00000000-0005-0000-0000-0000200D0000}"/>
    <cellStyle name="Currency 5 3 4 8 2 2" xfId="23914" xr:uid="{7E8EF62D-8A68-416A-B2CA-9228624A247C}"/>
    <cellStyle name="Currency 5 3 4 8 2 3" xfId="15480" xr:uid="{DBA430AD-9855-4E34-AD3F-C8DD69968F56}"/>
    <cellStyle name="Currency 5 3 4 8 3" xfId="19697" xr:uid="{4DEA7215-2627-4D14-8E8D-D6DF78754464}"/>
    <cellStyle name="Currency 5 3 4 8 4" xfId="11263" xr:uid="{79F76F01-E32A-4994-9D2A-8DD19FC07D9F}"/>
    <cellStyle name="Currency 5 3 4 9" xfId="4659" xr:uid="{00000000-0005-0000-0000-0000210D0000}"/>
    <cellStyle name="Currency 5 3 4 9 2" xfId="21531" xr:uid="{8F3E12CB-54EE-4DA7-82DA-36C27F760AE1}"/>
    <cellStyle name="Currency 5 3 4 9 3" xfId="13097" xr:uid="{EA62E7A9-3A06-4301-9B9B-9E4AF4900A9E}"/>
    <cellStyle name="Currency 5 3 5" xfId="217" xr:uid="{00000000-0005-0000-0000-0000220D0000}"/>
    <cellStyle name="Currency 5 3 5 10" xfId="17315" xr:uid="{77BCC22F-CCCE-49DC-B5F5-832E5679E64E}"/>
    <cellStyle name="Currency 5 3 5 11" xfId="8881" xr:uid="{62C5601A-8A13-4735-B613-C29A8F312DC4}"/>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24091" xr:uid="{48AD07DA-5265-4365-94DD-A58D015DD050}"/>
    <cellStyle name="Currency 5 3 5 2 2 2 3" xfId="15657" xr:uid="{D2CD3EBC-E126-4A49-BFA8-28D52B203FF5}"/>
    <cellStyle name="Currency 5 3 5 2 2 3" xfId="19874" xr:uid="{BB512CD0-3020-463E-BA47-BB234C26261E}"/>
    <cellStyle name="Currency 5 3 5 2 2 4" xfId="11440" xr:uid="{E138D510-8F6A-4901-8E46-86719D452D68}"/>
    <cellStyle name="Currency 5 3 5 2 3" xfId="5074" xr:uid="{00000000-0005-0000-0000-0000260D0000}"/>
    <cellStyle name="Currency 5 3 5 2 3 2" xfId="21946" xr:uid="{3BCDE475-AF10-4BED-BEC0-660F3E420A4A}"/>
    <cellStyle name="Currency 5 3 5 2 3 3" xfId="13512" xr:uid="{5CC9BB5E-4365-4639-AF7C-2C8B4CC1CBA3}"/>
    <cellStyle name="Currency 5 3 5 2 4" xfId="17729" xr:uid="{6826D848-C147-47D1-845E-97918B80D060}"/>
    <cellStyle name="Currency 5 3 5 2 5" xfId="9295" xr:uid="{5BF42177-88C1-4306-B7F7-FE7C18592639}"/>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24504" xr:uid="{30ECBC19-2E29-4279-BEC8-C9D3BB2710ED}"/>
    <cellStyle name="Currency 5 3 5 3 2 2 3" xfId="16070" xr:uid="{2345FB8C-0229-423F-96F2-2ECAA54CF9D3}"/>
    <cellStyle name="Currency 5 3 5 3 2 3" xfId="20287" xr:uid="{700EF61F-F2AC-49E9-8A3F-40BAEB15F993}"/>
    <cellStyle name="Currency 5 3 5 3 2 4" xfId="11853" xr:uid="{6087E9BE-D0BB-4BA9-91EE-C004A46743F9}"/>
    <cellStyle name="Currency 5 3 5 3 3" xfId="5487" xr:uid="{00000000-0005-0000-0000-00002A0D0000}"/>
    <cellStyle name="Currency 5 3 5 3 3 2" xfId="22359" xr:uid="{5D6CBE59-C2DB-409B-9EC4-C1C657D9E738}"/>
    <cellStyle name="Currency 5 3 5 3 3 3" xfId="13925" xr:uid="{C3CB5B8A-A0EA-40E1-93AB-53C1A43CBF77}"/>
    <cellStyle name="Currency 5 3 5 3 4" xfId="18142" xr:uid="{5DD15ACD-54D4-4E6B-9E58-F619605A0F68}"/>
    <cellStyle name="Currency 5 3 5 3 5" xfId="9708" xr:uid="{EFF7C2A0-DDA9-4F6A-891A-187F2EC1C3F8}"/>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24917" xr:uid="{176DE16F-5E7A-4854-9C5E-66C7FFB87979}"/>
    <cellStyle name="Currency 5 3 5 4 2 2 3" xfId="16483" xr:uid="{048DBBCD-C23A-4C97-B722-8D867BFF652B}"/>
    <cellStyle name="Currency 5 3 5 4 2 3" xfId="20700" xr:uid="{D11514C6-B8B0-41E9-A276-F8C7D001F3FC}"/>
    <cellStyle name="Currency 5 3 5 4 2 4" xfId="12266" xr:uid="{6C7F511B-A0B5-4188-ACAC-99C67C207BF2}"/>
    <cellStyle name="Currency 5 3 5 4 3" xfId="5900" xr:uid="{00000000-0005-0000-0000-00002E0D0000}"/>
    <cellStyle name="Currency 5 3 5 4 3 2" xfId="22772" xr:uid="{54EEA6A8-FDAC-4F90-A01A-B454F7871B44}"/>
    <cellStyle name="Currency 5 3 5 4 3 3" xfId="14338" xr:uid="{B3CFF24E-BF5D-4F67-BFA8-06AE008048D8}"/>
    <cellStyle name="Currency 5 3 5 4 4" xfId="18555" xr:uid="{6DEBC10D-B6DC-4A41-9736-F279B7B86CAD}"/>
    <cellStyle name="Currency 5 3 5 4 5" xfId="10121" xr:uid="{CAF8AFE3-952F-402B-8268-A4ED0CB3ACEB}"/>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25330" xr:uid="{5D622129-F459-476F-92D8-E595584CEFD4}"/>
    <cellStyle name="Currency 5 3 5 5 2 2 3" xfId="16896" xr:uid="{C7717E00-22D9-40E1-97E3-372BDADBCC1D}"/>
    <cellStyle name="Currency 5 3 5 5 2 3" xfId="21113" xr:uid="{00347AC6-FDEE-4A52-A195-40D8269B17F0}"/>
    <cellStyle name="Currency 5 3 5 5 2 4" xfId="12679" xr:uid="{6C1670C3-A04E-4BA8-A883-9BBC538FA758}"/>
    <cellStyle name="Currency 5 3 5 5 3" xfId="6313" xr:uid="{00000000-0005-0000-0000-0000320D0000}"/>
    <cellStyle name="Currency 5 3 5 5 3 2" xfId="23185" xr:uid="{AF4E122F-2B67-4F63-BB92-179B0D4CCC1D}"/>
    <cellStyle name="Currency 5 3 5 5 3 3" xfId="14751" xr:uid="{15619A58-0EED-482E-AC97-440C1F899EFC}"/>
    <cellStyle name="Currency 5 3 5 5 4" xfId="18968" xr:uid="{54411732-C3FA-4E30-A571-EBDCF6B6DE77}"/>
    <cellStyle name="Currency 5 3 5 5 5" xfId="10534" xr:uid="{CF621D7D-6AA0-4484-81ED-09DC701B3477}"/>
    <cellStyle name="Currency 5 3 5 6" xfId="2441" xr:uid="{00000000-0005-0000-0000-0000330D0000}"/>
    <cellStyle name="Currency 5 3 5 6 2" xfId="6726" xr:uid="{00000000-0005-0000-0000-0000340D0000}"/>
    <cellStyle name="Currency 5 3 5 6 2 2" xfId="23598" xr:uid="{649BE6D5-C7B2-476D-91B7-2029B7277D71}"/>
    <cellStyle name="Currency 5 3 5 6 2 3" xfId="15164" xr:uid="{20C70A17-BB72-4614-9E20-2D5286F02174}"/>
    <cellStyle name="Currency 5 3 5 6 3" xfId="19381" xr:uid="{3E1E6A31-B59E-4580-9B27-2B798990CBC3}"/>
    <cellStyle name="Currency 5 3 5 6 4" xfId="10947" xr:uid="{323438C1-8F27-428D-9863-930B55204680}"/>
    <cellStyle name="Currency 5 3 5 7" xfId="2738" xr:uid="{00000000-0005-0000-0000-0000350D0000}"/>
    <cellStyle name="Currency 5 3 5 8" xfId="2819" xr:uid="{00000000-0005-0000-0000-0000360D0000}"/>
    <cellStyle name="Currency 5 3 5 8 2" xfId="7043" xr:uid="{00000000-0005-0000-0000-0000370D0000}"/>
    <cellStyle name="Currency 5 3 5 8 2 2" xfId="23915" xr:uid="{2F982FA4-C869-4B73-86F3-F399932E6A75}"/>
    <cellStyle name="Currency 5 3 5 8 2 3" xfId="15481" xr:uid="{53E17D04-AB5D-4F36-BD0B-7F34EEE604D3}"/>
    <cellStyle name="Currency 5 3 5 8 3" xfId="19698" xr:uid="{D7AD63B3-6D7D-4014-B9BC-13C675900C90}"/>
    <cellStyle name="Currency 5 3 5 8 4" xfId="11264" xr:uid="{F64D9AFD-0077-4854-967B-C06ED837AA46}"/>
    <cellStyle name="Currency 5 3 5 9" xfId="4660" xr:uid="{00000000-0005-0000-0000-0000380D0000}"/>
    <cellStyle name="Currency 5 3 5 9 2" xfId="21532" xr:uid="{CBEA43F5-431F-447C-85E7-1A238EFB5BE7}"/>
    <cellStyle name="Currency 5 3 5 9 3" xfId="13098" xr:uid="{A9F992D9-EA6E-4AE7-B5FE-9926B1052B98}"/>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21533" xr:uid="{A5F5DB79-6C66-4742-AE0F-F40065A44B62}"/>
    <cellStyle name="Currency 5 5 10 3" xfId="13099" xr:uid="{5D7A9AC0-04A0-498B-BBC9-D8C4302A3B3A}"/>
    <cellStyle name="Currency 5 5 11" xfId="17316" xr:uid="{5A7231F0-8893-435B-B6B0-D7A95A4B834B}"/>
    <cellStyle name="Currency 5 5 12" xfId="8882" xr:uid="{2546332C-E456-47D8-BD07-EEDC34D0156C}"/>
    <cellStyle name="Currency 5 5 2" xfId="220" xr:uid="{00000000-0005-0000-0000-00003D0D0000}"/>
    <cellStyle name="Currency 5 5 2 10" xfId="17317" xr:uid="{DC165D02-456D-45CE-BF04-6CD2B15E4699}"/>
    <cellStyle name="Currency 5 5 2 11" xfId="8883" xr:uid="{4792AE29-D689-42BD-B010-D90A110ED167}"/>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24093" xr:uid="{3DF3850D-D6B1-4331-8325-504D979B3570}"/>
    <cellStyle name="Currency 5 5 2 2 2 2 3" xfId="15659" xr:uid="{C75C2E1F-617D-4A78-A599-E33DF3757F80}"/>
    <cellStyle name="Currency 5 5 2 2 2 3" xfId="19876" xr:uid="{56E3D678-5893-4AD0-AD96-F7042287F304}"/>
    <cellStyle name="Currency 5 5 2 2 2 4" xfId="11442" xr:uid="{6ED08ABC-81DF-4A91-8482-5C95E44463DD}"/>
    <cellStyle name="Currency 5 5 2 2 3" xfId="5076" xr:uid="{00000000-0005-0000-0000-0000410D0000}"/>
    <cellStyle name="Currency 5 5 2 2 3 2" xfId="21948" xr:uid="{0B4849B4-CAAC-4316-86D0-33804F6C8CF3}"/>
    <cellStyle name="Currency 5 5 2 2 3 3" xfId="13514" xr:uid="{0A1F4FAC-55AB-4C52-A930-6193A0ED91E2}"/>
    <cellStyle name="Currency 5 5 2 2 4" xfId="17731" xr:uid="{407D917D-FD66-45C8-B0EE-3CC0DDD31614}"/>
    <cellStyle name="Currency 5 5 2 2 5" xfId="9297" xr:uid="{0B06883B-7AFF-46E8-BEE6-DE0532082CC9}"/>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24506" xr:uid="{25E2FB17-EFC7-4E3A-B403-40601B906655}"/>
    <cellStyle name="Currency 5 5 2 3 2 2 3" xfId="16072" xr:uid="{6FD3D14B-59A4-4BA1-9144-3ACAA1AE1485}"/>
    <cellStyle name="Currency 5 5 2 3 2 3" xfId="20289" xr:uid="{CC58FC73-7ABB-4864-A7DD-BB7831D93FE6}"/>
    <cellStyle name="Currency 5 5 2 3 2 4" xfId="11855" xr:uid="{89B6A8E0-3786-4BA8-8F49-6691A42A5047}"/>
    <cellStyle name="Currency 5 5 2 3 3" xfId="5489" xr:uid="{00000000-0005-0000-0000-0000450D0000}"/>
    <cellStyle name="Currency 5 5 2 3 3 2" xfId="22361" xr:uid="{BAE38FBF-0408-4F63-B792-F7EA3267FE78}"/>
    <cellStyle name="Currency 5 5 2 3 3 3" xfId="13927" xr:uid="{05371ADE-2C90-4A24-BD79-99731A1DCEFD}"/>
    <cellStyle name="Currency 5 5 2 3 4" xfId="18144" xr:uid="{BFA4A46F-CA3F-43C8-8F21-6340ED80B36F}"/>
    <cellStyle name="Currency 5 5 2 3 5" xfId="9710" xr:uid="{9778D51B-8144-420D-B319-34F8C52248C7}"/>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24919" xr:uid="{014EE30F-CDB4-4F05-9DD5-379E4EA40F9B}"/>
    <cellStyle name="Currency 5 5 2 4 2 2 3" xfId="16485" xr:uid="{AB4419B9-51ED-48C1-BAB9-81E7C6A93550}"/>
    <cellStyle name="Currency 5 5 2 4 2 3" xfId="20702" xr:uid="{48A0FBD1-845B-4AA8-A66A-507E5B9F1CC6}"/>
    <cellStyle name="Currency 5 5 2 4 2 4" xfId="12268" xr:uid="{2EFC4A87-D6A2-43F2-8215-57768D7F382F}"/>
    <cellStyle name="Currency 5 5 2 4 3" xfId="5902" xr:uid="{00000000-0005-0000-0000-0000490D0000}"/>
    <cellStyle name="Currency 5 5 2 4 3 2" xfId="22774" xr:uid="{7F82355C-CA51-44EB-8D1E-A6E2C109E010}"/>
    <cellStyle name="Currency 5 5 2 4 3 3" xfId="14340" xr:uid="{FB7E6D7D-3CA0-47B0-A8DB-DFB2A747FDCB}"/>
    <cellStyle name="Currency 5 5 2 4 4" xfId="18557" xr:uid="{B8AB2FEB-1123-4C68-B06D-C2087DF5D765}"/>
    <cellStyle name="Currency 5 5 2 4 5" xfId="10123" xr:uid="{CDEC2C29-2489-41F7-AEE6-C686C1D43279}"/>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25332" xr:uid="{3B1F0E56-7B16-4651-B5D8-8C8719AA9A59}"/>
    <cellStyle name="Currency 5 5 2 5 2 2 3" xfId="16898" xr:uid="{9B5CFC5A-17E5-443D-9ABC-8B91547C7319}"/>
    <cellStyle name="Currency 5 5 2 5 2 3" xfId="21115" xr:uid="{028A973C-CEC4-4F64-9EEF-A30B44D2BE87}"/>
    <cellStyle name="Currency 5 5 2 5 2 4" xfId="12681" xr:uid="{9CDA7BEF-247A-4941-A3C5-3FF9B952DAE4}"/>
    <cellStyle name="Currency 5 5 2 5 3" xfId="6315" xr:uid="{00000000-0005-0000-0000-00004D0D0000}"/>
    <cellStyle name="Currency 5 5 2 5 3 2" xfId="23187" xr:uid="{A9BACA68-9128-4DBB-BB02-F8664285D791}"/>
    <cellStyle name="Currency 5 5 2 5 3 3" xfId="14753" xr:uid="{68B32715-14A2-40A6-95F5-46E07C1EE833}"/>
    <cellStyle name="Currency 5 5 2 5 4" xfId="18970" xr:uid="{F6680511-428A-48DC-8B15-C9C32DE55B16}"/>
    <cellStyle name="Currency 5 5 2 5 5" xfId="10536" xr:uid="{3ABABAA7-904A-45BC-936F-26FB742E6259}"/>
    <cellStyle name="Currency 5 5 2 6" xfId="2443" xr:uid="{00000000-0005-0000-0000-00004E0D0000}"/>
    <cellStyle name="Currency 5 5 2 6 2" xfId="6728" xr:uid="{00000000-0005-0000-0000-00004F0D0000}"/>
    <cellStyle name="Currency 5 5 2 6 2 2" xfId="23600" xr:uid="{2E6672A0-A6CC-4210-B203-DA3351D61BCF}"/>
    <cellStyle name="Currency 5 5 2 6 2 3" xfId="15166" xr:uid="{102B4C36-DF5D-4370-ACCD-A247618E8E2D}"/>
    <cellStyle name="Currency 5 5 2 6 3" xfId="19383" xr:uid="{63A66AC1-6BEC-4AD5-84FC-25BDEF0C9A6B}"/>
    <cellStyle name="Currency 5 5 2 6 4" xfId="10949" xr:uid="{82D829FE-5A5C-41D4-8446-FA2956515DFC}"/>
    <cellStyle name="Currency 5 5 2 7" xfId="2740" xr:uid="{00000000-0005-0000-0000-0000500D0000}"/>
    <cellStyle name="Currency 5 5 2 8" xfId="2821" xr:uid="{00000000-0005-0000-0000-0000510D0000}"/>
    <cellStyle name="Currency 5 5 2 8 2" xfId="7045" xr:uid="{00000000-0005-0000-0000-0000520D0000}"/>
    <cellStyle name="Currency 5 5 2 8 2 2" xfId="23917" xr:uid="{D4E71998-2337-4829-9FF5-D894C0691F3C}"/>
    <cellStyle name="Currency 5 5 2 8 2 3" xfId="15483" xr:uid="{F62AF4C5-69CA-4EB3-864E-30E223791D23}"/>
    <cellStyle name="Currency 5 5 2 8 3" xfId="19700" xr:uid="{5465A13C-3D99-42F1-9E1A-7A2B123940C7}"/>
    <cellStyle name="Currency 5 5 2 8 4" xfId="11266" xr:uid="{F6B8C47A-404A-4153-AEAA-661D8F13F8AB}"/>
    <cellStyle name="Currency 5 5 2 9" xfId="4662" xr:uid="{00000000-0005-0000-0000-0000530D0000}"/>
    <cellStyle name="Currency 5 5 2 9 2" xfId="21534" xr:uid="{54C6A63D-5FCB-4C0F-BC0E-22177540A4AE}"/>
    <cellStyle name="Currency 5 5 2 9 3" xfId="13100" xr:uid="{32DFFDA7-D076-4903-8F5D-B4BF2194EE78}"/>
    <cellStyle name="Currency 5 5 3" xfId="745" xr:uid="{00000000-0005-0000-0000-0000540D0000}"/>
    <cellStyle name="Currency 5 5 3 2" xfId="2997" xr:uid="{00000000-0005-0000-0000-0000550D0000}"/>
    <cellStyle name="Currency 5 5 3 2 2" xfId="7220" xr:uid="{00000000-0005-0000-0000-0000560D0000}"/>
    <cellStyle name="Currency 5 5 3 2 2 2" xfId="24092" xr:uid="{F245948A-5E54-4E2E-96A6-A1901AF039AF}"/>
    <cellStyle name="Currency 5 5 3 2 2 3" xfId="15658" xr:uid="{19A52CFD-4B2C-406B-AA56-56178603AE07}"/>
    <cellStyle name="Currency 5 5 3 2 3" xfId="19875" xr:uid="{04B2E07A-A523-4E2C-88CA-CEE560BBAAE1}"/>
    <cellStyle name="Currency 5 5 3 2 4" xfId="11441" xr:uid="{AECF6338-AF7F-4F20-B6B9-3F0EDADDC5E1}"/>
    <cellStyle name="Currency 5 5 3 3" xfId="5075" xr:uid="{00000000-0005-0000-0000-0000570D0000}"/>
    <cellStyle name="Currency 5 5 3 3 2" xfId="21947" xr:uid="{2BFFFA4C-B62B-4EE6-9DB7-B75F757DE90B}"/>
    <cellStyle name="Currency 5 5 3 3 3" xfId="13513" xr:uid="{C575A15B-BF71-4316-8A3A-971873034163}"/>
    <cellStyle name="Currency 5 5 3 4" xfId="17730" xr:uid="{943C484C-69F3-49C5-91F4-85B4800D2C12}"/>
    <cellStyle name="Currency 5 5 3 5" xfId="9296" xr:uid="{E1D6BEA0-2D33-4792-B1E4-AD7702EC089C}"/>
    <cellStyle name="Currency 5 5 4" xfId="1179" xr:uid="{00000000-0005-0000-0000-0000580D0000}"/>
    <cellStyle name="Currency 5 5 4 2" xfId="3410" xr:uid="{00000000-0005-0000-0000-0000590D0000}"/>
    <cellStyle name="Currency 5 5 4 2 2" xfId="7633" xr:uid="{00000000-0005-0000-0000-00005A0D0000}"/>
    <cellStyle name="Currency 5 5 4 2 2 2" xfId="24505" xr:uid="{F0794B85-0A28-4F52-B073-7ECE788B08C7}"/>
    <cellStyle name="Currency 5 5 4 2 2 3" xfId="16071" xr:uid="{72616363-BF4A-4735-8C34-BB1851332F03}"/>
    <cellStyle name="Currency 5 5 4 2 3" xfId="20288" xr:uid="{F64D23BA-569E-4B19-BA3A-6425640A057F}"/>
    <cellStyle name="Currency 5 5 4 2 4" xfId="11854" xr:uid="{2E496639-200A-460C-9933-A27837376A78}"/>
    <cellStyle name="Currency 5 5 4 3" xfId="5488" xr:uid="{00000000-0005-0000-0000-00005B0D0000}"/>
    <cellStyle name="Currency 5 5 4 3 2" xfId="22360" xr:uid="{200A0310-C203-4C8E-8478-409CEC26DBF8}"/>
    <cellStyle name="Currency 5 5 4 3 3" xfId="13926" xr:uid="{A381D676-C78C-4FF2-9AA9-A6371332E44A}"/>
    <cellStyle name="Currency 5 5 4 4" xfId="18143" xr:uid="{A26F2E12-9823-4FBF-96A8-936DB21B97D3}"/>
    <cellStyle name="Currency 5 5 4 5" xfId="9709" xr:uid="{15617AB3-CF71-4861-8F1A-D5477D1328F4}"/>
    <cellStyle name="Currency 5 5 5" xfId="1593" xr:uid="{00000000-0005-0000-0000-00005C0D0000}"/>
    <cellStyle name="Currency 5 5 5 2" xfId="3823" xr:uid="{00000000-0005-0000-0000-00005D0D0000}"/>
    <cellStyle name="Currency 5 5 5 2 2" xfId="8046" xr:uid="{00000000-0005-0000-0000-00005E0D0000}"/>
    <cellStyle name="Currency 5 5 5 2 2 2" xfId="24918" xr:uid="{CB1329E2-E280-47DE-A9D4-09991110F2F2}"/>
    <cellStyle name="Currency 5 5 5 2 2 3" xfId="16484" xr:uid="{DF46EAE2-7DD2-46BA-933E-0EDA23B346F8}"/>
    <cellStyle name="Currency 5 5 5 2 3" xfId="20701" xr:uid="{E8C922BC-0920-4902-A8B8-D7DA8ABDC781}"/>
    <cellStyle name="Currency 5 5 5 2 4" xfId="12267" xr:uid="{B79A18BA-6FF7-4B2F-BEA6-ECF931DD5738}"/>
    <cellStyle name="Currency 5 5 5 3" xfId="5901" xr:uid="{00000000-0005-0000-0000-00005F0D0000}"/>
    <cellStyle name="Currency 5 5 5 3 2" xfId="22773" xr:uid="{35899721-1E91-4CA1-8D0A-7D68B4071F77}"/>
    <cellStyle name="Currency 5 5 5 3 3" xfId="14339" xr:uid="{FF2C714C-C9BF-47F3-89E6-3631CADEBDAA}"/>
    <cellStyle name="Currency 5 5 5 4" xfId="18556" xr:uid="{37507C7A-4C6B-4F68-A561-F0395A0A3A76}"/>
    <cellStyle name="Currency 5 5 5 5" xfId="10122" xr:uid="{A1EF4013-9295-438F-AFE3-6FBBA69F5564}"/>
    <cellStyle name="Currency 5 5 6" xfId="2007" xr:uid="{00000000-0005-0000-0000-0000600D0000}"/>
    <cellStyle name="Currency 5 5 6 2" xfId="4236" xr:uid="{00000000-0005-0000-0000-0000610D0000}"/>
    <cellStyle name="Currency 5 5 6 2 2" xfId="8459" xr:uid="{00000000-0005-0000-0000-0000620D0000}"/>
    <cellStyle name="Currency 5 5 6 2 2 2" xfId="25331" xr:uid="{95EECF66-5584-45A8-96DD-E3189896D884}"/>
    <cellStyle name="Currency 5 5 6 2 2 3" xfId="16897" xr:uid="{2FFF8EE6-9686-4F37-AEAC-BAED3E7ECC9F}"/>
    <cellStyle name="Currency 5 5 6 2 3" xfId="21114" xr:uid="{8B022C97-09F5-4D6B-A033-32A03FD6CC75}"/>
    <cellStyle name="Currency 5 5 6 2 4" xfId="12680" xr:uid="{DE829F3B-41BF-4445-8CAB-D42A63E54D4B}"/>
    <cellStyle name="Currency 5 5 6 3" xfId="6314" xr:uid="{00000000-0005-0000-0000-0000630D0000}"/>
    <cellStyle name="Currency 5 5 6 3 2" xfId="23186" xr:uid="{940726A0-82EC-4214-9471-E3CD5A476072}"/>
    <cellStyle name="Currency 5 5 6 3 3" xfId="14752" xr:uid="{BEA51792-097C-4392-A3F3-6275BB719317}"/>
    <cellStyle name="Currency 5 5 6 4" xfId="18969" xr:uid="{8D70E692-A664-4DFD-A131-6EA5526D4E4E}"/>
    <cellStyle name="Currency 5 5 6 5" xfId="10535" xr:uid="{220B0D11-5ED7-4976-94B1-A03D21D4B27C}"/>
    <cellStyle name="Currency 5 5 7" xfId="2442" xr:uid="{00000000-0005-0000-0000-0000640D0000}"/>
    <cellStyle name="Currency 5 5 7 2" xfId="6727" xr:uid="{00000000-0005-0000-0000-0000650D0000}"/>
    <cellStyle name="Currency 5 5 7 2 2" xfId="23599" xr:uid="{9E24C61E-7A90-4D93-99A5-166B058FAE3C}"/>
    <cellStyle name="Currency 5 5 7 2 3" xfId="15165" xr:uid="{945C96F0-963B-4A64-B988-BB5BE95CAE36}"/>
    <cellStyle name="Currency 5 5 7 3" xfId="19382" xr:uid="{55157852-FE55-4495-BB31-E80887D819D7}"/>
    <cellStyle name="Currency 5 5 7 4" xfId="10948" xr:uid="{0769BFC5-EE75-49CB-8D52-F08415AB6DF3}"/>
    <cellStyle name="Currency 5 5 8" xfId="2739" xr:uid="{00000000-0005-0000-0000-0000660D0000}"/>
    <cellStyle name="Currency 5 5 9" xfId="2820" xr:uid="{00000000-0005-0000-0000-0000670D0000}"/>
    <cellStyle name="Currency 5 5 9 2" xfId="7044" xr:uid="{00000000-0005-0000-0000-0000680D0000}"/>
    <cellStyle name="Currency 5 5 9 2 2" xfId="23916" xr:uid="{EAA6476B-DC99-4A20-B30C-6C31DF031D5A}"/>
    <cellStyle name="Currency 5 5 9 2 3" xfId="15482" xr:uid="{00C5AF85-2B99-47CE-A49E-90351BCB35F4}"/>
    <cellStyle name="Currency 5 5 9 3" xfId="19699" xr:uid="{0434CD0D-02B6-4C84-962F-A4DF2670C5A7}"/>
    <cellStyle name="Currency 5 5 9 4" xfId="11265" xr:uid="{1C4F2EB5-93AE-4E37-B264-4FE116448D0E}"/>
    <cellStyle name="Currency 5 6" xfId="221" xr:uid="{00000000-0005-0000-0000-0000690D0000}"/>
    <cellStyle name="Currency 5 6 10" xfId="17318" xr:uid="{4F016920-67C0-42C1-B85A-79AC72F47386}"/>
    <cellStyle name="Currency 5 6 11" xfId="8884" xr:uid="{40525EC4-7B16-437B-BA88-4501BF0E4045}"/>
    <cellStyle name="Currency 5 6 2" xfId="747" xr:uid="{00000000-0005-0000-0000-00006A0D0000}"/>
    <cellStyle name="Currency 5 6 2 2" xfId="2999" xr:uid="{00000000-0005-0000-0000-00006B0D0000}"/>
    <cellStyle name="Currency 5 6 2 2 2" xfId="7222" xr:uid="{00000000-0005-0000-0000-00006C0D0000}"/>
    <cellStyle name="Currency 5 6 2 2 2 2" xfId="24094" xr:uid="{A9A55D40-50CC-4FEB-9FFD-966104DA42AC}"/>
    <cellStyle name="Currency 5 6 2 2 2 3" xfId="15660" xr:uid="{218C0C61-95F1-493D-B6F0-D1000EDC9A8B}"/>
    <cellStyle name="Currency 5 6 2 2 3" xfId="19877" xr:uid="{F2978C07-0BFE-4347-86AD-9D24EF7C96AF}"/>
    <cellStyle name="Currency 5 6 2 2 4" xfId="11443" xr:uid="{3920DCC7-B95C-43D4-97EE-B0285736BE2B}"/>
    <cellStyle name="Currency 5 6 2 3" xfId="5077" xr:uid="{00000000-0005-0000-0000-00006D0D0000}"/>
    <cellStyle name="Currency 5 6 2 3 2" xfId="21949" xr:uid="{C5FD5BF8-2F2A-4D11-9AA7-91C3530B5F32}"/>
    <cellStyle name="Currency 5 6 2 3 3" xfId="13515" xr:uid="{4B3D025F-A1E1-45BC-8CE9-17C08C27A1E1}"/>
    <cellStyle name="Currency 5 6 2 4" xfId="17732" xr:uid="{F0FBB714-F98E-4D9D-B4EE-816E8908AD6D}"/>
    <cellStyle name="Currency 5 6 2 5" xfId="9298" xr:uid="{722B8646-C034-48F2-BC70-501773BBB4F1}"/>
    <cellStyle name="Currency 5 6 3" xfId="1181" xr:uid="{00000000-0005-0000-0000-00006E0D0000}"/>
    <cellStyle name="Currency 5 6 3 2" xfId="3412" xr:uid="{00000000-0005-0000-0000-00006F0D0000}"/>
    <cellStyle name="Currency 5 6 3 2 2" xfId="7635" xr:uid="{00000000-0005-0000-0000-0000700D0000}"/>
    <cellStyle name="Currency 5 6 3 2 2 2" xfId="24507" xr:uid="{33944769-BF9B-4DF7-ABCA-77F52D71B629}"/>
    <cellStyle name="Currency 5 6 3 2 2 3" xfId="16073" xr:uid="{8084536D-E530-4F5B-8D80-010FBE545F36}"/>
    <cellStyle name="Currency 5 6 3 2 3" xfId="20290" xr:uid="{E676972E-C637-4F75-A23F-932DA5C6883F}"/>
    <cellStyle name="Currency 5 6 3 2 4" xfId="11856" xr:uid="{2326262F-0BD0-4058-931F-2FDB69A786C6}"/>
    <cellStyle name="Currency 5 6 3 3" xfId="5490" xr:uid="{00000000-0005-0000-0000-0000710D0000}"/>
    <cellStyle name="Currency 5 6 3 3 2" xfId="22362" xr:uid="{A48160F8-C6A0-4860-9370-53136C44ECC3}"/>
    <cellStyle name="Currency 5 6 3 3 3" xfId="13928" xr:uid="{21A41B34-8DEC-4DF5-A45F-07BB9B089C09}"/>
    <cellStyle name="Currency 5 6 3 4" xfId="18145" xr:uid="{93BD80A8-52BE-4988-9AA8-5392C1F3FD22}"/>
    <cellStyle name="Currency 5 6 3 5" xfId="9711" xr:uid="{78D54385-C043-4EBD-A213-DCC58E2A6166}"/>
    <cellStyle name="Currency 5 6 4" xfId="1595" xr:uid="{00000000-0005-0000-0000-0000720D0000}"/>
    <cellStyle name="Currency 5 6 4 2" xfId="3825" xr:uid="{00000000-0005-0000-0000-0000730D0000}"/>
    <cellStyle name="Currency 5 6 4 2 2" xfId="8048" xr:uid="{00000000-0005-0000-0000-0000740D0000}"/>
    <cellStyle name="Currency 5 6 4 2 2 2" xfId="24920" xr:uid="{C6921068-E3F4-45E2-A754-D02C68094977}"/>
    <cellStyle name="Currency 5 6 4 2 2 3" xfId="16486" xr:uid="{4440F34C-4FBA-40EF-B268-CF10F7D8537B}"/>
    <cellStyle name="Currency 5 6 4 2 3" xfId="20703" xr:uid="{5DC92D66-FCB9-41DD-B0E1-4D756F161DAF}"/>
    <cellStyle name="Currency 5 6 4 2 4" xfId="12269" xr:uid="{33BD4972-E21E-40AA-83CC-AC6003C261D4}"/>
    <cellStyle name="Currency 5 6 4 3" xfId="5903" xr:uid="{00000000-0005-0000-0000-0000750D0000}"/>
    <cellStyle name="Currency 5 6 4 3 2" xfId="22775" xr:uid="{AE18E218-F145-4B78-98D5-5FA7CC028B09}"/>
    <cellStyle name="Currency 5 6 4 3 3" xfId="14341" xr:uid="{88DB8A4E-069D-4EB6-A8DB-858E4A9B9C1D}"/>
    <cellStyle name="Currency 5 6 4 4" xfId="18558" xr:uid="{A23F52DF-C773-4845-9B02-AEBDBE1E97D6}"/>
    <cellStyle name="Currency 5 6 4 5" xfId="10124" xr:uid="{E55F3A6D-3C6B-4A27-B963-D8D77658499D}"/>
    <cellStyle name="Currency 5 6 5" xfId="2009" xr:uid="{00000000-0005-0000-0000-0000760D0000}"/>
    <cellStyle name="Currency 5 6 5 2" xfId="4238" xr:uid="{00000000-0005-0000-0000-0000770D0000}"/>
    <cellStyle name="Currency 5 6 5 2 2" xfId="8461" xr:uid="{00000000-0005-0000-0000-0000780D0000}"/>
    <cellStyle name="Currency 5 6 5 2 2 2" xfId="25333" xr:uid="{35553176-2690-40E6-9D9D-FD0A534F46A8}"/>
    <cellStyle name="Currency 5 6 5 2 2 3" xfId="16899" xr:uid="{297B4128-CE5E-4CAF-B802-F31B261A962A}"/>
    <cellStyle name="Currency 5 6 5 2 3" xfId="21116" xr:uid="{EC505A14-AD80-4B80-803E-0C6FDDC00C65}"/>
    <cellStyle name="Currency 5 6 5 2 4" xfId="12682" xr:uid="{F5DA7AB2-369E-421A-87A9-9C0E04A47FF8}"/>
    <cellStyle name="Currency 5 6 5 3" xfId="6316" xr:uid="{00000000-0005-0000-0000-0000790D0000}"/>
    <cellStyle name="Currency 5 6 5 3 2" xfId="23188" xr:uid="{A72A6DA7-856A-4D40-B3E7-869C9C994AC1}"/>
    <cellStyle name="Currency 5 6 5 3 3" xfId="14754" xr:uid="{849142F8-6B5D-4C07-97C0-38B3BCF53418}"/>
    <cellStyle name="Currency 5 6 5 4" xfId="18971" xr:uid="{2C4B88D8-4B8F-429F-80BB-86613E3E90FD}"/>
    <cellStyle name="Currency 5 6 5 5" xfId="10537" xr:uid="{A9FE6ACB-7B86-467D-AE38-56064EC9708C}"/>
    <cellStyle name="Currency 5 6 6" xfId="2444" xr:uid="{00000000-0005-0000-0000-00007A0D0000}"/>
    <cellStyle name="Currency 5 6 6 2" xfId="6729" xr:uid="{00000000-0005-0000-0000-00007B0D0000}"/>
    <cellStyle name="Currency 5 6 6 2 2" xfId="23601" xr:uid="{F5D39C28-8DDB-49FC-B42E-655D8A826834}"/>
    <cellStyle name="Currency 5 6 6 2 3" xfId="15167" xr:uid="{53C37623-7FB8-4902-A92C-9E88A9CE1EA3}"/>
    <cellStyle name="Currency 5 6 6 3" xfId="19384" xr:uid="{7242B559-3F1D-4B35-B181-52F06FD6A2BC}"/>
    <cellStyle name="Currency 5 6 6 4" xfId="10950" xr:uid="{EE9E1671-F09A-4B60-B0A8-5BC578707D3C}"/>
    <cellStyle name="Currency 5 6 7" xfId="2741" xr:uid="{00000000-0005-0000-0000-00007C0D0000}"/>
    <cellStyle name="Currency 5 6 8" xfId="2822" xr:uid="{00000000-0005-0000-0000-00007D0D0000}"/>
    <cellStyle name="Currency 5 6 8 2" xfId="7046" xr:uid="{00000000-0005-0000-0000-00007E0D0000}"/>
    <cellStyle name="Currency 5 6 8 2 2" xfId="23918" xr:uid="{A2796212-2391-4925-9679-2F8EB0D68B1C}"/>
    <cellStyle name="Currency 5 6 8 2 3" xfId="15484" xr:uid="{DF4732A3-D1FE-47F9-B275-E12ED26F40CF}"/>
    <cellStyle name="Currency 5 6 8 3" xfId="19701" xr:uid="{2A3412AB-0E9B-4CE1-8CF5-5C10FA873254}"/>
    <cellStyle name="Currency 5 6 8 4" xfId="11267" xr:uid="{76D5D1FF-7919-458C-8C02-91BF6D3CB04C}"/>
    <cellStyle name="Currency 5 6 9" xfId="4663" xr:uid="{00000000-0005-0000-0000-00007F0D0000}"/>
    <cellStyle name="Currency 5 6 9 2" xfId="21535" xr:uid="{72D44647-7745-4576-BB63-13DDB384FE36}"/>
    <cellStyle name="Currency 5 6 9 3" xfId="13101" xr:uid="{57CCE77B-0D0E-412F-AE92-9756FE300EBD}"/>
    <cellStyle name="Currency 5 7" xfId="222" xr:uid="{00000000-0005-0000-0000-0000800D0000}"/>
    <cellStyle name="Currency 5 7 10" xfId="17319" xr:uid="{AC237308-5946-4959-9A6D-E84636CD9D9C}"/>
    <cellStyle name="Currency 5 7 11" xfId="8885" xr:uid="{0F77AAA5-2B13-4BB2-AA2D-EA11EA70E86F}"/>
    <cellStyle name="Currency 5 7 2" xfId="748" xr:uid="{00000000-0005-0000-0000-0000810D0000}"/>
    <cellStyle name="Currency 5 7 2 2" xfId="3000" xr:uid="{00000000-0005-0000-0000-0000820D0000}"/>
    <cellStyle name="Currency 5 7 2 2 2" xfId="7223" xr:uid="{00000000-0005-0000-0000-0000830D0000}"/>
    <cellStyle name="Currency 5 7 2 2 2 2" xfId="24095" xr:uid="{329B887E-4A31-456D-B887-3A0EED900742}"/>
    <cellStyle name="Currency 5 7 2 2 2 3" xfId="15661" xr:uid="{6E9F2D06-0A0E-496C-BE50-61ABE826F78C}"/>
    <cellStyle name="Currency 5 7 2 2 3" xfId="19878" xr:uid="{7BBD146A-495D-413E-915E-64C560A8708C}"/>
    <cellStyle name="Currency 5 7 2 2 4" xfId="11444" xr:uid="{0A862848-0C4E-4283-ADEB-C87F516E4FC7}"/>
    <cellStyle name="Currency 5 7 2 3" xfId="5078" xr:uid="{00000000-0005-0000-0000-0000840D0000}"/>
    <cellStyle name="Currency 5 7 2 3 2" xfId="21950" xr:uid="{A6670DAA-11A8-4B22-98D2-46C7F275AFEC}"/>
    <cellStyle name="Currency 5 7 2 3 3" xfId="13516" xr:uid="{D01B9675-A155-468D-846A-444585C3F91D}"/>
    <cellStyle name="Currency 5 7 2 4" xfId="17733" xr:uid="{F24662F9-0FD1-482E-93FE-4F1335D6FFAF}"/>
    <cellStyle name="Currency 5 7 2 5" xfId="9299" xr:uid="{A7FA19F5-D36C-4BED-BC75-AE4CF4C2C242}"/>
    <cellStyle name="Currency 5 7 3" xfId="1182" xr:uid="{00000000-0005-0000-0000-0000850D0000}"/>
    <cellStyle name="Currency 5 7 3 2" xfId="3413" xr:uid="{00000000-0005-0000-0000-0000860D0000}"/>
    <cellStyle name="Currency 5 7 3 2 2" xfId="7636" xr:uid="{00000000-0005-0000-0000-0000870D0000}"/>
    <cellStyle name="Currency 5 7 3 2 2 2" xfId="24508" xr:uid="{BF03B184-EAB6-46B4-9A21-7C84DBE5CA07}"/>
    <cellStyle name="Currency 5 7 3 2 2 3" xfId="16074" xr:uid="{0F751B69-2C34-49CE-A4F6-334C9ACCE9FE}"/>
    <cellStyle name="Currency 5 7 3 2 3" xfId="20291" xr:uid="{89FF499E-D054-41C3-9B16-773ED093DEB0}"/>
    <cellStyle name="Currency 5 7 3 2 4" xfId="11857" xr:uid="{E26BF044-EC0A-454D-BE9B-8002FB6DDAAD}"/>
    <cellStyle name="Currency 5 7 3 3" xfId="5491" xr:uid="{00000000-0005-0000-0000-0000880D0000}"/>
    <cellStyle name="Currency 5 7 3 3 2" xfId="22363" xr:uid="{503AF33B-7C1C-4C07-BA98-E374ED088972}"/>
    <cellStyle name="Currency 5 7 3 3 3" xfId="13929" xr:uid="{678C03AA-C167-4E27-B482-21E4A9281DC5}"/>
    <cellStyle name="Currency 5 7 3 4" xfId="18146" xr:uid="{8B405B23-6C42-4DC7-900C-530A4BDAC302}"/>
    <cellStyle name="Currency 5 7 3 5" xfId="9712" xr:uid="{3B7CAFA5-5815-47CD-AD93-6A43F33DDABB}"/>
    <cellStyle name="Currency 5 7 4" xfId="1596" xr:uid="{00000000-0005-0000-0000-0000890D0000}"/>
    <cellStyle name="Currency 5 7 4 2" xfId="3826" xr:uid="{00000000-0005-0000-0000-00008A0D0000}"/>
    <cellStyle name="Currency 5 7 4 2 2" xfId="8049" xr:uid="{00000000-0005-0000-0000-00008B0D0000}"/>
    <cellStyle name="Currency 5 7 4 2 2 2" xfId="24921" xr:uid="{6EC21BF3-9633-4027-BCD2-AD78FCD7FF4C}"/>
    <cellStyle name="Currency 5 7 4 2 2 3" xfId="16487" xr:uid="{7ECEACF9-13D9-4C80-B622-FABFDCC093C8}"/>
    <cellStyle name="Currency 5 7 4 2 3" xfId="20704" xr:uid="{18A5613A-502C-48BB-B510-D02A1F2C9265}"/>
    <cellStyle name="Currency 5 7 4 2 4" xfId="12270" xr:uid="{AD901CF9-1E3E-4E46-BC13-9229E4D9FB36}"/>
    <cellStyle name="Currency 5 7 4 3" xfId="5904" xr:uid="{00000000-0005-0000-0000-00008C0D0000}"/>
    <cellStyle name="Currency 5 7 4 3 2" xfId="22776" xr:uid="{665DA464-4691-4ADB-A269-AED475A6C50F}"/>
    <cellStyle name="Currency 5 7 4 3 3" xfId="14342" xr:uid="{17BFE121-2F96-4507-AED8-AD9E3FD1C553}"/>
    <cellStyle name="Currency 5 7 4 4" xfId="18559" xr:uid="{F967C596-6E9B-4B62-851D-40C5915FD4E0}"/>
    <cellStyle name="Currency 5 7 4 5" xfId="10125" xr:uid="{FDD425DC-C10F-4969-BE17-560EFF5E9DC1}"/>
    <cellStyle name="Currency 5 7 5" xfId="2010" xr:uid="{00000000-0005-0000-0000-00008D0D0000}"/>
    <cellStyle name="Currency 5 7 5 2" xfId="4239" xr:uid="{00000000-0005-0000-0000-00008E0D0000}"/>
    <cellStyle name="Currency 5 7 5 2 2" xfId="8462" xr:uid="{00000000-0005-0000-0000-00008F0D0000}"/>
    <cellStyle name="Currency 5 7 5 2 2 2" xfId="25334" xr:uid="{D10D947A-2067-4298-BEFB-3535B5A5FD90}"/>
    <cellStyle name="Currency 5 7 5 2 2 3" xfId="16900" xr:uid="{D31B3E8F-E6E4-4119-ACC9-C324D42F20E7}"/>
    <cellStyle name="Currency 5 7 5 2 3" xfId="21117" xr:uid="{F96E9D60-9F81-4217-9363-672D6695491E}"/>
    <cellStyle name="Currency 5 7 5 2 4" xfId="12683" xr:uid="{4B1760ED-8618-4AA0-81E9-7C08C6261D52}"/>
    <cellStyle name="Currency 5 7 5 3" xfId="6317" xr:uid="{00000000-0005-0000-0000-0000900D0000}"/>
    <cellStyle name="Currency 5 7 5 3 2" xfId="23189" xr:uid="{FA9B8F34-D5FC-4AD1-99B1-6E3530CD7CBE}"/>
    <cellStyle name="Currency 5 7 5 3 3" xfId="14755" xr:uid="{DF10A4B5-60D4-4303-9EA1-05A0C44BA873}"/>
    <cellStyle name="Currency 5 7 5 4" xfId="18972" xr:uid="{190E0C60-8482-4FBD-B340-5DA6A2DB63D1}"/>
    <cellStyle name="Currency 5 7 5 5" xfId="10538" xr:uid="{9669758D-3725-47C3-84E3-A817FD54184B}"/>
    <cellStyle name="Currency 5 7 6" xfId="2445" xr:uid="{00000000-0005-0000-0000-0000910D0000}"/>
    <cellStyle name="Currency 5 7 6 2" xfId="6730" xr:uid="{00000000-0005-0000-0000-0000920D0000}"/>
    <cellStyle name="Currency 5 7 6 2 2" xfId="23602" xr:uid="{5EC47AC0-10FD-421D-9C70-402CE32CB544}"/>
    <cellStyle name="Currency 5 7 6 2 3" xfId="15168" xr:uid="{7067393C-C58A-48DD-A5F4-448E65A90D73}"/>
    <cellStyle name="Currency 5 7 6 3" xfId="19385" xr:uid="{B94393A2-6611-433C-8AA2-9A29CF1C5253}"/>
    <cellStyle name="Currency 5 7 6 4" xfId="10951" xr:uid="{910A951B-A79A-491F-A87F-CB9E020A4688}"/>
    <cellStyle name="Currency 5 7 7" xfId="2742" xr:uid="{00000000-0005-0000-0000-0000930D0000}"/>
    <cellStyle name="Currency 5 7 8" xfId="2823" xr:uid="{00000000-0005-0000-0000-0000940D0000}"/>
    <cellStyle name="Currency 5 7 8 2" xfId="7047" xr:uid="{00000000-0005-0000-0000-0000950D0000}"/>
    <cellStyle name="Currency 5 7 8 2 2" xfId="23919" xr:uid="{E72FAB20-3AAA-458A-8BC0-AF86A7F8A4F9}"/>
    <cellStyle name="Currency 5 7 8 2 3" xfId="15485" xr:uid="{1DD08BB0-2EBD-4721-BAEF-87BFCE2D95E4}"/>
    <cellStyle name="Currency 5 7 8 3" xfId="19702" xr:uid="{1DC97EAC-6D53-4E5D-A677-11FC0161FABC}"/>
    <cellStyle name="Currency 5 7 8 4" xfId="11268" xr:uid="{E5C481F1-238F-4D9A-B9AF-08F2862D3963}"/>
    <cellStyle name="Currency 5 7 9" xfId="4664" xr:uid="{00000000-0005-0000-0000-0000960D0000}"/>
    <cellStyle name="Currency 5 7 9 2" xfId="21536" xr:uid="{26EAF059-2D85-4387-8BD7-9BAFA8A61DD2}"/>
    <cellStyle name="Currency 5 7 9 3" xfId="13102" xr:uid="{D317FC1C-322D-4CBF-8789-23AB94C50A54}"/>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23603" xr:uid="{6F0C4395-C252-4FEC-8DF3-90F21E23BA6B}"/>
    <cellStyle name="Normal 12 10 2 3" xfId="15169" xr:uid="{5FCC7DFB-B0F1-41FA-A8D4-61684ABE94C2}"/>
    <cellStyle name="Normal 12 10 3" xfId="19386" xr:uid="{5222E953-71FD-4BB6-B2F1-5A58A551890F}"/>
    <cellStyle name="Normal 12 10 4" xfId="10952" xr:uid="{16A0E9C4-833A-4E6C-9DE7-9EF138A30C36}"/>
    <cellStyle name="Normal 12 11" xfId="4665" xr:uid="{00000000-0005-0000-0000-0000CC0D0000}"/>
    <cellStyle name="Normal 12 11 2" xfId="21537" xr:uid="{B16234A7-286F-467C-BD6F-F4168ACFBF1D}"/>
    <cellStyle name="Normal 12 11 3" xfId="13103" xr:uid="{11D5A31F-B5B0-41F9-B356-52F6DC3543A2}"/>
    <cellStyle name="Normal 12 12" xfId="17320" xr:uid="{EFB073A4-5DBC-4AE6-AC02-175D5DA1CE38}"/>
    <cellStyle name="Normal 12 13" xfId="8886" xr:uid="{CDD8C2D9-431B-4A25-BF2D-ED89E87BF30F}"/>
    <cellStyle name="Normal 12 2" xfId="260" xr:uid="{00000000-0005-0000-0000-0000CD0D0000}"/>
    <cellStyle name="Normal 12 2 10" xfId="17321" xr:uid="{9D44C64B-36EE-45B5-B0C7-6D4D58A5B1A5}"/>
    <cellStyle name="Normal 12 2 11" xfId="8887" xr:uid="{0FEB02F1-F9BD-4EA7-9B6F-6C45191A6850}"/>
    <cellStyle name="Normal 12 2 2" xfId="261" xr:uid="{00000000-0005-0000-0000-0000CE0D0000}"/>
    <cellStyle name="Normal 12 2 2 10" xfId="8888" xr:uid="{C07F172B-CDBC-4B73-AEFA-DBFABF074625}"/>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24099" xr:uid="{CBF750C0-D249-47DC-8669-E32F5DF3F440}"/>
    <cellStyle name="Normal 12 2 2 2 2 2 2 3" xfId="15665" xr:uid="{1CA311AB-7490-49A8-993F-0AD3FDDAC9FF}"/>
    <cellStyle name="Normal 12 2 2 2 2 2 3" xfId="19882" xr:uid="{FF485167-BC8E-4B7F-8051-B5DAB66ADDD7}"/>
    <cellStyle name="Normal 12 2 2 2 2 2 4" xfId="11448" xr:uid="{F8A70732-B689-4642-9970-66DF9BC500F4}"/>
    <cellStyle name="Normal 12 2 2 2 2 3" xfId="5082" xr:uid="{00000000-0005-0000-0000-0000D30D0000}"/>
    <cellStyle name="Normal 12 2 2 2 2 3 2" xfId="21954" xr:uid="{D5C4F686-9C18-481F-998C-3319C1D278A4}"/>
    <cellStyle name="Normal 12 2 2 2 2 3 3" xfId="13520" xr:uid="{AF9522E8-A5D5-4C04-9D36-9FF60F3DA0B2}"/>
    <cellStyle name="Normal 12 2 2 2 2 4" xfId="17737" xr:uid="{77585A73-E523-4E23-9B70-7E52067170B5}"/>
    <cellStyle name="Normal 12 2 2 2 2 5" xfId="9303" xr:uid="{B7109E2B-2666-4EFB-A9E6-97EC5EE0133F}"/>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24512" xr:uid="{1056B797-7585-4D5B-8186-8B71CD35548B}"/>
    <cellStyle name="Normal 12 2 2 2 3 2 2 3" xfId="16078" xr:uid="{F3F08F2D-09B6-43EF-8647-7F0D6DFA3B07}"/>
    <cellStyle name="Normal 12 2 2 2 3 2 3" xfId="20295" xr:uid="{D557558B-DECE-40EE-B73B-EC7CFEF37019}"/>
    <cellStyle name="Normal 12 2 2 2 3 2 4" xfId="11861" xr:uid="{85C282A4-2F5D-4A76-95CC-9E20F4BB1DFF}"/>
    <cellStyle name="Normal 12 2 2 2 3 3" xfId="5495" xr:uid="{00000000-0005-0000-0000-0000D70D0000}"/>
    <cellStyle name="Normal 12 2 2 2 3 3 2" xfId="22367" xr:uid="{7C6D319B-6DD8-4149-A63C-37CE224EDF12}"/>
    <cellStyle name="Normal 12 2 2 2 3 3 3" xfId="13933" xr:uid="{95F630FC-4A85-4183-979A-3A5C9B5E664F}"/>
    <cellStyle name="Normal 12 2 2 2 3 4" xfId="18150" xr:uid="{E8D5767C-C39B-4354-8D78-50EF59D146C6}"/>
    <cellStyle name="Normal 12 2 2 2 3 5" xfId="9716" xr:uid="{16091466-2132-42A5-94A1-961B628B8A27}"/>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24925" xr:uid="{FB78F10C-FD26-42CC-BA38-7B22CF842C7E}"/>
    <cellStyle name="Normal 12 2 2 2 4 2 2 3" xfId="16491" xr:uid="{1AA443E1-64E8-409C-98A0-8206777DDFD3}"/>
    <cellStyle name="Normal 12 2 2 2 4 2 3" xfId="20708" xr:uid="{A1BA7688-4DF7-4DAE-B7F3-A2F683576B91}"/>
    <cellStyle name="Normal 12 2 2 2 4 2 4" xfId="12274" xr:uid="{4FA7300E-14D8-4FE2-9B6C-D974477691EC}"/>
    <cellStyle name="Normal 12 2 2 2 4 3" xfId="5908" xr:uid="{00000000-0005-0000-0000-0000DB0D0000}"/>
    <cellStyle name="Normal 12 2 2 2 4 3 2" xfId="22780" xr:uid="{5F43A4BD-9E48-4CE3-9264-0A0463CA5C44}"/>
    <cellStyle name="Normal 12 2 2 2 4 3 3" xfId="14346" xr:uid="{B992BC03-EE21-47E1-BC11-AD33EAB028F0}"/>
    <cellStyle name="Normal 12 2 2 2 4 4" xfId="18563" xr:uid="{6A33FF57-425F-427B-98E3-CAAC352BE689}"/>
    <cellStyle name="Normal 12 2 2 2 4 5" xfId="10129" xr:uid="{21AB6AC3-0D9C-4A07-981F-FD55655EA2C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25338" xr:uid="{F307BE5F-D77A-4559-AF0C-181A20034B18}"/>
    <cellStyle name="Normal 12 2 2 2 5 2 2 3" xfId="16904" xr:uid="{754FF41D-70C0-4761-9B36-686EAF8E37D1}"/>
    <cellStyle name="Normal 12 2 2 2 5 2 3" xfId="21121" xr:uid="{3E5AFBC3-4162-45C8-9346-7AC6775638F5}"/>
    <cellStyle name="Normal 12 2 2 2 5 2 4" xfId="12687" xr:uid="{8D279D4C-09B6-41F3-815F-23DE7D379773}"/>
    <cellStyle name="Normal 12 2 2 2 5 3" xfId="6321" xr:uid="{00000000-0005-0000-0000-0000DF0D0000}"/>
    <cellStyle name="Normal 12 2 2 2 5 3 2" xfId="23193" xr:uid="{6B94D69B-DE0E-49F9-84C0-23CFAE8239DE}"/>
    <cellStyle name="Normal 12 2 2 2 5 3 3" xfId="14759" xr:uid="{870D9E8E-AEFE-4E65-90D0-7086914EAAA3}"/>
    <cellStyle name="Normal 12 2 2 2 5 4" xfId="18976" xr:uid="{81B9E55B-8463-497E-9644-ABB3379675A1}"/>
    <cellStyle name="Normal 12 2 2 2 5 5" xfId="10542" xr:uid="{92FEFFEE-D33A-4A1A-9FCF-F1E38C9EC374}"/>
    <cellStyle name="Normal 12 2 2 2 6" xfId="2450" xr:uid="{00000000-0005-0000-0000-0000E00D0000}"/>
    <cellStyle name="Normal 12 2 2 2 6 2" xfId="6734" xr:uid="{00000000-0005-0000-0000-0000E10D0000}"/>
    <cellStyle name="Normal 12 2 2 2 6 2 2" xfId="23606" xr:uid="{EF49337D-BB36-435F-BAA0-A421AC8F15E2}"/>
    <cellStyle name="Normal 12 2 2 2 6 2 3" xfId="15172" xr:uid="{C4CB9B19-448A-4841-A007-32A172D9D079}"/>
    <cellStyle name="Normal 12 2 2 2 6 3" xfId="19389" xr:uid="{F0707225-4185-46EE-B76F-C5A45F655455}"/>
    <cellStyle name="Normal 12 2 2 2 6 4" xfId="10955" xr:uid="{114FFF93-3D47-4A06-A1C8-BBF4DF501699}"/>
    <cellStyle name="Normal 12 2 2 2 7" xfId="4668" xr:uid="{00000000-0005-0000-0000-0000E20D0000}"/>
    <cellStyle name="Normal 12 2 2 2 7 2" xfId="21540" xr:uid="{DCD29039-CFE7-4A16-865A-89154EDE2B6E}"/>
    <cellStyle name="Normal 12 2 2 2 7 3" xfId="13106" xr:uid="{893CDE4F-994E-428A-BBDB-49E6E266146C}"/>
    <cellStyle name="Normal 12 2 2 2 8" xfId="17323" xr:uid="{543AA965-E9FC-467B-BB93-98D30EEF9868}"/>
    <cellStyle name="Normal 12 2 2 2 9" xfId="8889" xr:uid="{7D8CDE99-1FF9-4920-B561-A95EA33EBB21}"/>
    <cellStyle name="Normal 12 2 2 3" xfId="762" xr:uid="{00000000-0005-0000-0000-0000E30D0000}"/>
    <cellStyle name="Normal 12 2 2 3 2" xfId="3003" xr:uid="{00000000-0005-0000-0000-0000E40D0000}"/>
    <cellStyle name="Normal 12 2 2 3 2 2" xfId="7226" xr:uid="{00000000-0005-0000-0000-0000E50D0000}"/>
    <cellStyle name="Normal 12 2 2 3 2 2 2" xfId="24098" xr:uid="{F81B3C9C-1BF5-4E64-B526-09AAF2A2BC28}"/>
    <cellStyle name="Normal 12 2 2 3 2 2 3" xfId="15664" xr:uid="{68842EB7-72D5-4192-A90D-5A2F7F5C9F3D}"/>
    <cellStyle name="Normal 12 2 2 3 2 3" xfId="19881" xr:uid="{F001F8C8-E208-4FFD-AA99-7DD501EB71ED}"/>
    <cellStyle name="Normal 12 2 2 3 2 4" xfId="11447" xr:uid="{90B63620-EAAB-4303-B2D3-DE19F24B126C}"/>
    <cellStyle name="Normal 12 2 2 3 3" xfId="5081" xr:uid="{00000000-0005-0000-0000-0000E60D0000}"/>
    <cellStyle name="Normal 12 2 2 3 3 2" xfId="21953" xr:uid="{F38CFD16-DA15-4E8A-B259-6F980EB81823}"/>
    <cellStyle name="Normal 12 2 2 3 3 3" xfId="13519" xr:uid="{72570689-5FC0-4021-AEDC-7A9C04118A14}"/>
    <cellStyle name="Normal 12 2 2 3 4" xfId="17736" xr:uid="{41DF232D-044D-4073-9418-615F8F4D19D8}"/>
    <cellStyle name="Normal 12 2 2 3 5" xfId="9302" xr:uid="{2B81AAE0-C832-463F-8B8A-2B3975083BA1}"/>
    <cellStyle name="Normal 12 2 2 4" xfId="1185" xr:uid="{00000000-0005-0000-0000-0000E70D0000}"/>
    <cellStyle name="Normal 12 2 2 4 2" xfId="3416" xr:uid="{00000000-0005-0000-0000-0000E80D0000}"/>
    <cellStyle name="Normal 12 2 2 4 2 2" xfId="7639" xr:uid="{00000000-0005-0000-0000-0000E90D0000}"/>
    <cellStyle name="Normal 12 2 2 4 2 2 2" xfId="24511" xr:uid="{7A563995-88E7-484A-9F9A-501CC046B2E1}"/>
    <cellStyle name="Normal 12 2 2 4 2 2 3" xfId="16077" xr:uid="{CC83B83B-9B21-450B-807F-43D1F1BF8FD6}"/>
    <cellStyle name="Normal 12 2 2 4 2 3" xfId="20294" xr:uid="{27A78AB7-4CBB-4759-ADFA-051F0631D810}"/>
    <cellStyle name="Normal 12 2 2 4 2 4" xfId="11860" xr:uid="{DA424268-43D6-4FE9-8D54-EE60E519657C}"/>
    <cellStyle name="Normal 12 2 2 4 3" xfId="5494" xr:uid="{00000000-0005-0000-0000-0000EA0D0000}"/>
    <cellStyle name="Normal 12 2 2 4 3 2" xfId="22366" xr:uid="{E90B8336-3C40-45E1-924F-1EEBFB8488D8}"/>
    <cellStyle name="Normal 12 2 2 4 3 3" xfId="13932" xr:uid="{9B71238B-71BD-47AA-B2F4-4500C26A7249}"/>
    <cellStyle name="Normal 12 2 2 4 4" xfId="18149" xr:uid="{9A28AE07-6F5E-4B71-B8EE-DCF239B2C8D1}"/>
    <cellStyle name="Normal 12 2 2 4 5" xfId="9715" xr:uid="{73F18AD2-6E05-4B5C-81D1-BEDB65C34B2A}"/>
    <cellStyle name="Normal 12 2 2 5" xfId="1599" xr:uid="{00000000-0005-0000-0000-0000EB0D0000}"/>
    <cellStyle name="Normal 12 2 2 5 2" xfId="3829" xr:uid="{00000000-0005-0000-0000-0000EC0D0000}"/>
    <cellStyle name="Normal 12 2 2 5 2 2" xfId="8052" xr:uid="{00000000-0005-0000-0000-0000ED0D0000}"/>
    <cellStyle name="Normal 12 2 2 5 2 2 2" xfId="24924" xr:uid="{45B76114-AE7F-423D-9459-0B7CDE8F295A}"/>
    <cellStyle name="Normal 12 2 2 5 2 2 3" xfId="16490" xr:uid="{25AEF5B1-A897-4E35-B21A-DAF3ACFD0DE8}"/>
    <cellStyle name="Normal 12 2 2 5 2 3" xfId="20707" xr:uid="{800E9DA4-2330-4D52-A1E2-76086CF58484}"/>
    <cellStyle name="Normal 12 2 2 5 2 4" xfId="12273" xr:uid="{586CFDA7-FAF6-46CE-A117-C6C2DC2D1EE3}"/>
    <cellStyle name="Normal 12 2 2 5 3" xfId="5907" xr:uid="{00000000-0005-0000-0000-0000EE0D0000}"/>
    <cellStyle name="Normal 12 2 2 5 3 2" xfId="22779" xr:uid="{124AA832-11BA-4B0D-A6B7-A746347CAC9D}"/>
    <cellStyle name="Normal 12 2 2 5 3 3" xfId="14345" xr:uid="{721E4898-BFEB-4A5E-A90B-84BAC6658822}"/>
    <cellStyle name="Normal 12 2 2 5 4" xfId="18562" xr:uid="{2E771CA2-518C-4490-9329-8277A79FEDD9}"/>
    <cellStyle name="Normal 12 2 2 5 5" xfId="10128" xr:uid="{9FE2E59D-CBE0-491A-B4B1-60BDAE3BF85D}"/>
    <cellStyle name="Normal 12 2 2 6" xfId="2013" xr:uid="{00000000-0005-0000-0000-0000EF0D0000}"/>
    <cellStyle name="Normal 12 2 2 6 2" xfId="4242" xr:uid="{00000000-0005-0000-0000-0000F00D0000}"/>
    <cellStyle name="Normal 12 2 2 6 2 2" xfId="8465" xr:uid="{00000000-0005-0000-0000-0000F10D0000}"/>
    <cellStyle name="Normal 12 2 2 6 2 2 2" xfId="25337" xr:uid="{B89A8191-85F2-49C4-AE7D-CB7E7FD0E765}"/>
    <cellStyle name="Normal 12 2 2 6 2 2 3" xfId="16903" xr:uid="{3D56A9CD-9DB6-4516-B750-C9FB3AEABA17}"/>
    <cellStyle name="Normal 12 2 2 6 2 3" xfId="21120" xr:uid="{F24E5823-146D-44BD-84AE-B825D55E7DC6}"/>
    <cellStyle name="Normal 12 2 2 6 2 4" xfId="12686" xr:uid="{D5EA6E82-8EDE-498A-B273-2107C3E96DBD}"/>
    <cellStyle name="Normal 12 2 2 6 3" xfId="6320" xr:uid="{00000000-0005-0000-0000-0000F20D0000}"/>
    <cellStyle name="Normal 12 2 2 6 3 2" xfId="23192" xr:uid="{FE07AE7B-F631-4600-A627-9865E76F5FB0}"/>
    <cellStyle name="Normal 12 2 2 6 3 3" xfId="14758" xr:uid="{24F21C33-C6DD-493F-B3CB-64D9EE2C8753}"/>
    <cellStyle name="Normal 12 2 2 6 4" xfId="18975" xr:uid="{112D05B0-C3CC-49EF-B8EE-759FF2710694}"/>
    <cellStyle name="Normal 12 2 2 6 5" xfId="10541" xr:uid="{40F10F9F-3255-4C38-BF3A-BA772376977F}"/>
    <cellStyle name="Normal 12 2 2 7" xfId="2449" xr:uid="{00000000-0005-0000-0000-0000F30D0000}"/>
    <cellStyle name="Normal 12 2 2 7 2" xfId="6733" xr:uid="{00000000-0005-0000-0000-0000F40D0000}"/>
    <cellStyle name="Normal 12 2 2 7 2 2" xfId="23605" xr:uid="{086F29B1-954A-4E39-87D2-32E1C4F3E973}"/>
    <cellStyle name="Normal 12 2 2 7 2 3" xfId="15171" xr:uid="{88057B71-8D8F-42B4-AD74-D26643954DC4}"/>
    <cellStyle name="Normal 12 2 2 7 3" xfId="19388" xr:uid="{BD79D754-ECD6-4ECE-B0E3-E7567887FCEA}"/>
    <cellStyle name="Normal 12 2 2 7 4" xfId="10954" xr:uid="{7A96E5FB-EB94-4887-AF73-B901B9B27E7A}"/>
    <cellStyle name="Normal 12 2 2 8" xfId="4667" xr:uid="{00000000-0005-0000-0000-0000F50D0000}"/>
    <cellStyle name="Normal 12 2 2 8 2" xfId="21539" xr:uid="{FF737FE0-280F-48AE-8F50-FC6A7F4E640B}"/>
    <cellStyle name="Normal 12 2 2 8 3" xfId="13105" xr:uid="{4EB269F9-708A-4412-82FF-8E87527FCBB2}"/>
    <cellStyle name="Normal 12 2 2 9" xfId="17322" xr:uid="{5BB84005-E83E-4D94-ABEC-B9303E5D2F11}"/>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24100" xr:uid="{D045457F-9D85-4AAE-9C5D-9C10E6FF71C5}"/>
    <cellStyle name="Normal 12 2 3 2 2 2 3" xfId="15666" xr:uid="{8C0589A0-5C3D-487C-9575-1D7BA20BE6D0}"/>
    <cellStyle name="Normal 12 2 3 2 2 3" xfId="19883" xr:uid="{9DAF1D5C-486F-4FD6-918E-D66D91046C3C}"/>
    <cellStyle name="Normal 12 2 3 2 2 4" xfId="11449" xr:uid="{C6D0BF11-E823-4847-92F7-BD38937F1558}"/>
    <cellStyle name="Normal 12 2 3 2 3" xfId="5083" xr:uid="{00000000-0005-0000-0000-0000FA0D0000}"/>
    <cellStyle name="Normal 12 2 3 2 3 2" xfId="21955" xr:uid="{213DB091-06CB-46B4-AD86-E6DE5F8236A5}"/>
    <cellStyle name="Normal 12 2 3 2 3 3" xfId="13521" xr:uid="{2BBAEC4C-EA6B-4E8E-8711-FAE5CB715479}"/>
    <cellStyle name="Normal 12 2 3 2 4" xfId="17738" xr:uid="{71F3A9A3-3F38-451D-9CB1-18D80A27A58C}"/>
    <cellStyle name="Normal 12 2 3 2 5" xfId="9304" xr:uid="{E10204F7-ACEE-4319-9232-0DCCDDF04C72}"/>
    <cellStyle name="Normal 12 2 3 3" xfId="1187" xr:uid="{00000000-0005-0000-0000-0000FB0D0000}"/>
    <cellStyle name="Normal 12 2 3 3 2" xfId="3418" xr:uid="{00000000-0005-0000-0000-0000FC0D0000}"/>
    <cellStyle name="Normal 12 2 3 3 2 2" xfId="7641" xr:uid="{00000000-0005-0000-0000-0000FD0D0000}"/>
    <cellStyle name="Normal 12 2 3 3 2 2 2" xfId="24513" xr:uid="{C69B4029-8531-4D32-9B98-F6111A3D2CF5}"/>
    <cellStyle name="Normal 12 2 3 3 2 2 3" xfId="16079" xr:uid="{24043308-237F-475A-A674-FFCEE9CCCB7E}"/>
    <cellStyle name="Normal 12 2 3 3 2 3" xfId="20296" xr:uid="{450EAC7A-D0AF-4D39-BBDD-C9DAFA063620}"/>
    <cellStyle name="Normal 12 2 3 3 2 4" xfId="11862" xr:uid="{29257643-428D-45FC-88E3-FBECD7755C32}"/>
    <cellStyle name="Normal 12 2 3 3 3" xfId="5496" xr:uid="{00000000-0005-0000-0000-0000FE0D0000}"/>
    <cellStyle name="Normal 12 2 3 3 3 2" xfId="22368" xr:uid="{D85C4A25-4620-4C61-B093-7554086FFEBF}"/>
    <cellStyle name="Normal 12 2 3 3 3 3" xfId="13934" xr:uid="{E2FFC92C-D44C-4944-B93A-4E28C06159A0}"/>
    <cellStyle name="Normal 12 2 3 3 4" xfId="18151" xr:uid="{087EF694-B011-45FB-BA70-1875796F2776}"/>
    <cellStyle name="Normal 12 2 3 3 5" xfId="9717" xr:uid="{258FCC6B-AC66-4508-9352-673819525D28}"/>
    <cellStyle name="Normal 12 2 3 4" xfId="1601" xr:uid="{00000000-0005-0000-0000-0000FF0D0000}"/>
    <cellStyle name="Normal 12 2 3 4 2" xfId="3831" xr:uid="{00000000-0005-0000-0000-0000000E0000}"/>
    <cellStyle name="Normal 12 2 3 4 2 2" xfId="8054" xr:uid="{00000000-0005-0000-0000-0000010E0000}"/>
    <cellStyle name="Normal 12 2 3 4 2 2 2" xfId="24926" xr:uid="{C3A48A42-6804-40A4-A08C-5683B608DC53}"/>
    <cellStyle name="Normal 12 2 3 4 2 2 3" xfId="16492" xr:uid="{266BB0DF-7291-4B76-8A33-D9DD87428D5C}"/>
    <cellStyle name="Normal 12 2 3 4 2 3" xfId="20709" xr:uid="{417FFEE1-F7C8-4016-94BF-36C9FADC8666}"/>
    <cellStyle name="Normal 12 2 3 4 2 4" xfId="12275" xr:uid="{5FD9B797-8CE5-493E-98EA-6E5F412FB390}"/>
    <cellStyle name="Normal 12 2 3 4 3" xfId="5909" xr:uid="{00000000-0005-0000-0000-0000020E0000}"/>
    <cellStyle name="Normal 12 2 3 4 3 2" xfId="22781" xr:uid="{7C92E204-B3B1-4495-8F0D-17FB3575BE24}"/>
    <cellStyle name="Normal 12 2 3 4 3 3" xfId="14347" xr:uid="{89D188C4-CC61-4CDB-BE79-6E70862EEA44}"/>
    <cellStyle name="Normal 12 2 3 4 4" xfId="18564" xr:uid="{F5D5A32B-E266-48E5-BD0B-DDC58B64CB8C}"/>
    <cellStyle name="Normal 12 2 3 4 5" xfId="10130" xr:uid="{C1C15912-0AB2-49E7-8813-32689D193EE9}"/>
    <cellStyle name="Normal 12 2 3 5" xfId="2015" xr:uid="{00000000-0005-0000-0000-0000030E0000}"/>
    <cellStyle name="Normal 12 2 3 5 2" xfId="4244" xr:uid="{00000000-0005-0000-0000-0000040E0000}"/>
    <cellStyle name="Normal 12 2 3 5 2 2" xfId="8467" xr:uid="{00000000-0005-0000-0000-0000050E0000}"/>
    <cellStyle name="Normal 12 2 3 5 2 2 2" xfId="25339" xr:uid="{B2ABDEA3-8B8C-41CA-8D4C-03C47407DD10}"/>
    <cellStyle name="Normal 12 2 3 5 2 2 3" xfId="16905" xr:uid="{4AC3C0D2-6751-4E24-84AE-40347FC87B1A}"/>
    <cellStyle name="Normal 12 2 3 5 2 3" xfId="21122" xr:uid="{2B38F48B-4877-4237-AF28-0E050473DAA3}"/>
    <cellStyle name="Normal 12 2 3 5 2 4" xfId="12688" xr:uid="{A0DF4221-7811-4383-A3D3-942A1613A9B5}"/>
    <cellStyle name="Normal 12 2 3 5 3" xfId="6322" xr:uid="{00000000-0005-0000-0000-0000060E0000}"/>
    <cellStyle name="Normal 12 2 3 5 3 2" xfId="23194" xr:uid="{67936040-CD17-4F4D-A860-FF2952CEAF9F}"/>
    <cellStyle name="Normal 12 2 3 5 3 3" xfId="14760" xr:uid="{7160E23F-A9B1-4FFD-9C59-425165210440}"/>
    <cellStyle name="Normal 12 2 3 5 4" xfId="18977" xr:uid="{56685979-0F17-4754-9D00-2FE48574E7D5}"/>
    <cellStyle name="Normal 12 2 3 5 5" xfId="10543" xr:uid="{943F1C36-3153-41CE-9ABE-6DA26EC67387}"/>
    <cellStyle name="Normal 12 2 3 6" xfId="2451" xr:uid="{00000000-0005-0000-0000-0000070E0000}"/>
    <cellStyle name="Normal 12 2 3 6 2" xfId="6735" xr:uid="{00000000-0005-0000-0000-0000080E0000}"/>
    <cellStyle name="Normal 12 2 3 6 2 2" xfId="23607" xr:uid="{30436D76-EA14-4366-82DA-10B9E2F0AEB3}"/>
    <cellStyle name="Normal 12 2 3 6 2 3" xfId="15173" xr:uid="{A488F82A-7F5E-4F06-8A12-1515BC08BA9C}"/>
    <cellStyle name="Normal 12 2 3 6 3" xfId="19390" xr:uid="{BD7F7B2C-8EEB-4CE3-BF3C-5403F715A944}"/>
    <cellStyle name="Normal 12 2 3 6 4" xfId="10956" xr:uid="{D84C4C25-1D70-4391-A0A7-2E5ECAAFC3FC}"/>
    <cellStyle name="Normal 12 2 3 7" xfId="4669" xr:uid="{00000000-0005-0000-0000-0000090E0000}"/>
    <cellStyle name="Normal 12 2 3 7 2" xfId="21541" xr:uid="{BCFDAC30-C152-449F-B807-841CE1D0EA20}"/>
    <cellStyle name="Normal 12 2 3 7 3" xfId="13107" xr:uid="{CD65C5CE-6074-4DC4-BD9D-B554A57BB9F2}"/>
    <cellStyle name="Normal 12 2 3 8" xfId="17324" xr:uid="{9B42ABC3-DED2-4355-9D41-CE68CF6662EF}"/>
    <cellStyle name="Normal 12 2 3 9" xfId="8890" xr:uid="{34C759CB-4DF6-4E46-A2A1-03B8D5D077A2}"/>
    <cellStyle name="Normal 12 2 4" xfId="761" xr:uid="{00000000-0005-0000-0000-00000A0E0000}"/>
    <cellStyle name="Normal 12 2 4 2" xfId="3002" xr:uid="{00000000-0005-0000-0000-00000B0E0000}"/>
    <cellStyle name="Normal 12 2 4 2 2" xfId="7225" xr:uid="{00000000-0005-0000-0000-00000C0E0000}"/>
    <cellStyle name="Normal 12 2 4 2 2 2" xfId="24097" xr:uid="{E5ADB206-3C4A-4C0A-8470-0555F422040A}"/>
    <cellStyle name="Normal 12 2 4 2 2 3" xfId="15663" xr:uid="{2F1B845E-97B6-4FD0-ACA6-4B8E16B3B2C4}"/>
    <cellStyle name="Normal 12 2 4 2 3" xfId="19880" xr:uid="{57C097BE-F6A2-46FB-B461-32EF51EE21DF}"/>
    <cellStyle name="Normal 12 2 4 2 4" xfId="11446" xr:uid="{E58043FA-1C66-4F3E-9B60-78A8C0D79B01}"/>
    <cellStyle name="Normal 12 2 4 3" xfId="5080" xr:uid="{00000000-0005-0000-0000-00000D0E0000}"/>
    <cellStyle name="Normal 12 2 4 3 2" xfId="21952" xr:uid="{C9F742A9-7E55-4F2A-9046-A4C6324877A4}"/>
    <cellStyle name="Normal 12 2 4 3 3" xfId="13518" xr:uid="{A12F3205-4EC6-4926-97BD-E7A90528F184}"/>
    <cellStyle name="Normal 12 2 4 4" xfId="17735" xr:uid="{F3BFD31A-47E9-4DA7-9676-BBF13244756A}"/>
    <cellStyle name="Normal 12 2 4 5" xfId="9301" xr:uid="{7B80A1CD-90B6-45A9-A3A8-8EE564014F9C}"/>
    <cellStyle name="Normal 12 2 5" xfId="1184" xr:uid="{00000000-0005-0000-0000-00000E0E0000}"/>
    <cellStyle name="Normal 12 2 5 2" xfId="3415" xr:uid="{00000000-0005-0000-0000-00000F0E0000}"/>
    <cellStyle name="Normal 12 2 5 2 2" xfId="7638" xr:uid="{00000000-0005-0000-0000-0000100E0000}"/>
    <cellStyle name="Normal 12 2 5 2 2 2" xfId="24510" xr:uid="{C93E158D-0493-4B7A-8164-D982E8444426}"/>
    <cellStyle name="Normal 12 2 5 2 2 3" xfId="16076" xr:uid="{04A948F0-0FE4-484F-B9AB-33BAD620CE6D}"/>
    <cellStyle name="Normal 12 2 5 2 3" xfId="20293" xr:uid="{2FFDC282-16D7-4714-86B3-6C548B683002}"/>
    <cellStyle name="Normal 12 2 5 2 4" xfId="11859" xr:uid="{295B3BC4-AA57-42AD-B37B-00D523E47FD2}"/>
    <cellStyle name="Normal 12 2 5 3" xfId="5493" xr:uid="{00000000-0005-0000-0000-0000110E0000}"/>
    <cellStyle name="Normal 12 2 5 3 2" xfId="22365" xr:uid="{65B5952E-49EA-44A2-8462-2C5559E86960}"/>
    <cellStyle name="Normal 12 2 5 3 3" xfId="13931" xr:uid="{2981BACB-36F0-4340-AD5B-7DF9CC780858}"/>
    <cellStyle name="Normal 12 2 5 4" xfId="18148" xr:uid="{19A8D492-9B35-4DDA-9373-FAA654F31B9C}"/>
    <cellStyle name="Normal 12 2 5 5" xfId="9714" xr:uid="{390FE1D3-1B05-473A-BBF1-A951E56790C8}"/>
    <cellStyle name="Normal 12 2 6" xfId="1598" xr:uid="{00000000-0005-0000-0000-0000120E0000}"/>
    <cellStyle name="Normal 12 2 6 2" xfId="3828" xr:uid="{00000000-0005-0000-0000-0000130E0000}"/>
    <cellStyle name="Normal 12 2 6 2 2" xfId="8051" xr:uid="{00000000-0005-0000-0000-0000140E0000}"/>
    <cellStyle name="Normal 12 2 6 2 2 2" xfId="24923" xr:uid="{32EC1EBB-6AD4-40DE-B62C-89DD077A8861}"/>
    <cellStyle name="Normal 12 2 6 2 2 3" xfId="16489" xr:uid="{B833ECEF-2AE0-42DE-BAB7-D4589F589EF3}"/>
    <cellStyle name="Normal 12 2 6 2 3" xfId="20706" xr:uid="{1BD4F87C-AFEB-407A-BECE-27B424FF0E3B}"/>
    <cellStyle name="Normal 12 2 6 2 4" xfId="12272" xr:uid="{DD01EF7F-D90F-4EFC-A26F-ABFB1F7E795F}"/>
    <cellStyle name="Normal 12 2 6 3" xfId="5906" xr:uid="{00000000-0005-0000-0000-0000150E0000}"/>
    <cellStyle name="Normal 12 2 6 3 2" xfId="22778" xr:uid="{98199851-E72E-4FE1-85A5-F09F4622D7B0}"/>
    <cellStyle name="Normal 12 2 6 3 3" xfId="14344" xr:uid="{E499A52A-2490-4807-9411-6C14FE43BF6A}"/>
    <cellStyle name="Normal 12 2 6 4" xfId="18561" xr:uid="{5A5D88AE-3D45-41C2-AF32-AF5501AD6C1B}"/>
    <cellStyle name="Normal 12 2 6 5" xfId="10127" xr:uid="{02317573-AEAF-4641-AA9E-6BECEE34505F}"/>
    <cellStyle name="Normal 12 2 7" xfId="2012" xr:uid="{00000000-0005-0000-0000-0000160E0000}"/>
    <cellStyle name="Normal 12 2 7 2" xfId="4241" xr:uid="{00000000-0005-0000-0000-0000170E0000}"/>
    <cellStyle name="Normal 12 2 7 2 2" xfId="8464" xr:uid="{00000000-0005-0000-0000-0000180E0000}"/>
    <cellStyle name="Normal 12 2 7 2 2 2" xfId="25336" xr:uid="{84B646EF-1565-436A-988D-04469D83EB13}"/>
    <cellStyle name="Normal 12 2 7 2 2 3" xfId="16902" xr:uid="{AD731A4C-27FE-40CF-86E9-E44EEA9A815F}"/>
    <cellStyle name="Normal 12 2 7 2 3" xfId="21119" xr:uid="{C4A0EF95-CFB7-438F-8664-0CC39EBE26C5}"/>
    <cellStyle name="Normal 12 2 7 2 4" xfId="12685" xr:uid="{F28CDE7E-686F-44C0-BAD6-864400598BF5}"/>
    <cellStyle name="Normal 12 2 7 3" xfId="6319" xr:uid="{00000000-0005-0000-0000-0000190E0000}"/>
    <cellStyle name="Normal 12 2 7 3 2" xfId="23191" xr:uid="{80924E8A-225D-4499-BEB4-9D3583006681}"/>
    <cellStyle name="Normal 12 2 7 3 3" xfId="14757" xr:uid="{0DB47549-C066-4F01-9753-6FF89F62E6CF}"/>
    <cellStyle name="Normal 12 2 7 4" xfId="18974" xr:uid="{C753691D-31D6-48EC-8B1D-66675075B61E}"/>
    <cellStyle name="Normal 12 2 7 5" xfId="10540" xr:uid="{DF7740D4-84C5-41F2-B265-1E5A6DF58E8D}"/>
    <cellStyle name="Normal 12 2 8" xfId="2448" xr:uid="{00000000-0005-0000-0000-00001A0E0000}"/>
    <cellStyle name="Normal 12 2 8 2" xfId="6732" xr:uid="{00000000-0005-0000-0000-00001B0E0000}"/>
    <cellStyle name="Normal 12 2 8 2 2" xfId="23604" xr:uid="{079AE3CA-A149-413F-9FC8-CC05263531D1}"/>
    <cellStyle name="Normal 12 2 8 2 3" xfId="15170" xr:uid="{EC8721F1-F404-47AF-813F-875EE14036AC}"/>
    <cellStyle name="Normal 12 2 8 3" xfId="19387" xr:uid="{4948674A-CD9B-487A-B77A-AA6527358570}"/>
    <cellStyle name="Normal 12 2 8 4" xfId="10953" xr:uid="{90904125-FB53-4AE2-B783-F1822EFA11FA}"/>
    <cellStyle name="Normal 12 2 9" xfId="4666" xr:uid="{00000000-0005-0000-0000-00001C0E0000}"/>
    <cellStyle name="Normal 12 2 9 2" xfId="21538" xr:uid="{A4D35502-ABD0-4B63-903C-7024ACA65A65}"/>
    <cellStyle name="Normal 12 2 9 3" xfId="13104" xr:uid="{C7A47249-63C2-405A-9CDE-55F1C7BAD4F7}"/>
    <cellStyle name="Normal 12 3" xfId="264" xr:uid="{00000000-0005-0000-0000-00001D0E0000}"/>
    <cellStyle name="Normal 12 3 10" xfId="8891" xr:uid="{D28FF213-4978-497C-AC51-3FE93790C44E}"/>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24102" xr:uid="{ED1E649F-C98E-4400-BCFE-1D50CBE9E97E}"/>
    <cellStyle name="Normal 12 3 2 2 2 2 3" xfId="15668" xr:uid="{C85849AB-3387-4B0E-A6A6-3971966084EA}"/>
    <cellStyle name="Normal 12 3 2 2 2 3" xfId="19885" xr:uid="{7514146F-7623-45E9-981E-9CC4FBC5D19B}"/>
    <cellStyle name="Normal 12 3 2 2 2 4" xfId="11451" xr:uid="{16346797-DF0F-40B6-A1AD-194712B717B3}"/>
    <cellStyle name="Normal 12 3 2 2 3" xfId="5085" xr:uid="{00000000-0005-0000-0000-0000220E0000}"/>
    <cellStyle name="Normal 12 3 2 2 3 2" xfId="21957" xr:uid="{F3B6BA7E-16AD-4961-8801-9D9F669124D6}"/>
    <cellStyle name="Normal 12 3 2 2 3 3" xfId="13523" xr:uid="{A1089F0F-6944-4E08-B525-1007FF7F6A78}"/>
    <cellStyle name="Normal 12 3 2 2 4" xfId="17740" xr:uid="{CADC9D57-2F7F-4BDE-ADCE-45A6C5F49299}"/>
    <cellStyle name="Normal 12 3 2 2 5" xfId="9306" xr:uid="{DE22E058-A153-4C00-8139-CBF127E10BE5}"/>
    <cellStyle name="Normal 12 3 2 3" xfId="1189" xr:uid="{00000000-0005-0000-0000-0000230E0000}"/>
    <cellStyle name="Normal 12 3 2 3 2" xfId="3420" xr:uid="{00000000-0005-0000-0000-0000240E0000}"/>
    <cellStyle name="Normal 12 3 2 3 2 2" xfId="7643" xr:uid="{00000000-0005-0000-0000-0000250E0000}"/>
    <cellStyle name="Normal 12 3 2 3 2 2 2" xfId="24515" xr:uid="{C7A281C6-A757-4C4A-B544-89190CFAB5EA}"/>
    <cellStyle name="Normal 12 3 2 3 2 2 3" xfId="16081" xr:uid="{168A3668-BA00-4756-B723-58C184354B81}"/>
    <cellStyle name="Normal 12 3 2 3 2 3" xfId="20298" xr:uid="{3C28119A-252F-46F5-BBDC-760ACABA4453}"/>
    <cellStyle name="Normal 12 3 2 3 2 4" xfId="11864" xr:uid="{C32E5755-BB5D-4497-B7F8-5AD7006E1A31}"/>
    <cellStyle name="Normal 12 3 2 3 3" xfId="5498" xr:uid="{00000000-0005-0000-0000-0000260E0000}"/>
    <cellStyle name="Normal 12 3 2 3 3 2" xfId="22370" xr:uid="{8585F7C9-CB3E-4593-97B0-895A1B356997}"/>
    <cellStyle name="Normal 12 3 2 3 3 3" xfId="13936" xr:uid="{43581C1E-0327-4C83-9D27-799C6F0F8898}"/>
    <cellStyle name="Normal 12 3 2 3 4" xfId="18153" xr:uid="{6BFF708E-E559-4A44-8538-99F088903C01}"/>
    <cellStyle name="Normal 12 3 2 3 5" xfId="9719" xr:uid="{F31161D9-0BEC-4926-A6F0-C0192950AC0C}"/>
    <cellStyle name="Normal 12 3 2 4" xfId="1603" xr:uid="{00000000-0005-0000-0000-0000270E0000}"/>
    <cellStyle name="Normal 12 3 2 4 2" xfId="3833" xr:uid="{00000000-0005-0000-0000-0000280E0000}"/>
    <cellStyle name="Normal 12 3 2 4 2 2" xfId="8056" xr:uid="{00000000-0005-0000-0000-0000290E0000}"/>
    <cellStyle name="Normal 12 3 2 4 2 2 2" xfId="24928" xr:uid="{8746E1DE-4E2E-453D-B352-CED0F69BC8EE}"/>
    <cellStyle name="Normal 12 3 2 4 2 2 3" xfId="16494" xr:uid="{49FD7085-973B-4D79-8E0D-B90D5D857FEB}"/>
    <cellStyle name="Normal 12 3 2 4 2 3" xfId="20711" xr:uid="{CEEF05B1-263F-4436-BFB4-9D14902852F9}"/>
    <cellStyle name="Normal 12 3 2 4 2 4" xfId="12277" xr:uid="{B00CE35B-1201-489B-A114-9186824AE4DC}"/>
    <cellStyle name="Normal 12 3 2 4 3" xfId="5911" xr:uid="{00000000-0005-0000-0000-00002A0E0000}"/>
    <cellStyle name="Normal 12 3 2 4 3 2" xfId="22783" xr:uid="{484955BC-6831-46CC-9652-4710C65C1497}"/>
    <cellStyle name="Normal 12 3 2 4 3 3" xfId="14349" xr:uid="{5327E91C-4773-48C3-828E-607D69211A2E}"/>
    <cellStyle name="Normal 12 3 2 4 4" xfId="18566" xr:uid="{E29D8D65-B021-403D-A2B4-17C46A39837C}"/>
    <cellStyle name="Normal 12 3 2 4 5" xfId="10132" xr:uid="{6ADAF246-F50C-442C-94B6-8B1F1BB8F65A}"/>
    <cellStyle name="Normal 12 3 2 5" xfId="2017" xr:uid="{00000000-0005-0000-0000-00002B0E0000}"/>
    <cellStyle name="Normal 12 3 2 5 2" xfId="4246" xr:uid="{00000000-0005-0000-0000-00002C0E0000}"/>
    <cellStyle name="Normal 12 3 2 5 2 2" xfId="8469" xr:uid="{00000000-0005-0000-0000-00002D0E0000}"/>
    <cellStyle name="Normal 12 3 2 5 2 2 2" xfId="25341" xr:uid="{7F8F8A07-58C6-4157-BEB2-2CE0764F45CF}"/>
    <cellStyle name="Normal 12 3 2 5 2 2 3" xfId="16907" xr:uid="{B348BD6F-BDA0-47C9-8503-2ED5BEE6643B}"/>
    <cellStyle name="Normal 12 3 2 5 2 3" xfId="21124" xr:uid="{02914AB7-932D-4CE6-939B-91A373C8F801}"/>
    <cellStyle name="Normal 12 3 2 5 2 4" xfId="12690" xr:uid="{BA5ECB67-E28B-4D33-8921-52A94336C768}"/>
    <cellStyle name="Normal 12 3 2 5 3" xfId="6324" xr:uid="{00000000-0005-0000-0000-00002E0E0000}"/>
    <cellStyle name="Normal 12 3 2 5 3 2" xfId="23196" xr:uid="{4022ED46-435E-401B-BD2A-FC726A27AFC6}"/>
    <cellStyle name="Normal 12 3 2 5 3 3" xfId="14762" xr:uid="{1B8A3B26-DBB0-42E6-8590-1039897DF365}"/>
    <cellStyle name="Normal 12 3 2 5 4" xfId="18979" xr:uid="{5C54C569-72AC-4EE5-9858-E47BDFA4048A}"/>
    <cellStyle name="Normal 12 3 2 5 5" xfId="10545" xr:uid="{09CB66EE-31B2-405D-918B-953D8AB0661C}"/>
    <cellStyle name="Normal 12 3 2 6" xfId="2453" xr:uid="{00000000-0005-0000-0000-00002F0E0000}"/>
    <cellStyle name="Normal 12 3 2 6 2" xfId="6737" xr:uid="{00000000-0005-0000-0000-0000300E0000}"/>
    <cellStyle name="Normal 12 3 2 6 2 2" xfId="23609" xr:uid="{79D9C4C5-4B15-4266-87D8-97FFAAAEDC79}"/>
    <cellStyle name="Normal 12 3 2 6 2 3" xfId="15175" xr:uid="{3E486285-39AE-489C-8AAE-6A2E77F03E1C}"/>
    <cellStyle name="Normal 12 3 2 6 3" xfId="19392" xr:uid="{95BF7604-9D9F-42EF-8484-040C90F4A18C}"/>
    <cellStyle name="Normal 12 3 2 6 4" xfId="10958" xr:uid="{0EBED7E5-B65B-43F1-A2A6-C155C7601460}"/>
    <cellStyle name="Normal 12 3 2 7" xfId="4671" xr:uid="{00000000-0005-0000-0000-0000310E0000}"/>
    <cellStyle name="Normal 12 3 2 7 2" xfId="21543" xr:uid="{80BF2F3C-D66F-408C-9ABC-0F143DFDD161}"/>
    <cellStyle name="Normal 12 3 2 7 3" xfId="13109" xr:uid="{B64C0C33-B3FA-40A9-B204-64F2FC9CAB86}"/>
    <cellStyle name="Normal 12 3 2 8" xfId="17326" xr:uid="{38A8C356-10C0-4EBB-8199-BB3E7714077D}"/>
    <cellStyle name="Normal 12 3 2 9" xfId="8892" xr:uid="{1D6CE421-9A77-4B40-959A-63E1451DF84C}"/>
    <cellStyle name="Normal 12 3 3" xfId="765" xr:uid="{00000000-0005-0000-0000-0000320E0000}"/>
    <cellStyle name="Normal 12 3 3 2" xfId="3006" xr:uid="{00000000-0005-0000-0000-0000330E0000}"/>
    <cellStyle name="Normal 12 3 3 2 2" xfId="7229" xr:uid="{00000000-0005-0000-0000-0000340E0000}"/>
    <cellStyle name="Normal 12 3 3 2 2 2" xfId="24101" xr:uid="{16BBE03D-270D-44D1-8538-D16B9E3A6555}"/>
    <cellStyle name="Normal 12 3 3 2 2 3" xfId="15667" xr:uid="{AECFA5E0-C815-4358-88DB-3FD3F7969202}"/>
    <cellStyle name="Normal 12 3 3 2 3" xfId="19884" xr:uid="{E41A621B-B35E-41E9-B47E-66A4513E6D2D}"/>
    <cellStyle name="Normal 12 3 3 2 4" xfId="11450" xr:uid="{0205C10D-1E48-4BFE-B2D8-606C03030CD3}"/>
    <cellStyle name="Normal 12 3 3 3" xfId="5084" xr:uid="{00000000-0005-0000-0000-0000350E0000}"/>
    <cellStyle name="Normal 12 3 3 3 2" xfId="21956" xr:uid="{FE9A833A-9F97-4C97-BB7A-6B61D1653AD2}"/>
    <cellStyle name="Normal 12 3 3 3 3" xfId="13522" xr:uid="{7065A0EA-0A74-40AD-87E4-591D45A2F291}"/>
    <cellStyle name="Normal 12 3 3 4" xfId="17739" xr:uid="{1C33AAF4-275B-4F84-896E-21AEA82A36EE}"/>
    <cellStyle name="Normal 12 3 3 5" xfId="9305" xr:uid="{AECB6B54-EBC4-477A-AFE7-BED8507F0AD6}"/>
    <cellStyle name="Normal 12 3 4" xfId="1188" xr:uid="{00000000-0005-0000-0000-0000360E0000}"/>
    <cellStyle name="Normal 12 3 4 2" xfId="3419" xr:uid="{00000000-0005-0000-0000-0000370E0000}"/>
    <cellStyle name="Normal 12 3 4 2 2" xfId="7642" xr:uid="{00000000-0005-0000-0000-0000380E0000}"/>
    <cellStyle name="Normal 12 3 4 2 2 2" xfId="24514" xr:uid="{F05ADDAD-8798-4017-9234-33D5B43DD5F6}"/>
    <cellStyle name="Normal 12 3 4 2 2 3" xfId="16080" xr:uid="{0BD549C0-976D-4CE1-A8EF-51718E0FD386}"/>
    <cellStyle name="Normal 12 3 4 2 3" xfId="20297" xr:uid="{00EAA4A1-0897-45B3-9A30-E396808A1CB0}"/>
    <cellStyle name="Normal 12 3 4 2 4" xfId="11863" xr:uid="{04034B20-4496-4A1C-A959-B375B1F89B1E}"/>
    <cellStyle name="Normal 12 3 4 3" xfId="5497" xr:uid="{00000000-0005-0000-0000-0000390E0000}"/>
    <cellStyle name="Normal 12 3 4 3 2" xfId="22369" xr:uid="{D766807A-1B23-42DA-B3F1-1804BA05622D}"/>
    <cellStyle name="Normal 12 3 4 3 3" xfId="13935" xr:uid="{2C4AF5A0-5548-4573-8103-71D16FE3319E}"/>
    <cellStyle name="Normal 12 3 4 4" xfId="18152" xr:uid="{815E43B3-4E10-4B00-A67C-016B06A50865}"/>
    <cellStyle name="Normal 12 3 4 5" xfId="9718" xr:uid="{BC6FC7FA-7AAD-4B1D-A42F-CB03C70ED578}"/>
    <cellStyle name="Normal 12 3 5" xfId="1602" xr:uid="{00000000-0005-0000-0000-00003A0E0000}"/>
    <cellStyle name="Normal 12 3 5 2" xfId="3832" xr:uid="{00000000-0005-0000-0000-00003B0E0000}"/>
    <cellStyle name="Normal 12 3 5 2 2" xfId="8055" xr:uid="{00000000-0005-0000-0000-00003C0E0000}"/>
    <cellStyle name="Normal 12 3 5 2 2 2" xfId="24927" xr:uid="{A2E23506-8F65-4AA3-9FAC-E377B5638173}"/>
    <cellStyle name="Normal 12 3 5 2 2 3" xfId="16493" xr:uid="{467CC15B-E582-4C3F-B7B0-EDBF05452ABD}"/>
    <cellStyle name="Normal 12 3 5 2 3" xfId="20710" xr:uid="{4A84FA35-FE19-41B6-93E8-7ADD483CDD52}"/>
    <cellStyle name="Normal 12 3 5 2 4" xfId="12276" xr:uid="{66457BC4-CF8C-465D-8FB3-D31D5202448A}"/>
    <cellStyle name="Normal 12 3 5 3" xfId="5910" xr:uid="{00000000-0005-0000-0000-00003D0E0000}"/>
    <cellStyle name="Normal 12 3 5 3 2" xfId="22782" xr:uid="{3CB46840-5433-4431-87A8-76E24AC163B6}"/>
    <cellStyle name="Normal 12 3 5 3 3" xfId="14348" xr:uid="{6533DF2F-B523-4654-AAEF-C0D523462B43}"/>
    <cellStyle name="Normal 12 3 5 4" xfId="18565" xr:uid="{3CC98EC8-7989-45BA-ABE5-9A6A9F5DEE3A}"/>
    <cellStyle name="Normal 12 3 5 5" xfId="10131" xr:uid="{D9AD835D-60FE-4507-8147-18563AE3EBF3}"/>
    <cellStyle name="Normal 12 3 6" xfId="2016" xr:uid="{00000000-0005-0000-0000-00003E0E0000}"/>
    <cellStyle name="Normal 12 3 6 2" xfId="4245" xr:uid="{00000000-0005-0000-0000-00003F0E0000}"/>
    <cellStyle name="Normal 12 3 6 2 2" xfId="8468" xr:uid="{00000000-0005-0000-0000-0000400E0000}"/>
    <cellStyle name="Normal 12 3 6 2 2 2" xfId="25340" xr:uid="{E448217E-202A-4A63-A0FF-9A9750F7F535}"/>
    <cellStyle name="Normal 12 3 6 2 2 3" xfId="16906" xr:uid="{D49FA066-131B-4A8A-99C7-05FC9F2A817A}"/>
    <cellStyle name="Normal 12 3 6 2 3" xfId="21123" xr:uid="{9CA8DD27-B093-473D-8A27-84729EE290ED}"/>
    <cellStyle name="Normal 12 3 6 2 4" xfId="12689" xr:uid="{E699B24B-2A38-4AE6-B29E-6F77B8A047AD}"/>
    <cellStyle name="Normal 12 3 6 3" xfId="6323" xr:uid="{00000000-0005-0000-0000-0000410E0000}"/>
    <cellStyle name="Normal 12 3 6 3 2" xfId="23195" xr:uid="{049D84FC-A15F-4F40-B8C2-D469D4AB5B9C}"/>
    <cellStyle name="Normal 12 3 6 3 3" xfId="14761" xr:uid="{F2F6417E-3872-4B4C-BED7-CA55E502C062}"/>
    <cellStyle name="Normal 12 3 6 4" xfId="18978" xr:uid="{2198239E-B47F-4253-ABBD-968A64E1CAE4}"/>
    <cellStyle name="Normal 12 3 6 5" xfId="10544" xr:uid="{DB8D20DC-1E9B-4D9F-B81D-63EF1242A576}"/>
    <cellStyle name="Normal 12 3 7" xfId="2452" xr:uid="{00000000-0005-0000-0000-0000420E0000}"/>
    <cellStyle name="Normal 12 3 7 2" xfId="6736" xr:uid="{00000000-0005-0000-0000-0000430E0000}"/>
    <cellStyle name="Normal 12 3 7 2 2" xfId="23608" xr:uid="{588FBCE0-311F-4F71-8935-2F869D2AAEC1}"/>
    <cellStyle name="Normal 12 3 7 2 3" xfId="15174" xr:uid="{1F9A4703-6164-4164-8BEB-C848650E4F2C}"/>
    <cellStyle name="Normal 12 3 7 3" xfId="19391" xr:uid="{F9236E8F-C976-49E2-98FC-884C12FE1F58}"/>
    <cellStyle name="Normal 12 3 7 4" xfId="10957" xr:uid="{5F8FF306-5C88-403F-98EE-64A9CE3A2939}"/>
    <cellStyle name="Normal 12 3 8" xfId="4670" xr:uid="{00000000-0005-0000-0000-0000440E0000}"/>
    <cellStyle name="Normal 12 3 8 2" xfId="21542" xr:uid="{83ED690A-2CA1-45E3-903E-6DDB0F8143B2}"/>
    <cellStyle name="Normal 12 3 8 3" xfId="13108" xr:uid="{7C2449D5-3027-4D95-A27B-6CCD89F32C1C}"/>
    <cellStyle name="Normal 12 3 9" xfId="17325" xr:uid="{16239BCF-02D2-4D26-ACB0-1F2FBD77E8D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24103" xr:uid="{04A0D1D2-3A5A-4EE3-BC8A-CD4729020167}"/>
    <cellStyle name="Normal 12 4 2 2 2 3" xfId="15669" xr:uid="{53548CC7-80E1-4340-B8D3-6A2AB5F4B56A}"/>
    <cellStyle name="Normal 12 4 2 2 3" xfId="19886" xr:uid="{2F1EB045-1F64-4C75-883E-0695C36882A8}"/>
    <cellStyle name="Normal 12 4 2 2 4" xfId="11452" xr:uid="{E36ABEDE-54D9-43EE-AE2F-ABDE6DE66B99}"/>
    <cellStyle name="Normal 12 4 2 3" xfId="5086" xr:uid="{00000000-0005-0000-0000-0000490E0000}"/>
    <cellStyle name="Normal 12 4 2 3 2" xfId="21958" xr:uid="{7E88129E-137E-4D6A-8E08-7EF8019C6D36}"/>
    <cellStyle name="Normal 12 4 2 3 3" xfId="13524" xr:uid="{A0D98B5C-765E-419B-8841-06FB6A96FD88}"/>
    <cellStyle name="Normal 12 4 2 4" xfId="17741" xr:uid="{D62347A7-E98E-4E19-ADA6-77F2A2715C67}"/>
    <cellStyle name="Normal 12 4 2 5" xfId="9307" xr:uid="{B4E9E48E-D2DF-4CD0-A069-D70D5A57A6F1}"/>
    <cellStyle name="Normal 12 4 3" xfId="1190" xr:uid="{00000000-0005-0000-0000-00004A0E0000}"/>
    <cellStyle name="Normal 12 4 3 2" xfId="3421" xr:uid="{00000000-0005-0000-0000-00004B0E0000}"/>
    <cellStyle name="Normal 12 4 3 2 2" xfId="7644" xr:uid="{00000000-0005-0000-0000-00004C0E0000}"/>
    <cellStyle name="Normal 12 4 3 2 2 2" xfId="24516" xr:uid="{E141D092-EAC6-49E7-B7C0-E6CD7031A6C2}"/>
    <cellStyle name="Normal 12 4 3 2 2 3" xfId="16082" xr:uid="{DF14B6E2-8EFA-4199-AE5E-BE056536C5F4}"/>
    <cellStyle name="Normal 12 4 3 2 3" xfId="20299" xr:uid="{49D27F74-4929-4BE5-9542-E57A34BFA863}"/>
    <cellStyle name="Normal 12 4 3 2 4" xfId="11865" xr:uid="{27F89E0D-5441-44F5-8108-52DA7AA806C0}"/>
    <cellStyle name="Normal 12 4 3 3" xfId="5499" xr:uid="{00000000-0005-0000-0000-00004D0E0000}"/>
    <cellStyle name="Normal 12 4 3 3 2" xfId="22371" xr:uid="{13A2C40E-96C8-4D7E-A176-324EBD622A9F}"/>
    <cellStyle name="Normal 12 4 3 3 3" xfId="13937" xr:uid="{DEDCCA8D-CD4D-4ECE-B7A6-C220DD60BF89}"/>
    <cellStyle name="Normal 12 4 3 4" xfId="18154" xr:uid="{2AD17CB9-AA48-402B-BC94-C83038131622}"/>
    <cellStyle name="Normal 12 4 3 5" xfId="9720" xr:uid="{7643273C-D2EE-4705-8CA5-F70B11E35F77}"/>
    <cellStyle name="Normal 12 4 4" xfId="1604" xr:uid="{00000000-0005-0000-0000-00004E0E0000}"/>
    <cellStyle name="Normal 12 4 4 2" xfId="3834" xr:uid="{00000000-0005-0000-0000-00004F0E0000}"/>
    <cellStyle name="Normal 12 4 4 2 2" xfId="8057" xr:uid="{00000000-0005-0000-0000-0000500E0000}"/>
    <cellStyle name="Normal 12 4 4 2 2 2" xfId="24929" xr:uid="{BD8FB887-78FB-4EA2-B773-A3388D37B90A}"/>
    <cellStyle name="Normal 12 4 4 2 2 3" xfId="16495" xr:uid="{32D721E8-A564-411A-877C-B40EACAAD5B0}"/>
    <cellStyle name="Normal 12 4 4 2 3" xfId="20712" xr:uid="{1901D401-365D-45CC-BEE7-82B9ECDED0F4}"/>
    <cellStyle name="Normal 12 4 4 2 4" xfId="12278" xr:uid="{CC6B70DD-7968-4644-B6EE-1993D262DC5D}"/>
    <cellStyle name="Normal 12 4 4 3" xfId="5912" xr:uid="{00000000-0005-0000-0000-0000510E0000}"/>
    <cellStyle name="Normal 12 4 4 3 2" xfId="22784" xr:uid="{D64579D5-65B9-41FE-BB97-536A5D91B032}"/>
    <cellStyle name="Normal 12 4 4 3 3" xfId="14350" xr:uid="{1AFAE873-F96F-4BF8-A3BB-5E7E95F64B01}"/>
    <cellStyle name="Normal 12 4 4 4" xfId="18567" xr:uid="{6B2664B9-3594-4926-AF8D-55137D6B2A72}"/>
    <cellStyle name="Normal 12 4 4 5" xfId="10133" xr:uid="{F4F8F938-5F7E-4BA7-B7B0-1EC14B2ECA1F}"/>
    <cellStyle name="Normal 12 4 5" xfId="2018" xr:uid="{00000000-0005-0000-0000-0000520E0000}"/>
    <cellStyle name="Normal 12 4 5 2" xfId="4247" xr:uid="{00000000-0005-0000-0000-0000530E0000}"/>
    <cellStyle name="Normal 12 4 5 2 2" xfId="8470" xr:uid="{00000000-0005-0000-0000-0000540E0000}"/>
    <cellStyle name="Normal 12 4 5 2 2 2" xfId="25342" xr:uid="{74F9CE24-F6C2-48FC-909A-0E10DFF105D8}"/>
    <cellStyle name="Normal 12 4 5 2 2 3" xfId="16908" xr:uid="{8E06DD78-47E7-4C8D-9F56-CDB2E3758534}"/>
    <cellStyle name="Normal 12 4 5 2 3" xfId="21125" xr:uid="{8C9EECD8-239A-49F1-819A-33C8AC64856D}"/>
    <cellStyle name="Normal 12 4 5 2 4" xfId="12691" xr:uid="{1D7F4413-3F58-4FC2-AD79-00140C81940D}"/>
    <cellStyle name="Normal 12 4 5 3" xfId="6325" xr:uid="{00000000-0005-0000-0000-0000550E0000}"/>
    <cellStyle name="Normal 12 4 5 3 2" xfId="23197" xr:uid="{94075047-0E71-48AB-9C79-747FEA63B733}"/>
    <cellStyle name="Normal 12 4 5 3 3" xfId="14763" xr:uid="{50B71A0D-D986-46EC-B553-A2CE930A8431}"/>
    <cellStyle name="Normal 12 4 5 4" xfId="18980" xr:uid="{437EA9A2-A6C6-4380-8062-85309BEF4116}"/>
    <cellStyle name="Normal 12 4 5 5" xfId="10546" xr:uid="{DD0FC777-AB62-4F51-81D0-4F810ED5A8C3}"/>
    <cellStyle name="Normal 12 4 6" xfId="2454" xr:uid="{00000000-0005-0000-0000-0000560E0000}"/>
    <cellStyle name="Normal 12 4 6 2" xfId="6738" xr:uid="{00000000-0005-0000-0000-0000570E0000}"/>
    <cellStyle name="Normal 12 4 6 2 2" xfId="23610" xr:uid="{450F4183-7F11-4139-9CED-6A2A4076A0F5}"/>
    <cellStyle name="Normal 12 4 6 2 3" xfId="15176" xr:uid="{700C0437-D04E-46B9-B594-C7B802113B58}"/>
    <cellStyle name="Normal 12 4 6 3" xfId="19393" xr:uid="{90D538CF-2000-45F6-BE20-E1D078843739}"/>
    <cellStyle name="Normal 12 4 6 4" xfId="10959" xr:uid="{19F8B227-209B-4952-AF90-5BE6F69EE114}"/>
    <cellStyle name="Normal 12 4 7" xfId="4672" xr:uid="{00000000-0005-0000-0000-0000580E0000}"/>
    <cellStyle name="Normal 12 4 7 2" xfId="21544" xr:uid="{18C69B3D-8328-406E-ABC1-E58E3DAEDB3B}"/>
    <cellStyle name="Normal 12 4 7 3" xfId="13110" xr:uid="{C5A36389-1E51-40B9-B60E-56D388E7B1AD}"/>
    <cellStyle name="Normal 12 4 8" xfId="17327" xr:uid="{69F4F0F5-7496-497C-B4FE-1F789F0CA4F4}"/>
    <cellStyle name="Normal 12 4 9" xfId="8893" xr:uid="{1B9F5253-54D5-406C-B0D8-A2A7EE9F2BED}"/>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24096" xr:uid="{A65196E5-B97B-48EF-9007-8CAAC71AA42A}"/>
    <cellStyle name="Normal 12 6 2 2 3" xfId="15662" xr:uid="{A42A126E-5A62-48A3-B1AE-C11BE52F0155}"/>
    <cellStyle name="Normal 12 6 2 3" xfId="19879" xr:uid="{66A0A6A3-6800-467B-9D12-884543D2C63A}"/>
    <cellStyle name="Normal 12 6 2 4" xfId="11445" xr:uid="{941BBF82-426D-4B34-8C0B-8BC69F32743B}"/>
    <cellStyle name="Normal 12 6 3" xfId="5079" xr:uid="{00000000-0005-0000-0000-00005D0E0000}"/>
    <cellStyle name="Normal 12 6 3 2" xfId="21951" xr:uid="{73A89B68-2562-4E2F-932A-6D6774DAE6E4}"/>
    <cellStyle name="Normal 12 6 3 3" xfId="13517" xr:uid="{94008543-68A3-4D77-8A5C-349B4FFA86ED}"/>
    <cellStyle name="Normal 12 6 4" xfId="17734" xr:uid="{9F784EE5-6300-4AA9-A255-071FB9D16C6C}"/>
    <cellStyle name="Normal 12 6 5" xfId="9300" xr:uid="{F02609E5-289A-45CC-881B-D6EC44F5B263}"/>
    <cellStyle name="Normal 12 7" xfId="1183" xr:uid="{00000000-0005-0000-0000-00005E0E0000}"/>
    <cellStyle name="Normal 12 7 2" xfId="3414" xr:uid="{00000000-0005-0000-0000-00005F0E0000}"/>
    <cellStyle name="Normal 12 7 2 2" xfId="7637" xr:uid="{00000000-0005-0000-0000-0000600E0000}"/>
    <cellStyle name="Normal 12 7 2 2 2" xfId="24509" xr:uid="{A43C1398-7F7C-474A-950E-0781D07DE887}"/>
    <cellStyle name="Normal 12 7 2 2 3" xfId="16075" xr:uid="{30929C2F-ECA7-4605-98C0-7C2184B1A474}"/>
    <cellStyle name="Normal 12 7 2 3" xfId="20292" xr:uid="{46693829-C698-4B00-9BF6-0A6A8309AC63}"/>
    <cellStyle name="Normal 12 7 2 4" xfId="11858" xr:uid="{A50BFDF3-7273-4FF7-9AA6-03737254926B}"/>
    <cellStyle name="Normal 12 7 3" xfId="5492" xr:uid="{00000000-0005-0000-0000-0000610E0000}"/>
    <cellStyle name="Normal 12 7 3 2" xfId="22364" xr:uid="{9641BAA5-76FD-4332-813B-D2CF3395CE26}"/>
    <cellStyle name="Normal 12 7 3 3" xfId="13930" xr:uid="{6E059D0A-786D-4275-8BF7-2D0CD075FC5C}"/>
    <cellStyle name="Normal 12 7 4" xfId="18147" xr:uid="{CAABFDAD-E555-433C-81BE-55169691BF17}"/>
    <cellStyle name="Normal 12 7 5" xfId="9713" xr:uid="{90999553-6185-4415-AF1B-8A5882034949}"/>
    <cellStyle name="Normal 12 8" xfId="1597" xr:uid="{00000000-0005-0000-0000-0000620E0000}"/>
    <cellStyle name="Normal 12 8 2" xfId="3827" xr:uid="{00000000-0005-0000-0000-0000630E0000}"/>
    <cellStyle name="Normal 12 8 2 2" xfId="8050" xr:uid="{00000000-0005-0000-0000-0000640E0000}"/>
    <cellStyle name="Normal 12 8 2 2 2" xfId="24922" xr:uid="{50310B0C-E70E-42E5-AE19-663A8531696A}"/>
    <cellStyle name="Normal 12 8 2 2 3" xfId="16488" xr:uid="{F1AC1651-D3E9-4572-B87D-710A04C6A0EA}"/>
    <cellStyle name="Normal 12 8 2 3" xfId="20705" xr:uid="{47BAF932-714D-40EF-97F9-FDA78257E66C}"/>
    <cellStyle name="Normal 12 8 2 4" xfId="12271" xr:uid="{F2B5C259-5238-4762-8935-8FC6782401C8}"/>
    <cellStyle name="Normal 12 8 3" xfId="5905" xr:uid="{00000000-0005-0000-0000-0000650E0000}"/>
    <cellStyle name="Normal 12 8 3 2" xfId="22777" xr:uid="{EC5595A1-77D4-4ACC-A834-7F7D2D51855D}"/>
    <cellStyle name="Normal 12 8 3 3" xfId="14343" xr:uid="{F0BED6F5-CCAB-42AC-AE18-B141C8E23724}"/>
    <cellStyle name="Normal 12 8 4" xfId="18560" xr:uid="{ED44C218-825F-4EBA-B42B-D1E764613A22}"/>
    <cellStyle name="Normal 12 8 5" xfId="10126" xr:uid="{9B90B81D-88D2-4100-87E1-B5B3362B3EDB}"/>
    <cellStyle name="Normal 12 9" xfId="2011" xr:uid="{00000000-0005-0000-0000-0000660E0000}"/>
    <cellStyle name="Normal 12 9 2" xfId="4240" xr:uid="{00000000-0005-0000-0000-0000670E0000}"/>
    <cellStyle name="Normal 12 9 2 2" xfId="8463" xr:uid="{00000000-0005-0000-0000-0000680E0000}"/>
    <cellStyle name="Normal 12 9 2 2 2" xfId="25335" xr:uid="{6CA7D64D-5CA3-41F9-BA86-F849ED44043D}"/>
    <cellStyle name="Normal 12 9 2 2 3" xfId="16901" xr:uid="{66680415-EC92-4403-AA61-7E38A1D9197B}"/>
    <cellStyle name="Normal 12 9 2 3" xfId="21118" xr:uid="{71CE091D-9676-416A-B297-515705FE84B1}"/>
    <cellStyle name="Normal 12 9 2 4" xfId="12684" xr:uid="{BFBA0F35-D1EF-4209-A584-F15960888267}"/>
    <cellStyle name="Normal 12 9 3" xfId="6318" xr:uid="{00000000-0005-0000-0000-0000690E0000}"/>
    <cellStyle name="Normal 12 9 3 2" xfId="23190" xr:uid="{0821C89B-D261-4B12-AFBA-D88D247B53ED}"/>
    <cellStyle name="Normal 12 9 3 3" xfId="14756" xr:uid="{65327569-A4AD-4EF2-B55C-DB1AD0D57271}"/>
    <cellStyle name="Normal 12 9 4" xfId="18973" xr:uid="{8212C4F3-074A-4425-9B69-B19FE5325824}"/>
    <cellStyle name="Normal 12 9 5" xfId="10539" xr:uid="{14AA068F-42EF-407C-915D-DA06DC40C68B}"/>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24104" xr:uid="{CA2108FE-2C7A-47AE-99D2-58E8B92920C3}"/>
    <cellStyle name="Normal 14 2 2 2 3" xfId="15670" xr:uid="{363A7F58-31F5-4829-9128-7B6DB1CAA762}"/>
    <cellStyle name="Normal 14 2 2 3" xfId="19887" xr:uid="{685DDECD-E955-4923-B3D0-82BA5CB10867}"/>
    <cellStyle name="Normal 14 2 2 4" xfId="11453" xr:uid="{780AE569-6CD9-41CD-938C-FAE72A9F76E2}"/>
    <cellStyle name="Normal 14 2 3" xfId="5087" xr:uid="{00000000-0005-0000-0000-0000700E0000}"/>
    <cellStyle name="Normal 14 2 3 2" xfId="21959" xr:uid="{B4646920-D95C-43FB-B558-8FF482AB8ED6}"/>
    <cellStyle name="Normal 14 2 3 3" xfId="13525" xr:uid="{74FBD325-02D8-40AD-81A5-CBB082D374BC}"/>
    <cellStyle name="Normal 14 2 4" xfId="17742" xr:uid="{B38CA335-FE40-4F42-B00F-0CA62722B378}"/>
    <cellStyle name="Normal 14 2 5" xfId="9308" xr:uid="{2E3469EA-2A34-45CD-994C-EEC3BB443E02}"/>
    <cellStyle name="Normal 14 3" xfId="1191" xr:uid="{00000000-0005-0000-0000-0000710E0000}"/>
    <cellStyle name="Normal 14 3 2" xfId="3422" xr:uid="{00000000-0005-0000-0000-0000720E0000}"/>
    <cellStyle name="Normal 14 3 2 2" xfId="7645" xr:uid="{00000000-0005-0000-0000-0000730E0000}"/>
    <cellStyle name="Normal 14 3 2 2 2" xfId="24517" xr:uid="{1262114C-112F-492E-81B3-128456BBA9CF}"/>
    <cellStyle name="Normal 14 3 2 2 3" xfId="16083" xr:uid="{85B8AE17-7F25-419E-BF81-1AB08797FF54}"/>
    <cellStyle name="Normal 14 3 2 3" xfId="20300" xr:uid="{89CD0FDB-471D-4A9A-97BA-368FF0A1F2EA}"/>
    <cellStyle name="Normal 14 3 2 4" xfId="11866" xr:uid="{1FE8EA07-1E60-419C-B96E-CF6D4AB8D5F3}"/>
    <cellStyle name="Normal 14 3 3" xfId="5500" xr:uid="{00000000-0005-0000-0000-0000740E0000}"/>
    <cellStyle name="Normal 14 3 3 2" xfId="22372" xr:uid="{095DFA25-B1AB-409B-B3E0-CD4EA482CAAE}"/>
    <cellStyle name="Normal 14 3 3 3" xfId="13938" xr:uid="{75F2AF57-5CFD-44EB-A1C7-A25F898AD9BB}"/>
    <cellStyle name="Normal 14 3 4" xfId="18155" xr:uid="{1A282884-0799-4F00-8915-F32D38ACF339}"/>
    <cellStyle name="Normal 14 3 5" xfId="9721" xr:uid="{8A31C637-FC72-46CA-BB35-1CF9B802986D}"/>
    <cellStyle name="Normal 14 4" xfId="1605" xr:uid="{00000000-0005-0000-0000-0000750E0000}"/>
    <cellStyle name="Normal 14 4 2" xfId="3835" xr:uid="{00000000-0005-0000-0000-0000760E0000}"/>
    <cellStyle name="Normal 14 4 2 2" xfId="8058" xr:uid="{00000000-0005-0000-0000-0000770E0000}"/>
    <cellStyle name="Normal 14 4 2 2 2" xfId="24930" xr:uid="{D7E1D7B7-2AF5-4072-B736-44C2000CD639}"/>
    <cellStyle name="Normal 14 4 2 2 3" xfId="16496" xr:uid="{E454F3BB-4547-4EB5-85DA-696642F5D4EE}"/>
    <cellStyle name="Normal 14 4 2 3" xfId="20713" xr:uid="{913BDC35-AF5A-489A-85E7-ACFAD4FBDE6B}"/>
    <cellStyle name="Normal 14 4 2 4" xfId="12279" xr:uid="{D74A035E-32D3-4C00-A4BC-1A7D578CE00D}"/>
    <cellStyle name="Normal 14 4 3" xfId="5913" xr:uid="{00000000-0005-0000-0000-0000780E0000}"/>
    <cellStyle name="Normal 14 4 3 2" xfId="22785" xr:uid="{AD827D5B-24FF-4BA5-AFD6-73629ECA0128}"/>
    <cellStyle name="Normal 14 4 3 3" xfId="14351" xr:uid="{F6F08C17-5F18-4809-9857-BE809C82BACD}"/>
    <cellStyle name="Normal 14 4 4" xfId="18568" xr:uid="{4ED618EB-D845-48AA-9043-F510E71F6A07}"/>
    <cellStyle name="Normal 14 4 5" xfId="10134" xr:uid="{D037F098-03C3-4991-B23A-9B55B0408999}"/>
    <cellStyle name="Normal 14 5" xfId="2019" xr:uid="{00000000-0005-0000-0000-0000790E0000}"/>
    <cellStyle name="Normal 14 5 2" xfId="4248" xr:uid="{00000000-0005-0000-0000-00007A0E0000}"/>
    <cellStyle name="Normal 14 5 2 2" xfId="8471" xr:uid="{00000000-0005-0000-0000-00007B0E0000}"/>
    <cellStyle name="Normal 14 5 2 2 2" xfId="25343" xr:uid="{949985BD-B2BD-45F3-88A7-00CAA1860E51}"/>
    <cellStyle name="Normal 14 5 2 2 3" xfId="16909" xr:uid="{5192BA8C-7218-447A-89D6-3A9ABD5AB82B}"/>
    <cellStyle name="Normal 14 5 2 3" xfId="21126" xr:uid="{0342F136-4F07-4C03-BEF5-5B5C7FB4C825}"/>
    <cellStyle name="Normal 14 5 2 4" xfId="12692" xr:uid="{4C33E301-160F-457E-AE84-61D6197BB605}"/>
    <cellStyle name="Normal 14 5 3" xfId="6326" xr:uid="{00000000-0005-0000-0000-00007C0E0000}"/>
    <cellStyle name="Normal 14 5 3 2" xfId="23198" xr:uid="{F1912ECA-FF20-4747-AF00-120E4FD3D3E3}"/>
    <cellStyle name="Normal 14 5 3 3" xfId="14764" xr:uid="{C6C03337-170F-4FA2-A87F-656CF82DFD21}"/>
    <cellStyle name="Normal 14 5 4" xfId="18981" xr:uid="{9D6194B0-E679-4411-B058-2E69AADC7DAA}"/>
    <cellStyle name="Normal 14 5 5" xfId="10547" xr:uid="{03BA59E1-125F-4B68-AA45-4430258A4553}"/>
    <cellStyle name="Normal 14 6" xfId="2455" xr:uid="{00000000-0005-0000-0000-00007D0E0000}"/>
    <cellStyle name="Normal 14 6 2" xfId="6739" xr:uid="{00000000-0005-0000-0000-00007E0E0000}"/>
    <cellStyle name="Normal 14 6 2 2" xfId="23611" xr:uid="{A7CC8D0C-7B87-4A3E-BCD7-A8DA328A8CDE}"/>
    <cellStyle name="Normal 14 6 2 3" xfId="15177" xr:uid="{9D6F493C-EF76-44A9-862B-C3E04469D0B7}"/>
    <cellStyle name="Normal 14 6 3" xfId="19394" xr:uid="{7E4CC83F-3BAC-493E-B84F-5D1B8C0D0022}"/>
    <cellStyle name="Normal 14 6 4" xfId="10960" xr:uid="{B72F597B-DFF3-4913-A71A-91C8DF14E7C6}"/>
    <cellStyle name="Normal 14 7" xfId="4673" xr:uid="{00000000-0005-0000-0000-00007F0E0000}"/>
    <cellStyle name="Normal 14 7 2" xfId="21545" xr:uid="{9FC7F03F-5D50-4CD7-863D-445D90872B68}"/>
    <cellStyle name="Normal 14 7 3" xfId="13111" xr:uid="{FB3E6CB3-286A-4B65-974C-4E3A18C3575D}"/>
    <cellStyle name="Normal 14 8" xfId="17328" xr:uid="{A77AE4A8-72EA-408C-A5D5-609F3DC60A69}"/>
    <cellStyle name="Normal 14 9" xfId="8894" xr:uid="{12F32EC6-47E3-4A85-8EC9-B20C8D317474}"/>
    <cellStyle name="Normal 15" xfId="4496" xr:uid="{00000000-0005-0000-0000-0000800E0000}"/>
    <cellStyle name="Normal 15 2" xfId="8723" xr:uid="{0A6C9A0B-B41F-4F97-B12B-BAFAC8CCAEDC}"/>
    <cellStyle name="Normal 15 2 2" xfId="21371" xr:uid="{D2EF4E47-2AAB-4711-B4B0-0EDA8B333A35}"/>
    <cellStyle name="Normal 15 3" xfId="12937" xr:uid="{108D01CC-43CD-4C9E-9E92-8F149A4BDE5F}"/>
    <cellStyle name="Normal 16" xfId="4500" xr:uid="{00000000-0005-0000-0000-0000810E0000}"/>
    <cellStyle name="Normal 16 2" xfId="8716" xr:uid="{00000000-0005-0000-0000-0000820E0000}"/>
    <cellStyle name="Normal 16 2 2" xfId="17154" xr:uid="{10630407-920B-4317-B6D6-A4FEF199B530}"/>
    <cellStyle name="Normal 16 3" xfId="8719" xr:uid="{3DE1BEEB-61FA-4094-B10F-9E0444F68763}"/>
    <cellStyle name="Normal 16 3 2" xfId="17157" xr:uid="{8E3693FA-A50E-4C1C-8233-82CD9394440B}"/>
    <cellStyle name="Normal 16 4" xfId="21374" xr:uid="{5A96063D-EB2C-4341-B52E-DE749EABA970}"/>
    <cellStyle name="Normal 16 5" xfId="12940" xr:uid="{07A1EAE0-FFC8-4459-A37E-3AF086D3525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25344" xr:uid="{97E7AAA6-8424-4EF3-894F-2AC9E33CBE04}"/>
    <cellStyle name="Normal 2 4 2 10 2 2 3" xfId="16910" xr:uid="{CF3F0587-40AE-41D7-8278-4745C31FD98C}"/>
    <cellStyle name="Normal 2 4 2 10 2 3" xfId="21127" xr:uid="{A7D30C38-94B5-419F-832F-063F6CB5E403}"/>
    <cellStyle name="Normal 2 4 2 10 2 4" xfId="12693" xr:uid="{82B8EED3-6A15-4CD1-A601-E444CBAB463F}"/>
    <cellStyle name="Normal 2 4 2 10 3" xfId="6327" xr:uid="{00000000-0005-0000-0000-0000910E0000}"/>
    <cellStyle name="Normal 2 4 2 10 3 2" xfId="23199" xr:uid="{5A7E93DA-2B56-40A4-861C-C31A4398DBAC}"/>
    <cellStyle name="Normal 2 4 2 10 3 3" xfId="14765" xr:uid="{D4D051C7-DD13-494C-9937-AED689887EFF}"/>
    <cellStyle name="Normal 2 4 2 10 4" xfId="18982" xr:uid="{D6061D6B-6FD1-4D8C-862D-419869600D95}"/>
    <cellStyle name="Normal 2 4 2 10 5" xfId="10548" xr:uid="{2AE2533D-88DB-44A4-8AF7-7E39EE8659F2}"/>
    <cellStyle name="Normal 2 4 2 11" xfId="2456" xr:uid="{00000000-0005-0000-0000-0000920E0000}"/>
    <cellStyle name="Normal 2 4 2 11 2" xfId="6740" xr:uid="{00000000-0005-0000-0000-0000930E0000}"/>
    <cellStyle name="Normal 2 4 2 11 2 2" xfId="23612" xr:uid="{FB34D3F2-0F0C-4DB2-8667-591BED374491}"/>
    <cellStyle name="Normal 2 4 2 11 2 3" xfId="15178" xr:uid="{48BF7C28-F2E2-4B29-B3F4-239F1E6781BD}"/>
    <cellStyle name="Normal 2 4 2 11 3" xfId="19395" xr:uid="{BA66D0F2-14C9-476B-9553-9F7F3B1C18C1}"/>
    <cellStyle name="Normal 2 4 2 11 4" xfId="10961" xr:uid="{E84080A9-6E71-4968-86D8-B747577D2E61}"/>
    <cellStyle name="Normal 2 4 2 12" xfId="4674" xr:uid="{00000000-0005-0000-0000-0000940E0000}"/>
    <cellStyle name="Normal 2 4 2 12 2" xfId="21546" xr:uid="{13BC1788-5932-4E9A-8626-22BAC7524C25}"/>
    <cellStyle name="Normal 2 4 2 12 3" xfId="13112" xr:uid="{BFA1A52F-11C1-48E3-B962-F9379569CB6D}"/>
    <cellStyle name="Normal 2 4 2 13" xfId="17329" xr:uid="{7DD28901-E8C5-406A-B5FC-3EB8EAC9E26A}"/>
    <cellStyle name="Normal 2 4 2 14" xfId="8895" xr:uid="{CCB5B449-514D-4A15-94E5-716F2605BBD1}"/>
    <cellStyle name="Normal 2 4 2 2" xfId="280" xr:uid="{00000000-0005-0000-0000-0000950E0000}"/>
    <cellStyle name="Normal 2 4 2 3" xfId="281" xr:uid="{00000000-0005-0000-0000-0000960E0000}"/>
    <cellStyle name="Normal 2 4 2 3 10" xfId="4675" xr:uid="{00000000-0005-0000-0000-0000970E0000}"/>
    <cellStyle name="Normal 2 4 2 3 10 2" xfId="21547" xr:uid="{5D17A723-717D-4A44-8A16-DDD9BD91589D}"/>
    <cellStyle name="Normal 2 4 2 3 10 3" xfId="13113" xr:uid="{7970EB57-4CA0-42CA-87E3-3946460AD2C7}"/>
    <cellStyle name="Normal 2 4 2 3 11" xfId="17330" xr:uid="{92E5B6B8-B9D6-420B-8354-6456650EB0C7}"/>
    <cellStyle name="Normal 2 4 2 3 12" xfId="8896" xr:uid="{1484C16B-FA0D-4EE6-9DBE-F35FB4F08479}"/>
    <cellStyle name="Normal 2 4 2 3 2" xfId="282" xr:uid="{00000000-0005-0000-0000-0000980E0000}"/>
    <cellStyle name="Normal 2 4 2 3 2 10" xfId="17331" xr:uid="{638ED0AD-75CF-49FD-B04C-DAB1C74BD615}"/>
    <cellStyle name="Normal 2 4 2 3 2 11" xfId="8897" xr:uid="{CA13B485-F78A-4150-ABAB-5FD07CFB9A7E}"/>
    <cellStyle name="Normal 2 4 2 3 2 2" xfId="283" xr:uid="{00000000-0005-0000-0000-0000990E0000}"/>
    <cellStyle name="Normal 2 4 2 3 2 2 10" xfId="8898" xr:uid="{D755A7ED-CA71-4FF8-8191-F399B7FC018E}"/>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24109" xr:uid="{8C01C948-1A1D-4EFC-972D-D7BD01B9BB62}"/>
    <cellStyle name="Normal 2 4 2 3 2 2 2 2 2 2 3" xfId="15675" xr:uid="{9E0F13E5-BB29-4B3B-B27B-692609B83554}"/>
    <cellStyle name="Normal 2 4 2 3 2 2 2 2 2 3" xfId="19892" xr:uid="{16FE26AC-B409-4C46-A9CF-8353CEC70C32}"/>
    <cellStyle name="Normal 2 4 2 3 2 2 2 2 2 4" xfId="11458" xr:uid="{A496BD86-9FDF-4F81-BA47-049595D1038E}"/>
    <cellStyle name="Normal 2 4 2 3 2 2 2 2 3" xfId="5092" xr:uid="{00000000-0005-0000-0000-00009E0E0000}"/>
    <cellStyle name="Normal 2 4 2 3 2 2 2 2 3 2" xfId="21964" xr:uid="{44F97CD7-91F3-44EC-9C1C-0AA4BB9C3083}"/>
    <cellStyle name="Normal 2 4 2 3 2 2 2 2 3 3" xfId="13530" xr:uid="{B10ECFAB-213B-4B08-BC58-E4A34916F390}"/>
    <cellStyle name="Normal 2 4 2 3 2 2 2 2 4" xfId="17747" xr:uid="{46DBB916-9399-426E-95EB-D477B57A4B2F}"/>
    <cellStyle name="Normal 2 4 2 3 2 2 2 2 5" xfId="9313" xr:uid="{ED1DE3FF-9427-497B-B160-6DD18A7B20D8}"/>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24522" xr:uid="{587F24D4-0F54-451B-96CE-B694131BF540}"/>
    <cellStyle name="Normal 2 4 2 3 2 2 2 3 2 2 3" xfId="16088" xr:uid="{83C444E4-2467-4BB1-8F78-376AA03F62AB}"/>
    <cellStyle name="Normal 2 4 2 3 2 2 2 3 2 3" xfId="20305" xr:uid="{2D5B3D25-30D7-4653-BDF9-02F57B6B6DA0}"/>
    <cellStyle name="Normal 2 4 2 3 2 2 2 3 2 4" xfId="11871" xr:uid="{4EC06D2E-4B02-4139-A3EA-3C0BE615ED95}"/>
    <cellStyle name="Normal 2 4 2 3 2 2 2 3 3" xfId="5505" xr:uid="{00000000-0005-0000-0000-0000A20E0000}"/>
    <cellStyle name="Normal 2 4 2 3 2 2 2 3 3 2" xfId="22377" xr:uid="{33585B83-33E2-43D9-82F5-986D39934AB4}"/>
    <cellStyle name="Normal 2 4 2 3 2 2 2 3 3 3" xfId="13943" xr:uid="{6D7209A7-3C2C-4A55-A074-C9C2BF1B5E77}"/>
    <cellStyle name="Normal 2 4 2 3 2 2 2 3 4" xfId="18160" xr:uid="{C5AC0986-EFA1-40AA-80D0-8C3B89A06242}"/>
    <cellStyle name="Normal 2 4 2 3 2 2 2 3 5" xfId="9726" xr:uid="{528ABF84-0CC3-4EB9-A28B-D313C6D5906E}"/>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24935" xr:uid="{23408ECB-711C-4BED-B7E7-C1BA261CC623}"/>
    <cellStyle name="Normal 2 4 2 3 2 2 2 4 2 2 3" xfId="16501" xr:uid="{14BB2CE1-CD56-4AF9-86C3-5C324CDEAF8E}"/>
    <cellStyle name="Normal 2 4 2 3 2 2 2 4 2 3" xfId="20718" xr:uid="{C7E8F415-FF88-4FD7-8078-736F57DDB886}"/>
    <cellStyle name="Normal 2 4 2 3 2 2 2 4 2 4" xfId="12284" xr:uid="{6B2F4195-0DD1-452A-8426-C18F0F0D633A}"/>
    <cellStyle name="Normal 2 4 2 3 2 2 2 4 3" xfId="5918" xr:uid="{00000000-0005-0000-0000-0000A60E0000}"/>
    <cellStyle name="Normal 2 4 2 3 2 2 2 4 3 2" xfId="22790" xr:uid="{4EC78AA2-A154-4469-9C53-BB258B866E30}"/>
    <cellStyle name="Normal 2 4 2 3 2 2 2 4 3 3" xfId="14356" xr:uid="{BB316126-4EBA-47FD-B476-8D97127F5AE3}"/>
    <cellStyle name="Normal 2 4 2 3 2 2 2 4 4" xfId="18573" xr:uid="{4D658C5E-F30B-46F2-897C-0CD46F6B104A}"/>
    <cellStyle name="Normal 2 4 2 3 2 2 2 4 5" xfId="10139" xr:uid="{97E58BC6-952D-4E89-B14B-0B4F5B44C5B2}"/>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25348" xr:uid="{0BE8321C-ED85-441B-B470-2C0B0096F8D6}"/>
    <cellStyle name="Normal 2 4 2 3 2 2 2 5 2 2 3" xfId="16914" xr:uid="{DB1AB52C-CB2F-4225-92F3-9750F59096F3}"/>
    <cellStyle name="Normal 2 4 2 3 2 2 2 5 2 3" xfId="21131" xr:uid="{99CD19DC-7753-4DF1-A3B2-EF1FF9DEF83C}"/>
    <cellStyle name="Normal 2 4 2 3 2 2 2 5 2 4" xfId="12697" xr:uid="{383A6257-7229-4990-B8BE-ACA76DA808AD}"/>
    <cellStyle name="Normal 2 4 2 3 2 2 2 5 3" xfId="6331" xr:uid="{00000000-0005-0000-0000-0000AA0E0000}"/>
    <cellStyle name="Normal 2 4 2 3 2 2 2 5 3 2" xfId="23203" xr:uid="{8D351C5D-E14F-48AF-8202-D10FF1690285}"/>
    <cellStyle name="Normal 2 4 2 3 2 2 2 5 3 3" xfId="14769" xr:uid="{C5BA3000-87B4-4C91-B091-3AC5D59808C7}"/>
    <cellStyle name="Normal 2 4 2 3 2 2 2 5 4" xfId="18986" xr:uid="{DC7D0805-AA2B-448A-A87A-E7812903AE68}"/>
    <cellStyle name="Normal 2 4 2 3 2 2 2 5 5" xfId="10552" xr:uid="{ED4B0C3F-0973-44F5-814E-122C76A87F69}"/>
    <cellStyle name="Normal 2 4 2 3 2 2 2 6" xfId="2460" xr:uid="{00000000-0005-0000-0000-0000AB0E0000}"/>
    <cellStyle name="Normal 2 4 2 3 2 2 2 6 2" xfId="6744" xr:uid="{00000000-0005-0000-0000-0000AC0E0000}"/>
    <cellStyle name="Normal 2 4 2 3 2 2 2 6 2 2" xfId="23616" xr:uid="{99201310-7615-4D11-9B8C-E96DFB18765D}"/>
    <cellStyle name="Normal 2 4 2 3 2 2 2 6 2 3" xfId="15182" xr:uid="{C70D7425-4DC1-4E93-A4A7-8364D8E8F8B4}"/>
    <cellStyle name="Normal 2 4 2 3 2 2 2 6 3" xfId="19399" xr:uid="{A4C1130D-4E93-4CF6-BD82-FA1472AECF81}"/>
    <cellStyle name="Normal 2 4 2 3 2 2 2 6 4" xfId="10965" xr:uid="{17F4AA0B-3DA8-4F9E-84C6-30F77E1BEE6D}"/>
    <cellStyle name="Normal 2 4 2 3 2 2 2 7" xfId="4678" xr:uid="{00000000-0005-0000-0000-0000AD0E0000}"/>
    <cellStyle name="Normal 2 4 2 3 2 2 2 7 2" xfId="21550" xr:uid="{C3CAB195-38D3-4385-B109-E97341FF8A8B}"/>
    <cellStyle name="Normal 2 4 2 3 2 2 2 7 3" xfId="13116" xr:uid="{B3D95833-9EF8-4817-9677-7D424EE3ACD0}"/>
    <cellStyle name="Normal 2 4 2 3 2 2 2 8" xfId="17333" xr:uid="{C8CDF6F7-00BF-4418-BB41-6FCE1329E760}"/>
    <cellStyle name="Normal 2 4 2 3 2 2 2 9" xfId="8899" xr:uid="{52668BE8-369D-4440-B692-4E0B78A45A14}"/>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24108" xr:uid="{ADD2EE0D-73CF-4E0A-AF02-BA8CA1F3DC4D}"/>
    <cellStyle name="Normal 2 4 2 3 2 2 3 2 2 3" xfId="15674" xr:uid="{FACFFCED-67A2-478A-BAD2-C46797B38043}"/>
    <cellStyle name="Normal 2 4 2 3 2 2 3 2 3" xfId="19891" xr:uid="{3A0F6E5A-5CF2-464D-BCBE-F4197CBEC868}"/>
    <cellStyle name="Normal 2 4 2 3 2 2 3 2 4" xfId="11457" xr:uid="{FA132D24-D300-4340-9905-A50E9FE0F75D}"/>
    <cellStyle name="Normal 2 4 2 3 2 2 3 3" xfId="5091" xr:uid="{00000000-0005-0000-0000-0000B10E0000}"/>
    <cellStyle name="Normal 2 4 2 3 2 2 3 3 2" xfId="21963" xr:uid="{173675F9-FF0D-4FE2-B399-84C121BEBFF5}"/>
    <cellStyle name="Normal 2 4 2 3 2 2 3 3 3" xfId="13529" xr:uid="{9451C908-5D8D-4D4C-942B-587B716851EA}"/>
    <cellStyle name="Normal 2 4 2 3 2 2 3 4" xfId="17746" xr:uid="{70D66E57-1851-4B44-AF2E-CBE8F6E83258}"/>
    <cellStyle name="Normal 2 4 2 3 2 2 3 5" xfId="9312" xr:uid="{28CD3FB9-914F-4BA3-8E9A-BE0D44E789ED}"/>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24521" xr:uid="{4EAC981C-46CE-439B-84FA-660E2270D163}"/>
    <cellStyle name="Normal 2 4 2 3 2 2 4 2 2 3" xfId="16087" xr:uid="{D9A19B79-D49D-442C-A77D-D1762BB60174}"/>
    <cellStyle name="Normal 2 4 2 3 2 2 4 2 3" xfId="20304" xr:uid="{48D4401E-D475-4B03-85C0-AEF0EAAEA64E}"/>
    <cellStyle name="Normal 2 4 2 3 2 2 4 2 4" xfId="11870" xr:uid="{E312F678-7385-4525-9B62-5C8850AC4344}"/>
    <cellStyle name="Normal 2 4 2 3 2 2 4 3" xfId="5504" xr:uid="{00000000-0005-0000-0000-0000B50E0000}"/>
    <cellStyle name="Normal 2 4 2 3 2 2 4 3 2" xfId="22376" xr:uid="{5B89734E-4B61-43EE-ACA4-35CAAABDAE5F}"/>
    <cellStyle name="Normal 2 4 2 3 2 2 4 3 3" xfId="13942" xr:uid="{7FB3BD61-FF7E-4EAF-96D9-3BB76D37CAE0}"/>
    <cellStyle name="Normal 2 4 2 3 2 2 4 4" xfId="18159" xr:uid="{A8E3A497-3D69-4329-B99A-93731691E67E}"/>
    <cellStyle name="Normal 2 4 2 3 2 2 4 5" xfId="9725" xr:uid="{246F048E-E82B-458C-B490-AC12AEABA91C}"/>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24934" xr:uid="{25367B50-86D2-4609-9BDE-C775164C98BA}"/>
    <cellStyle name="Normal 2 4 2 3 2 2 5 2 2 3" xfId="16500" xr:uid="{AC0DF9A1-EC7C-413B-A6F7-BA642D0C204C}"/>
    <cellStyle name="Normal 2 4 2 3 2 2 5 2 3" xfId="20717" xr:uid="{CEBAAA47-9952-4326-8938-C80B99A2DF4C}"/>
    <cellStyle name="Normal 2 4 2 3 2 2 5 2 4" xfId="12283" xr:uid="{79C587A2-FF08-41BF-9ADC-5167A5DEC6A9}"/>
    <cellStyle name="Normal 2 4 2 3 2 2 5 3" xfId="5917" xr:uid="{00000000-0005-0000-0000-0000B90E0000}"/>
    <cellStyle name="Normal 2 4 2 3 2 2 5 3 2" xfId="22789" xr:uid="{3FDC2684-4E63-48B2-B661-870BDBA102E9}"/>
    <cellStyle name="Normal 2 4 2 3 2 2 5 3 3" xfId="14355" xr:uid="{C3686313-D55B-4E43-BA70-5F76069FBBD8}"/>
    <cellStyle name="Normal 2 4 2 3 2 2 5 4" xfId="18572" xr:uid="{D30187F7-6089-4F7D-B80F-B33EF067E634}"/>
    <cellStyle name="Normal 2 4 2 3 2 2 5 5" xfId="10138" xr:uid="{B20ED8E4-DAF7-4636-9E79-32F2A423886A}"/>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25347" xr:uid="{C561939A-7E93-4E1B-9087-B109E204D5EF}"/>
    <cellStyle name="Normal 2 4 2 3 2 2 6 2 2 3" xfId="16913" xr:uid="{C410C439-7056-408E-B83F-03BBBA2DD834}"/>
    <cellStyle name="Normal 2 4 2 3 2 2 6 2 3" xfId="21130" xr:uid="{CF48BFAB-43DA-4B6E-BE16-7E05562202D4}"/>
    <cellStyle name="Normal 2 4 2 3 2 2 6 2 4" xfId="12696" xr:uid="{B8BAEA65-B59A-445E-BCFF-10E300438F31}"/>
    <cellStyle name="Normal 2 4 2 3 2 2 6 3" xfId="6330" xr:uid="{00000000-0005-0000-0000-0000BD0E0000}"/>
    <cellStyle name="Normal 2 4 2 3 2 2 6 3 2" xfId="23202" xr:uid="{E52D6E58-2EB6-4FE1-8DDA-C900CBADC1FD}"/>
    <cellStyle name="Normal 2 4 2 3 2 2 6 3 3" xfId="14768" xr:uid="{3779D15E-894E-45C5-8C96-682941A95317}"/>
    <cellStyle name="Normal 2 4 2 3 2 2 6 4" xfId="18985" xr:uid="{C92E725A-7E77-4B83-8367-600085772597}"/>
    <cellStyle name="Normal 2 4 2 3 2 2 6 5" xfId="10551" xr:uid="{76B9C9AE-EE9B-4B2E-9FCF-F0D39F1CF7A7}"/>
    <cellStyle name="Normal 2 4 2 3 2 2 7" xfId="2459" xr:uid="{00000000-0005-0000-0000-0000BE0E0000}"/>
    <cellStyle name="Normal 2 4 2 3 2 2 7 2" xfId="6743" xr:uid="{00000000-0005-0000-0000-0000BF0E0000}"/>
    <cellStyle name="Normal 2 4 2 3 2 2 7 2 2" xfId="23615" xr:uid="{87F4275C-E654-4BD9-ABBE-703896F32041}"/>
    <cellStyle name="Normal 2 4 2 3 2 2 7 2 3" xfId="15181" xr:uid="{5DEED707-37B1-495D-A5DC-2E8554A38CC6}"/>
    <cellStyle name="Normal 2 4 2 3 2 2 7 3" xfId="19398" xr:uid="{36453765-1A91-481C-91DE-C5AF3D8B35AC}"/>
    <cellStyle name="Normal 2 4 2 3 2 2 7 4" xfId="10964" xr:uid="{C69EC001-632E-459D-B4BD-A2C067F1A0DA}"/>
    <cellStyle name="Normal 2 4 2 3 2 2 8" xfId="4677" xr:uid="{00000000-0005-0000-0000-0000C00E0000}"/>
    <cellStyle name="Normal 2 4 2 3 2 2 8 2" xfId="21549" xr:uid="{5014E98C-6444-4082-94A2-1BBBAD490ABF}"/>
    <cellStyle name="Normal 2 4 2 3 2 2 8 3" xfId="13115" xr:uid="{16545F7F-68E7-46FA-B52E-39C36906363F}"/>
    <cellStyle name="Normal 2 4 2 3 2 2 9" xfId="17332" xr:uid="{6EAC14C7-4BBC-49E0-82FE-768C9B2968F4}"/>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24110" xr:uid="{E8E91137-E2FA-4487-B8B9-D9D31761548E}"/>
    <cellStyle name="Normal 2 4 2 3 2 3 2 2 2 3" xfId="15676" xr:uid="{58865722-07FC-47A2-9A67-7D75584BDE18}"/>
    <cellStyle name="Normal 2 4 2 3 2 3 2 2 3" xfId="19893" xr:uid="{4A5F7480-252F-431D-97E6-1D49E8CD7D67}"/>
    <cellStyle name="Normal 2 4 2 3 2 3 2 2 4" xfId="11459" xr:uid="{97291858-08CA-4E03-9E38-64572DB13C0A}"/>
    <cellStyle name="Normal 2 4 2 3 2 3 2 3" xfId="5093" xr:uid="{00000000-0005-0000-0000-0000C50E0000}"/>
    <cellStyle name="Normal 2 4 2 3 2 3 2 3 2" xfId="21965" xr:uid="{C666648B-B830-4802-B5A7-ED4F2511660C}"/>
    <cellStyle name="Normal 2 4 2 3 2 3 2 3 3" xfId="13531" xr:uid="{622A1611-9812-4761-8485-F26E70B31337}"/>
    <cellStyle name="Normal 2 4 2 3 2 3 2 4" xfId="17748" xr:uid="{74155CB3-D401-418F-9D1D-F8647B602330}"/>
    <cellStyle name="Normal 2 4 2 3 2 3 2 5" xfId="9314" xr:uid="{240D2B59-E6C4-4693-AF45-015D6EFECCD5}"/>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24523" xr:uid="{08B26EDE-22F9-4E0F-9CEF-FA971BC64424}"/>
    <cellStyle name="Normal 2 4 2 3 2 3 3 2 2 3" xfId="16089" xr:uid="{44A2AEA6-BD51-4980-A2BE-CEB647196C3E}"/>
    <cellStyle name="Normal 2 4 2 3 2 3 3 2 3" xfId="20306" xr:uid="{48D888DE-B80B-4932-9379-92540184F12C}"/>
    <cellStyle name="Normal 2 4 2 3 2 3 3 2 4" xfId="11872" xr:uid="{8DA9F439-8B85-4E09-A5D8-C8F795668465}"/>
    <cellStyle name="Normal 2 4 2 3 2 3 3 3" xfId="5506" xr:uid="{00000000-0005-0000-0000-0000C90E0000}"/>
    <cellStyle name="Normal 2 4 2 3 2 3 3 3 2" xfId="22378" xr:uid="{260396CB-BD3C-4917-B2D2-8E2751CF8B81}"/>
    <cellStyle name="Normal 2 4 2 3 2 3 3 3 3" xfId="13944" xr:uid="{5FE4F23A-41A6-49EE-AD3B-567543C2DDC6}"/>
    <cellStyle name="Normal 2 4 2 3 2 3 3 4" xfId="18161" xr:uid="{B3B4D654-F3C5-4C86-827D-704FEFDFEB0B}"/>
    <cellStyle name="Normal 2 4 2 3 2 3 3 5" xfId="9727" xr:uid="{72BADC7D-1884-4CB2-8AA0-B99E22C9600F}"/>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24936" xr:uid="{8D68704B-78A3-4DA3-B231-BCAD9F45D47F}"/>
    <cellStyle name="Normal 2 4 2 3 2 3 4 2 2 3" xfId="16502" xr:uid="{FDC5DC15-89C1-45DA-A02C-1E88B348AB80}"/>
    <cellStyle name="Normal 2 4 2 3 2 3 4 2 3" xfId="20719" xr:uid="{6D8EE231-AA4D-4B9C-BC58-9B1FD2D4095D}"/>
    <cellStyle name="Normal 2 4 2 3 2 3 4 2 4" xfId="12285" xr:uid="{AA8FE546-699F-42F3-8E03-0758828479BA}"/>
    <cellStyle name="Normal 2 4 2 3 2 3 4 3" xfId="5919" xr:uid="{00000000-0005-0000-0000-0000CD0E0000}"/>
    <cellStyle name="Normal 2 4 2 3 2 3 4 3 2" xfId="22791" xr:uid="{C17B590C-AD01-496D-84FA-B8216FA2E991}"/>
    <cellStyle name="Normal 2 4 2 3 2 3 4 3 3" xfId="14357" xr:uid="{97B13FAD-5C14-45E8-8C4C-03E2343B9D9D}"/>
    <cellStyle name="Normal 2 4 2 3 2 3 4 4" xfId="18574" xr:uid="{DD0FE163-7D7C-4B2D-AB20-607B7A6E8478}"/>
    <cellStyle name="Normal 2 4 2 3 2 3 4 5" xfId="10140" xr:uid="{9FBB1633-EDF2-4F30-B307-8015771F9A6E}"/>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25349" xr:uid="{12C5C71B-1DA3-4B52-9DAB-1959B28C5CF3}"/>
    <cellStyle name="Normal 2 4 2 3 2 3 5 2 2 3" xfId="16915" xr:uid="{7B7B7AA5-FF15-442A-9352-B8838E44756F}"/>
    <cellStyle name="Normal 2 4 2 3 2 3 5 2 3" xfId="21132" xr:uid="{7E3BB198-9CB4-4E8D-A079-E7440A352D0A}"/>
    <cellStyle name="Normal 2 4 2 3 2 3 5 2 4" xfId="12698" xr:uid="{C9B53D95-C921-4333-848A-7D33A0126450}"/>
    <cellStyle name="Normal 2 4 2 3 2 3 5 3" xfId="6332" xr:uid="{00000000-0005-0000-0000-0000D10E0000}"/>
    <cellStyle name="Normal 2 4 2 3 2 3 5 3 2" xfId="23204" xr:uid="{F49DA809-EA21-4CE5-8A81-18E9547654DF}"/>
    <cellStyle name="Normal 2 4 2 3 2 3 5 3 3" xfId="14770" xr:uid="{560C9CD5-B167-4B1E-8BBB-20F5A18AB489}"/>
    <cellStyle name="Normal 2 4 2 3 2 3 5 4" xfId="18987" xr:uid="{6D5452DE-A536-4930-8581-E5D5A837ECAF}"/>
    <cellStyle name="Normal 2 4 2 3 2 3 5 5" xfId="10553" xr:uid="{80E80477-D5CA-4302-9253-B239E02B75D2}"/>
    <cellStyle name="Normal 2 4 2 3 2 3 6" xfId="2461" xr:uid="{00000000-0005-0000-0000-0000D20E0000}"/>
    <cellStyle name="Normal 2 4 2 3 2 3 6 2" xfId="6745" xr:uid="{00000000-0005-0000-0000-0000D30E0000}"/>
    <cellStyle name="Normal 2 4 2 3 2 3 6 2 2" xfId="23617" xr:uid="{9CBF25D6-D1A4-4069-8B0E-85290B9FC30E}"/>
    <cellStyle name="Normal 2 4 2 3 2 3 6 2 3" xfId="15183" xr:uid="{25B8AD4F-8E26-4ED2-9C03-26A81B88B97C}"/>
    <cellStyle name="Normal 2 4 2 3 2 3 6 3" xfId="19400" xr:uid="{718C9FF4-585D-4402-84BC-9DE0897D2C52}"/>
    <cellStyle name="Normal 2 4 2 3 2 3 6 4" xfId="10966" xr:uid="{9BAD0FCE-3999-4BA5-BF57-4A17273DDE86}"/>
    <cellStyle name="Normal 2 4 2 3 2 3 7" xfId="4679" xr:uid="{00000000-0005-0000-0000-0000D40E0000}"/>
    <cellStyle name="Normal 2 4 2 3 2 3 7 2" xfId="21551" xr:uid="{29CA5CE2-6036-4CCE-9060-3B155B5BC6AE}"/>
    <cellStyle name="Normal 2 4 2 3 2 3 7 3" xfId="13117" xr:uid="{0EC68336-E679-4FDC-91B9-4809C033EE4E}"/>
    <cellStyle name="Normal 2 4 2 3 2 3 8" xfId="17334" xr:uid="{AFE17F53-B023-4E2F-9E6C-D15B6811D322}"/>
    <cellStyle name="Normal 2 4 2 3 2 3 9" xfId="8900" xr:uid="{68B19A83-87A8-47E5-A0A6-F9E316EDA01B}"/>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24107" xr:uid="{7AF47919-D0A5-4CF8-937F-356F4801D0FB}"/>
    <cellStyle name="Normal 2 4 2 3 2 4 2 2 3" xfId="15673" xr:uid="{F2FC0FC9-FE37-4C14-9609-3496EBFB006C}"/>
    <cellStyle name="Normal 2 4 2 3 2 4 2 3" xfId="19890" xr:uid="{FB1FD8D0-0CF1-4F0D-86EA-B9F117E81723}"/>
    <cellStyle name="Normal 2 4 2 3 2 4 2 4" xfId="11456" xr:uid="{40BD482A-FB89-42B2-9583-EDE3A258CAF8}"/>
    <cellStyle name="Normal 2 4 2 3 2 4 3" xfId="5090" xr:uid="{00000000-0005-0000-0000-0000D80E0000}"/>
    <cellStyle name="Normal 2 4 2 3 2 4 3 2" xfId="21962" xr:uid="{C2900BE0-D471-4675-910D-0FEEA84D7885}"/>
    <cellStyle name="Normal 2 4 2 3 2 4 3 3" xfId="13528" xr:uid="{75153847-435A-4757-81BF-94E10FBBF045}"/>
    <cellStyle name="Normal 2 4 2 3 2 4 4" xfId="17745" xr:uid="{98FD44F8-2C97-45BD-A357-23AC7D183982}"/>
    <cellStyle name="Normal 2 4 2 3 2 4 5" xfId="9311" xr:uid="{3B589092-AA11-423B-A79A-CD9CFA14212B}"/>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24520" xr:uid="{29449442-B09A-46C0-BB83-8CB7FBE2DD53}"/>
    <cellStyle name="Normal 2 4 2 3 2 5 2 2 3" xfId="16086" xr:uid="{EDA8586F-ED99-4165-A20D-D504F0214D4C}"/>
    <cellStyle name="Normal 2 4 2 3 2 5 2 3" xfId="20303" xr:uid="{0AD54640-28D9-4578-96E0-270BCA8C1B88}"/>
    <cellStyle name="Normal 2 4 2 3 2 5 2 4" xfId="11869" xr:uid="{67D6B704-59D7-405D-8466-B5DF759A3DFE}"/>
    <cellStyle name="Normal 2 4 2 3 2 5 3" xfId="5503" xr:uid="{00000000-0005-0000-0000-0000DC0E0000}"/>
    <cellStyle name="Normal 2 4 2 3 2 5 3 2" xfId="22375" xr:uid="{C4CC4B33-4A3B-4C97-B258-B9306AE5BF70}"/>
    <cellStyle name="Normal 2 4 2 3 2 5 3 3" xfId="13941" xr:uid="{31E162C9-6456-4B25-A125-54D7A9235437}"/>
    <cellStyle name="Normal 2 4 2 3 2 5 4" xfId="18158" xr:uid="{E58E63BF-21CA-4878-AC8C-C51F51AAC5B3}"/>
    <cellStyle name="Normal 2 4 2 3 2 5 5" xfId="9724" xr:uid="{E62E53D1-585E-41DF-9744-9792FEB8B51D}"/>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24933" xr:uid="{9C239B7E-ECA6-4A12-ACC2-3930A9B2CF0D}"/>
    <cellStyle name="Normal 2 4 2 3 2 6 2 2 3" xfId="16499" xr:uid="{95121DB3-B72E-41E4-A7FA-630C18693005}"/>
    <cellStyle name="Normal 2 4 2 3 2 6 2 3" xfId="20716" xr:uid="{7662A5CD-C28F-4B9A-BB3B-C36DDE71D683}"/>
    <cellStyle name="Normal 2 4 2 3 2 6 2 4" xfId="12282" xr:uid="{7F611FCF-E414-46F9-BA21-AB03BCBF3BBC}"/>
    <cellStyle name="Normal 2 4 2 3 2 6 3" xfId="5916" xr:uid="{00000000-0005-0000-0000-0000E00E0000}"/>
    <cellStyle name="Normal 2 4 2 3 2 6 3 2" xfId="22788" xr:uid="{4637BD86-779A-405B-97C5-32A53B24B44F}"/>
    <cellStyle name="Normal 2 4 2 3 2 6 3 3" xfId="14354" xr:uid="{EC259928-E16F-4319-AEC7-7ECA3D063CF7}"/>
    <cellStyle name="Normal 2 4 2 3 2 6 4" xfId="18571" xr:uid="{A2A9749F-4425-4B70-A0F4-F0EF56158066}"/>
    <cellStyle name="Normal 2 4 2 3 2 6 5" xfId="10137" xr:uid="{F85EBCA9-AB0B-4373-A729-7481551E2BE7}"/>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25346" xr:uid="{9B21F62A-E02C-4388-9B79-F097346050BE}"/>
    <cellStyle name="Normal 2 4 2 3 2 7 2 2 3" xfId="16912" xr:uid="{9DE3B302-DA9D-4CCC-8E92-97D508FBA7AE}"/>
    <cellStyle name="Normal 2 4 2 3 2 7 2 3" xfId="21129" xr:uid="{AD7506F7-667C-484F-9868-88658F92DE67}"/>
    <cellStyle name="Normal 2 4 2 3 2 7 2 4" xfId="12695" xr:uid="{CBFAA21D-D21A-45AE-89A3-A1F479E89F32}"/>
    <cellStyle name="Normal 2 4 2 3 2 7 3" xfId="6329" xr:uid="{00000000-0005-0000-0000-0000E40E0000}"/>
    <cellStyle name="Normal 2 4 2 3 2 7 3 2" xfId="23201" xr:uid="{35AF6452-F773-4255-8739-556B5DC28324}"/>
    <cellStyle name="Normal 2 4 2 3 2 7 3 3" xfId="14767" xr:uid="{B63E0326-7AE3-4EFC-9637-CD8C9832577F}"/>
    <cellStyle name="Normal 2 4 2 3 2 7 4" xfId="18984" xr:uid="{1550065B-0D26-4379-A89E-6B14AD6B349C}"/>
    <cellStyle name="Normal 2 4 2 3 2 7 5" xfId="10550" xr:uid="{740C2204-2689-458F-9EF9-D8C03F5483D1}"/>
    <cellStyle name="Normal 2 4 2 3 2 8" xfId="2458" xr:uid="{00000000-0005-0000-0000-0000E50E0000}"/>
    <cellStyle name="Normal 2 4 2 3 2 8 2" xfId="6742" xr:uid="{00000000-0005-0000-0000-0000E60E0000}"/>
    <cellStyle name="Normal 2 4 2 3 2 8 2 2" xfId="23614" xr:uid="{0CB6D65C-785F-441E-A12C-7CA7B22A9299}"/>
    <cellStyle name="Normal 2 4 2 3 2 8 2 3" xfId="15180" xr:uid="{DE01C183-B0C2-4386-B2DF-C8EC4AA7506F}"/>
    <cellStyle name="Normal 2 4 2 3 2 8 3" xfId="19397" xr:uid="{9A8D1B48-42AC-4F44-9F1B-B727EABDB908}"/>
    <cellStyle name="Normal 2 4 2 3 2 8 4" xfId="10963" xr:uid="{2BB891B2-8699-4F90-B254-038DD417BA61}"/>
    <cellStyle name="Normal 2 4 2 3 2 9" xfId="4676" xr:uid="{00000000-0005-0000-0000-0000E70E0000}"/>
    <cellStyle name="Normal 2 4 2 3 2 9 2" xfId="21548" xr:uid="{0A27C3AF-3099-4E22-BDBB-32E725B75E9A}"/>
    <cellStyle name="Normal 2 4 2 3 2 9 3" xfId="13114" xr:uid="{040E76A8-D5C8-4447-9F69-ECDCF45DEE58}"/>
    <cellStyle name="Normal 2 4 2 3 3" xfId="286" xr:uid="{00000000-0005-0000-0000-0000E80E0000}"/>
    <cellStyle name="Normal 2 4 2 3 3 10" xfId="8901" xr:uid="{17F57857-0E7D-4538-BACB-2C796E886E2C}"/>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24112" xr:uid="{0E1E433B-2FE3-4A4F-954F-C2DE77D3733D}"/>
    <cellStyle name="Normal 2 4 2 3 3 2 2 2 2 3" xfId="15678" xr:uid="{AF957D08-91EF-45A3-83BB-E22156D5BEE7}"/>
    <cellStyle name="Normal 2 4 2 3 3 2 2 2 3" xfId="19895" xr:uid="{3E944B33-2C98-4A4F-8489-C7511396DBF5}"/>
    <cellStyle name="Normal 2 4 2 3 3 2 2 2 4" xfId="11461" xr:uid="{8D369695-5A8F-45BE-907F-8CFCA3599876}"/>
    <cellStyle name="Normal 2 4 2 3 3 2 2 3" xfId="5095" xr:uid="{00000000-0005-0000-0000-0000ED0E0000}"/>
    <cellStyle name="Normal 2 4 2 3 3 2 2 3 2" xfId="21967" xr:uid="{FA72CE5C-3D20-46CE-A34B-F1ACD556596D}"/>
    <cellStyle name="Normal 2 4 2 3 3 2 2 3 3" xfId="13533" xr:uid="{153BA521-9851-423D-8000-CF9CE9FF40BE}"/>
    <cellStyle name="Normal 2 4 2 3 3 2 2 4" xfId="17750" xr:uid="{15110781-BF27-455E-89A9-C030A8B34582}"/>
    <cellStyle name="Normal 2 4 2 3 3 2 2 5" xfId="9316" xr:uid="{6AC38114-3B65-4DC3-B7AC-E8610515F229}"/>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24525" xr:uid="{0475FF7A-B8DE-4134-AD5C-48560E795B7A}"/>
    <cellStyle name="Normal 2 4 2 3 3 2 3 2 2 3" xfId="16091" xr:uid="{9441C199-A05D-4B68-9E18-3C683909AD4E}"/>
    <cellStyle name="Normal 2 4 2 3 3 2 3 2 3" xfId="20308" xr:uid="{0D30ED97-9D81-4234-8496-6EBEC79851F8}"/>
    <cellStyle name="Normal 2 4 2 3 3 2 3 2 4" xfId="11874" xr:uid="{D2552A8C-8F01-4EEA-9EF6-FAB16CCE0AF5}"/>
    <cellStyle name="Normal 2 4 2 3 3 2 3 3" xfId="5508" xr:uid="{00000000-0005-0000-0000-0000F10E0000}"/>
    <cellStyle name="Normal 2 4 2 3 3 2 3 3 2" xfId="22380" xr:uid="{4060905A-6001-46CD-9CE6-B5A2DC6051C6}"/>
    <cellStyle name="Normal 2 4 2 3 3 2 3 3 3" xfId="13946" xr:uid="{693476A1-602D-42DF-9D6B-B0919B936A7B}"/>
    <cellStyle name="Normal 2 4 2 3 3 2 3 4" xfId="18163" xr:uid="{B80B0FEF-0A1A-4563-BDC5-C72C784C1694}"/>
    <cellStyle name="Normal 2 4 2 3 3 2 3 5" xfId="9729" xr:uid="{26CB5AEB-4B8D-4193-9B04-CF642D11F9D9}"/>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24938" xr:uid="{05953D12-8546-4180-93C8-26595DB5B850}"/>
    <cellStyle name="Normal 2 4 2 3 3 2 4 2 2 3" xfId="16504" xr:uid="{A00A7727-494D-460B-B5A4-A5948844AE35}"/>
    <cellStyle name="Normal 2 4 2 3 3 2 4 2 3" xfId="20721" xr:uid="{92CFC424-B757-4B86-A3DC-50F27EFB39D5}"/>
    <cellStyle name="Normal 2 4 2 3 3 2 4 2 4" xfId="12287" xr:uid="{D7B509EF-694D-4A45-95B9-675C43DAC228}"/>
    <cellStyle name="Normal 2 4 2 3 3 2 4 3" xfId="5921" xr:uid="{00000000-0005-0000-0000-0000F50E0000}"/>
    <cellStyle name="Normal 2 4 2 3 3 2 4 3 2" xfId="22793" xr:uid="{7E2DBB15-C629-4327-B704-91A4AB744F37}"/>
    <cellStyle name="Normal 2 4 2 3 3 2 4 3 3" xfId="14359" xr:uid="{C2C1A6D0-BDD6-4803-81EE-9B9DC93BF7F2}"/>
    <cellStyle name="Normal 2 4 2 3 3 2 4 4" xfId="18576" xr:uid="{D7F710F6-075C-410F-9C49-5B7429E96C1C}"/>
    <cellStyle name="Normal 2 4 2 3 3 2 4 5" xfId="10142" xr:uid="{B5E8C487-D06A-4830-ADAC-65F309EB73AC}"/>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25351" xr:uid="{F24A2DEB-B096-4614-A785-2AF742054398}"/>
    <cellStyle name="Normal 2 4 2 3 3 2 5 2 2 3" xfId="16917" xr:uid="{A0969A80-9940-4069-A756-78761D327B77}"/>
    <cellStyle name="Normal 2 4 2 3 3 2 5 2 3" xfId="21134" xr:uid="{D8358F09-C692-4136-9554-255DAC017CD6}"/>
    <cellStyle name="Normal 2 4 2 3 3 2 5 2 4" xfId="12700" xr:uid="{C1AD69C7-B7E5-49F1-B2DF-58BCEFFA848F}"/>
    <cellStyle name="Normal 2 4 2 3 3 2 5 3" xfId="6334" xr:uid="{00000000-0005-0000-0000-0000F90E0000}"/>
    <cellStyle name="Normal 2 4 2 3 3 2 5 3 2" xfId="23206" xr:uid="{ABC61803-3E7B-4998-AD3B-0445852E5E93}"/>
    <cellStyle name="Normal 2 4 2 3 3 2 5 3 3" xfId="14772" xr:uid="{C4EB47CC-ACA7-46C5-8E90-20E536496B40}"/>
    <cellStyle name="Normal 2 4 2 3 3 2 5 4" xfId="18989" xr:uid="{5CC42118-870B-4559-9E9D-E9D9B952694D}"/>
    <cellStyle name="Normal 2 4 2 3 3 2 5 5" xfId="10555" xr:uid="{09BD94F1-5E5E-4F82-B7D5-D9CA24758310}"/>
    <cellStyle name="Normal 2 4 2 3 3 2 6" xfId="2463" xr:uid="{00000000-0005-0000-0000-0000FA0E0000}"/>
    <cellStyle name="Normal 2 4 2 3 3 2 6 2" xfId="6747" xr:uid="{00000000-0005-0000-0000-0000FB0E0000}"/>
    <cellStyle name="Normal 2 4 2 3 3 2 6 2 2" xfId="23619" xr:uid="{DD16A748-9080-4542-A979-C0B4FCB482D1}"/>
    <cellStyle name="Normal 2 4 2 3 3 2 6 2 3" xfId="15185" xr:uid="{20DD6984-B1A8-4409-9E0C-0F72F62CF34F}"/>
    <cellStyle name="Normal 2 4 2 3 3 2 6 3" xfId="19402" xr:uid="{B8043C0B-1CA1-498F-A409-21DB04A95A6B}"/>
    <cellStyle name="Normal 2 4 2 3 3 2 6 4" xfId="10968" xr:uid="{42991C63-34A9-4BEA-A9D0-FBB12D75F8A8}"/>
    <cellStyle name="Normal 2 4 2 3 3 2 7" xfId="4681" xr:uid="{00000000-0005-0000-0000-0000FC0E0000}"/>
    <cellStyle name="Normal 2 4 2 3 3 2 7 2" xfId="21553" xr:uid="{8607DF59-9E36-4CA4-A034-85FA910B9965}"/>
    <cellStyle name="Normal 2 4 2 3 3 2 7 3" xfId="13119" xr:uid="{45CF4399-F56F-4260-954D-21EF80103B8D}"/>
    <cellStyle name="Normal 2 4 2 3 3 2 8" xfId="17336" xr:uid="{741B0B85-3919-42AB-9417-6E0824BC221D}"/>
    <cellStyle name="Normal 2 4 2 3 3 2 9" xfId="8902" xr:uid="{31420F34-48A8-4470-8651-8AE2490D12D9}"/>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24111" xr:uid="{626A8156-4C1D-4C68-A6B2-9F505C7773BB}"/>
    <cellStyle name="Normal 2 4 2 3 3 3 2 2 3" xfId="15677" xr:uid="{F1E3BAA3-19F4-494A-A47F-FC51DBB81AE1}"/>
    <cellStyle name="Normal 2 4 2 3 3 3 2 3" xfId="19894" xr:uid="{21DA202E-63B9-471D-8C8C-FA4D5D215C66}"/>
    <cellStyle name="Normal 2 4 2 3 3 3 2 4" xfId="11460" xr:uid="{05E7E677-D7A8-4029-B86D-D0F0273E798C}"/>
    <cellStyle name="Normal 2 4 2 3 3 3 3" xfId="5094" xr:uid="{00000000-0005-0000-0000-0000000F0000}"/>
    <cellStyle name="Normal 2 4 2 3 3 3 3 2" xfId="21966" xr:uid="{7C355A2F-D886-4F59-A9CC-8116EEADCA0C}"/>
    <cellStyle name="Normal 2 4 2 3 3 3 3 3" xfId="13532" xr:uid="{5588C32B-56E3-418F-8A78-4B22AC488E46}"/>
    <cellStyle name="Normal 2 4 2 3 3 3 4" xfId="17749" xr:uid="{A21E9B10-B3B5-4550-905B-C5B7D8643746}"/>
    <cellStyle name="Normal 2 4 2 3 3 3 5" xfId="9315" xr:uid="{F8F0503C-CFE8-455F-877A-6318DA6A687C}"/>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24524" xr:uid="{B97EBD61-B765-463C-A017-FF8AC89887A1}"/>
    <cellStyle name="Normal 2 4 2 3 3 4 2 2 3" xfId="16090" xr:uid="{317914E6-ACF8-48F3-BDD1-48D439DC083E}"/>
    <cellStyle name="Normal 2 4 2 3 3 4 2 3" xfId="20307" xr:uid="{2DC4140A-2AAE-4990-8F74-F61CE40D333D}"/>
    <cellStyle name="Normal 2 4 2 3 3 4 2 4" xfId="11873" xr:uid="{14844DA6-C502-46DC-9B40-0A60E926BCE2}"/>
    <cellStyle name="Normal 2 4 2 3 3 4 3" xfId="5507" xr:uid="{00000000-0005-0000-0000-0000040F0000}"/>
    <cellStyle name="Normal 2 4 2 3 3 4 3 2" xfId="22379" xr:uid="{5FDB81E1-E4B5-45F7-97DF-000ABAFE2C1E}"/>
    <cellStyle name="Normal 2 4 2 3 3 4 3 3" xfId="13945" xr:uid="{53551E79-D641-44AB-B8C7-3F1986447DE8}"/>
    <cellStyle name="Normal 2 4 2 3 3 4 4" xfId="18162" xr:uid="{734B4965-BB85-4B79-8041-9560E298DEF1}"/>
    <cellStyle name="Normal 2 4 2 3 3 4 5" xfId="9728" xr:uid="{E2DD68F6-A2A3-4D3A-BD2A-C7CBD0BC261A}"/>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24937" xr:uid="{5D245412-78AC-4AA5-87C2-BB091DFC964C}"/>
    <cellStyle name="Normal 2 4 2 3 3 5 2 2 3" xfId="16503" xr:uid="{71874B1F-2D27-4420-ABBA-9A9A50EA6B05}"/>
    <cellStyle name="Normal 2 4 2 3 3 5 2 3" xfId="20720" xr:uid="{416B5E93-91B3-496A-9EFF-7DDC0F3A9B7B}"/>
    <cellStyle name="Normal 2 4 2 3 3 5 2 4" xfId="12286" xr:uid="{86A627F2-F8D6-4189-B29F-35F0945F58B3}"/>
    <cellStyle name="Normal 2 4 2 3 3 5 3" xfId="5920" xr:uid="{00000000-0005-0000-0000-0000080F0000}"/>
    <cellStyle name="Normal 2 4 2 3 3 5 3 2" xfId="22792" xr:uid="{3E87D9D3-0299-4E7C-A720-1E4E1E9AC0C2}"/>
    <cellStyle name="Normal 2 4 2 3 3 5 3 3" xfId="14358" xr:uid="{3F288F30-46D9-47F4-90B4-DEA853A3DBEF}"/>
    <cellStyle name="Normal 2 4 2 3 3 5 4" xfId="18575" xr:uid="{D973E62C-1D9E-43E2-9F35-2829F7F961DB}"/>
    <cellStyle name="Normal 2 4 2 3 3 5 5" xfId="10141" xr:uid="{956A832B-9981-4837-A3D2-FA29F3448F67}"/>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25350" xr:uid="{99024CF5-1A74-468E-A1B8-96473F41F0CB}"/>
    <cellStyle name="Normal 2 4 2 3 3 6 2 2 3" xfId="16916" xr:uid="{7E76048F-84F1-4C81-9C15-48EBC648B64D}"/>
    <cellStyle name="Normal 2 4 2 3 3 6 2 3" xfId="21133" xr:uid="{29428071-1F79-48BB-8A2B-FF9E779CC868}"/>
    <cellStyle name="Normal 2 4 2 3 3 6 2 4" xfId="12699" xr:uid="{A33E4E10-8D86-4E78-8AE5-D094AFE4D5C7}"/>
    <cellStyle name="Normal 2 4 2 3 3 6 3" xfId="6333" xr:uid="{00000000-0005-0000-0000-00000C0F0000}"/>
    <cellStyle name="Normal 2 4 2 3 3 6 3 2" xfId="23205" xr:uid="{E47E9CE6-2924-4FD7-A4AE-8780F3109DE8}"/>
    <cellStyle name="Normal 2 4 2 3 3 6 3 3" xfId="14771" xr:uid="{FD6E2E9A-DAA4-462F-99D6-0BFA1C4629BB}"/>
    <cellStyle name="Normal 2 4 2 3 3 6 4" xfId="18988" xr:uid="{8DE71B10-D088-466D-BAC5-B8C86C6A025E}"/>
    <cellStyle name="Normal 2 4 2 3 3 6 5" xfId="10554" xr:uid="{2B33DD9B-B3C6-4AC3-9539-ED301D17E550}"/>
    <cellStyle name="Normal 2 4 2 3 3 7" xfId="2462" xr:uid="{00000000-0005-0000-0000-00000D0F0000}"/>
    <cellStyle name="Normal 2 4 2 3 3 7 2" xfId="6746" xr:uid="{00000000-0005-0000-0000-00000E0F0000}"/>
    <cellStyle name="Normal 2 4 2 3 3 7 2 2" xfId="23618" xr:uid="{6D09CE3B-6909-4C0A-AD13-425389B2262D}"/>
    <cellStyle name="Normal 2 4 2 3 3 7 2 3" xfId="15184" xr:uid="{9C3A1558-744A-404E-AB1B-7A19C7A8666A}"/>
    <cellStyle name="Normal 2 4 2 3 3 7 3" xfId="19401" xr:uid="{F4B30CEE-AACE-4C39-9FC8-0F473BF4AF37}"/>
    <cellStyle name="Normal 2 4 2 3 3 7 4" xfId="10967" xr:uid="{BE7368B5-DA4A-4268-90D8-098F92FA7A50}"/>
    <cellStyle name="Normal 2 4 2 3 3 8" xfId="4680" xr:uid="{00000000-0005-0000-0000-00000F0F0000}"/>
    <cellStyle name="Normal 2 4 2 3 3 8 2" xfId="21552" xr:uid="{BE99BFD7-0F6C-4E0E-A400-8FC44C9325DC}"/>
    <cellStyle name="Normal 2 4 2 3 3 8 3" xfId="13118" xr:uid="{C58C8160-A96C-4451-8344-5362E32BDAE1}"/>
    <cellStyle name="Normal 2 4 2 3 3 9" xfId="17335" xr:uid="{400CBA4B-C1C0-4B09-850A-5E39FEE5A197}"/>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24113" xr:uid="{BC2820DD-DE9F-4CF4-AF38-1FC1DDDE42CF}"/>
    <cellStyle name="Normal 2 4 2 3 4 2 2 2 3" xfId="15679" xr:uid="{AE99E58D-5AAA-4724-97E4-20E65DC23792}"/>
    <cellStyle name="Normal 2 4 2 3 4 2 2 3" xfId="19896" xr:uid="{AEAD4CB2-A51B-405F-88E4-C55908C37C65}"/>
    <cellStyle name="Normal 2 4 2 3 4 2 2 4" xfId="11462" xr:uid="{39786BB0-EE5C-4089-9919-6678131309A3}"/>
    <cellStyle name="Normal 2 4 2 3 4 2 3" xfId="5096" xr:uid="{00000000-0005-0000-0000-0000140F0000}"/>
    <cellStyle name="Normal 2 4 2 3 4 2 3 2" xfId="21968" xr:uid="{4373C3FA-5DC2-4240-825A-F2CD37629C3C}"/>
    <cellStyle name="Normal 2 4 2 3 4 2 3 3" xfId="13534" xr:uid="{98DEC659-C1F5-4256-8E07-CDFC49B773C9}"/>
    <cellStyle name="Normal 2 4 2 3 4 2 4" xfId="17751" xr:uid="{F0ACD0F6-1A5E-4342-A6FC-B5DC58E4EA42}"/>
    <cellStyle name="Normal 2 4 2 3 4 2 5" xfId="9317" xr:uid="{FF65D151-4DB4-4C61-B7AB-58407B4608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24526" xr:uid="{F9DE758C-9700-48C1-8C2E-FD8090B71906}"/>
    <cellStyle name="Normal 2 4 2 3 4 3 2 2 3" xfId="16092" xr:uid="{77897224-A41F-4F44-A824-625328AC78CD}"/>
    <cellStyle name="Normal 2 4 2 3 4 3 2 3" xfId="20309" xr:uid="{C3DF9576-9E41-402F-ADCB-772AB161C796}"/>
    <cellStyle name="Normal 2 4 2 3 4 3 2 4" xfId="11875" xr:uid="{0F754F19-700D-4B64-A2CA-D180386F0ABC}"/>
    <cellStyle name="Normal 2 4 2 3 4 3 3" xfId="5509" xr:uid="{00000000-0005-0000-0000-0000180F0000}"/>
    <cellStyle name="Normal 2 4 2 3 4 3 3 2" xfId="22381" xr:uid="{451EFB6F-D49F-4B09-8A83-AAF9AFC16751}"/>
    <cellStyle name="Normal 2 4 2 3 4 3 3 3" xfId="13947" xr:uid="{DED196F8-5C24-4C70-B65D-034715371A56}"/>
    <cellStyle name="Normal 2 4 2 3 4 3 4" xfId="18164" xr:uid="{045F0842-0A46-4589-A427-9254F9502445}"/>
    <cellStyle name="Normal 2 4 2 3 4 3 5" xfId="9730" xr:uid="{96DCD3AE-CFD6-4EC6-A648-C82ACE17E467}"/>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24939" xr:uid="{98784FB3-3FBA-4FB3-8118-7343D23BC46E}"/>
    <cellStyle name="Normal 2 4 2 3 4 4 2 2 3" xfId="16505" xr:uid="{66A27727-F22F-41F6-8648-8BDFB28F2966}"/>
    <cellStyle name="Normal 2 4 2 3 4 4 2 3" xfId="20722" xr:uid="{E5DB37E4-F120-452C-AEC2-7967B8C7C19A}"/>
    <cellStyle name="Normal 2 4 2 3 4 4 2 4" xfId="12288" xr:uid="{ED759BDE-265A-4CBD-9E68-74F773D3BD55}"/>
    <cellStyle name="Normal 2 4 2 3 4 4 3" xfId="5922" xr:uid="{00000000-0005-0000-0000-00001C0F0000}"/>
    <cellStyle name="Normal 2 4 2 3 4 4 3 2" xfId="22794" xr:uid="{F96CCCE2-294E-42F3-B71C-32FB1F544F6D}"/>
    <cellStyle name="Normal 2 4 2 3 4 4 3 3" xfId="14360" xr:uid="{3A86C504-78D1-403E-A9B0-5C0A4974A00E}"/>
    <cellStyle name="Normal 2 4 2 3 4 4 4" xfId="18577" xr:uid="{E89195E7-F990-4E68-B237-7F0E126BE5BF}"/>
    <cellStyle name="Normal 2 4 2 3 4 4 5" xfId="10143" xr:uid="{CF57337A-E6B0-476C-858E-80D05CD76697}"/>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25352" xr:uid="{3D263E02-B93E-4385-A05F-28B7CB20AFA5}"/>
    <cellStyle name="Normal 2 4 2 3 4 5 2 2 3" xfId="16918" xr:uid="{1CD01E6C-2BDB-4068-A47F-F8A240B240C3}"/>
    <cellStyle name="Normal 2 4 2 3 4 5 2 3" xfId="21135" xr:uid="{DCDF832C-0284-421E-893E-A9392B74E962}"/>
    <cellStyle name="Normal 2 4 2 3 4 5 2 4" xfId="12701" xr:uid="{EDEE6A16-A91A-40E7-B0D7-39A59562110B}"/>
    <cellStyle name="Normal 2 4 2 3 4 5 3" xfId="6335" xr:uid="{00000000-0005-0000-0000-0000200F0000}"/>
    <cellStyle name="Normal 2 4 2 3 4 5 3 2" xfId="23207" xr:uid="{7A44171C-3534-4AD5-8F3E-F1B0D975E465}"/>
    <cellStyle name="Normal 2 4 2 3 4 5 3 3" xfId="14773" xr:uid="{D5512DF8-5353-48E8-BA84-98905FCCD4D2}"/>
    <cellStyle name="Normal 2 4 2 3 4 5 4" xfId="18990" xr:uid="{D7F511D8-0407-46B1-B1F3-B0942854D7AB}"/>
    <cellStyle name="Normal 2 4 2 3 4 5 5" xfId="10556" xr:uid="{6C7FFCF9-0117-441B-BA97-449F4A9C7C12}"/>
    <cellStyle name="Normal 2 4 2 3 4 6" xfId="2464" xr:uid="{00000000-0005-0000-0000-0000210F0000}"/>
    <cellStyle name="Normal 2 4 2 3 4 6 2" xfId="6748" xr:uid="{00000000-0005-0000-0000-0000220F0000}"/>
    <cellStyle name="Normal 2 4 2 3 4 6 2 2" xfId="23620" xr:uid="{1A1BA659-9604-479C-B10F-97FC4E9C5B8E}"/>
    <cellStyle name="Normal 2 4 2 3 4 6 2 3" xfId="15186" xr:uid="{E6FD9B40-6E40-4297-AAFD-E75377B08346}"/>
    <cellStyle name="Normal 2 4 2 3 4 6 3" xfId="19403" xr:uid="{98F91CB2-D232-423E-88B7-5BFBE52392C6}"/>
    <cellStyle name="Normal 2 4 2 3 4 6 4" xfId="10969" xr:uid="{BE96A928-26CB-4D81-B7C1-8E26C61AD66F}"/>
    <cellStyle name="Normal 2 4 2 3 4 7" xfId="4682" xr:uid="{00000000-0005-0000-0000-0000230F0000}"/>
    <cellStyle name="Normal 2 4 2 3 4 7 2" xfId="21554" xr:uid="{B2C76818-7D2F-4B58-A6F2-F8617314B1D0}"/>
    <cellStyle name="Normal 2 4 2 3 4 7 3" xfId="13120" xr:uid="{B089B4F4-279D-475B-9C7E-488103A600ED}"/>
    <cellStyle name="Normal 2 4 2 3 4 8" xfId="17337" xr:uid="{21B42D20-F345-4AE7-B9CC-491F3F57D7C0}"/>
    <cellStyle name="Normal 2 4 2 3 4 9" xfId="8903" xr:uid="{6BFF11CA-79E2-4EEB-B768-E2417663255F}"/>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24106" xr:uid="{607CF48B-953F-42BC-BDBC-4F063ECA90FA}"/>
    <cellStyle name="Normal 2 4 2 3 5 2 2 3" xfId="15672" xr:uid="{EB6FB2F6-D819-4931-BD8A-2EF38AD3CB33}"/>
    <cellStyle name="Normal 2 4 2 3 5 2 3" xfId="19889" xr:uid="{7B100D7B-76E3-48D5-A5C1-3C3173C73FCD}"/>
    <cellStyle name="Normal 2 4 2 3 5 2 4" xfId="11455" xr:uid="{6949F840-BF58-43B2-B4CA-859110A78133}"/>
    <cellStyle name="Normal 2 4 2 3 5 3" xfId="5089" xr:uid="{00000000-0005-0000-0000-0000270F0000}"/>
    <cellStyle name="Normal 2 4 2 3 5 3 2" xfId="21961" xr:uid="{5C86C2D9-8AB6-45C3-8954-25DD462BC022}"/>
    <cellStyle name="Normal 2 4 2 3 5 3 3" xfId="13527" xr:uid="{56592ACD-E10A-48F7-B506-37251EB35FE1}"/>
    <cellStyle name="Normal 2 4 2 3 5 4" xfId="17744" xr:uid="{075B1F56-DB2B-44B5-A5F0-772D986A706B}"/>
    <cellStyle name="Normal 2 4 2 3 5 5" xfId="9310" xr:uid="{CC90C8BA-C1B5-40E8-9D81-0261EAB7FC19}"/>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24519" xr:uid="{2940C68B-CE1C-4C34-A4BA-365D33E75F58}"/>
    <cellStyle name="Normal 2 4 2 3 6 2 2 3" xfId="16085" xr:uid="{A054BDDD-B330-4528-97C6-F2A99A1C96AD}"/>
    <cellStyle name="Normal 2 4 2 3 6 2 3" xfId="20302" xr:uid="{63AA10DE-2363-4702-B130-3C076514D402}"/>
    <cellStyle name="Normal 2 4 2 3 6 2 4" xfId="11868" xr:uid="{1B1509DD-4755-4AA7-9B77-14DD6DE555AF}"/>
    <cellStyle name="Normal 2 4 2 3 6 3" xfId="5502" xr:uid="{00000000-0005-0000-0000-00002B0F0000}"/>
    <cellStyle name="Normal 2 4 2 3 6 3 2" xfId="22374" xr:uid="{58A20A32-1234-4E71-A41C-65D041E92256}"/>
    <cellStyle name="Normal 2 4 2 3 6 3 3" xfId="13940" xr:uid="{3B9DE685-6E96-4B70-85DD-25922F6AA15B}"/>
    <cellStyle name="Normal 2 4 2 3 6 4" xfId="18157" xr:uid="{02AACFD6-9A11-4449-AE0C-83AC71236A15}"/>
    <cellStyle name="Normal 2 4 2 3 6 5" xfId="9723" xr:uid="{34083A1C-BCA8-45CC-A74B-288E82EE69EF}"/>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24932" xr:uid="{6E1F4126-77F6-43BF-AA73-EDE931097B1B}"/>
    <cellStyle name="Normal 2 4 2 3 7 2 2 3" xfId="16498" xr:uid="{9D4E3876-95BA-4EC9-ADAF-3CF079CDC633}"/>
    <cellStyle name="Normal 2 4 2 3 7 2 3" xfId="20715" xr:uid="{15B4435B-5F8B-4982-974C-F9DE1B750AF6}"/>
    <cellStyle name="Normal 2 4 2 3 7 2 4" xfId="12281" xr:uid="{5B4D09C9-5E58-4CF8-9A8C-C18428FDAAB9}"/>
    <cellStyle name="Normal 2 4 2 3 7 3" xfId="5915" xr:uid="{00000000-0005-0000-0000-00002F0F0000}"/>
    <cellStyle name="Normal 2 4 2 3 7 3 2" xfId="22787" xr:uid="{662B16F2-6551-4860-B05D-42C59829190B}"/>
    <cellStyle name="Normal 2 4 2 3 7 3 3" xfId="14353" xr:uid="{C0318CDC-72B3-48BD-88FF-F33320A3B584}"/>
    <cellStyle name="Normal 2 4 2 3 7 4" xfId="18570" xr:uid="{787D4275-D2D4-4740-930D-F5842DD7E321}"/>
    <cellStyle name="Normal 2 4 2 3 7 5" xfId="10136" xr:uid="{FE6600A1-21D5-4B00-A9A7-397E95A647B4}"/>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25345" xr:uid="{868D675C-E35B-4ED3-ACFC-8164EE764006}"/>
    <cellStyle name="Normal 2 4 2 3 8 2 2 3" xfId="16911" xr:uid="{D0FBE88C-9C7A-4439-80A2-A435B8303F77}"/>
    <cellStyle name="Normal 2 4 2 3 8 2 3" xfId="21128" xr:uid="{69B5402A-12A2-46FE-A1EF-7F54CAFAA90C}"/>
    <cellStyle name="Normal 2 4 2 3 8 2 4" xfId="12694" xr:uid="{2A6722A9-CF11-443B-BDDB-1BD5CA55D55B}"/>
    <cellStyle name="Normal 2 4 2 3 8 3" xfId="6328" xr:uid="{00000000-0005-0000-0000-0000330F0000}"/>
    <cellStyle name="Normal 2 4 2 3 8 3 2" xfId="23200" xr:uid="{3FD73BF3-0C08-4402-9049-5A671973608B}"/>
    <cellStyle name="Normal 2 4 2 3 8 3 3" xfId="14766" xr:uid="{5C5A90C7-6612-4523-8766-0CA20F8FC1CB}"/>
    <cellStyle name="Normal 2 4 2 3 8 4" xfId="18983" xr:uid="{AAA938CB-11EC-44C6-AA54-5E02A32248CF}"/>
    <cellStyle name="Normal 2 4 2 3 8 5" xfId="10549" xr:uid="{6A85AB7A-DA40-4913-B02C-CBC6B7FCBB1B}"/>
    <cellStyle name="Normal 2 4 2 3 9" xfId="2457" xr:uid="{00000000-0005-0000-0000-0000340F0000}"/>
    <cellStyle name="Normal 2 4 2 3 9 2" xfId="6741" xr:uid="{00000000-0005-0000-0000-0000350F0000}"/>
    <cellStyle name="Normal 2 4 2 3 9 2 2" xfId="23613" xr:uid="{5FB54530-CCDB-4F9D-971E-782F7553CCE6}"/>
    <cellStyle name="Normal 2 4 2 3 9 2 3" xfId="15179" xr:uid="{F8341E8B-4F7E-444E-A474-88A5581F007B}"/>
    <cellStyle name="Normal 2 4 2 3 9 3" xfId="19396" xr:uid="{04AA747F-ED3E-4308-B797-A41A84285BD8}"/>
    <cellStyle name="Normal 2 4 2 3 9 4" xfId="10962" xr:uid="{14B795BD-48AC-4BA7-B558-4D458ED0955B}"/>
    <cellStyle name="Normal 2 4 2 4" xfId="289" xr:uid="{00000000-0005-0000-0000-0000360F0000}"/>
    <cellStyle name="Normal 2 4 2 4 10" xfId="17338" xr:uid="{FB9FE660-2745-4BEE-B860-27DC1869B7EA}"/>
    <cellStyle name="Normal 2 4 2 4 11" xfId="8904" xr:uid="{3A1057E6-673D-4A4B-B3F2-DA0A32E0A925}"/>
    <cellStyle name="Normal 2 4 2 4 2" xfId="290" xr:uid="{00000000-0005-0000-0000-0000370F0000}"/>
    <cellStyle name="Normal 2 4 2 4 2 10" xfId="8905" xr:uid="{B490DA9C-B5CF-4E76-9CBD-F43B5616DA15}"/>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24116" xr:uid="{041E70AC-1B8E-4231-8119-CA5F32CD1B7A}"/>
    <cellStyle name="Normal 2 4 2 4 2 2 2 2 2 3" xfId="15682" xr:uid="{1F1BEC6C-7D4D-4A96-BE20-2B510637FC7A}"/>
    <cellStyle name="Normal 2 4 2 4 2 2 2 2 3" xfId="19899" xr:uid="{9504B316-7FAD-4487-912B-13EB5DFBD3EF}"/>
    <cellStyle name="Normal 2 4 2 4 2 2 2 2 4" xfId="11465" xr:uid="{74D14D43-A9B9-4508-AA09-691631A98A11}"/>
    <cellStyle name="Normal 2 4 2 4 2 2 2 3" xfId="5099" xr:uid="{00000000-0005-0000-0000-00003C0F0000}"/>
    <cellStyle name="Normal 2 4 2 4 2 2 2 3 2" xfId="21971" xr:uid="{8C68F7CD-3745-41CF-ADE3-36BA36F6CA47}"/>
    <cellStyle name="Normal 2 4 2 4 2 2 2 3 3" xfId="13537" xr:uid="{12BB78A2-53B9-447F-808D-A8E7CE50006D}"/>
    <cellStyle name="Normal 2 4 2 4 2 2 2 4" xfId="17754" xr:uid="{0D4F095D-E00D-4058-B09D-684AAB36B481}"/>
    <cellStyle name="Normal 2 4 2 4 2 2 2 5" xfId="9320" xr:uid="{2D9CC4B5-8DCE-4905-8739-3B2C61CB81C4}"/>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24529" xr:uid="{8BEB18F1-C47A-4522-9527-CE02BB804E21}"/>
    <cellStyle name="Normal 2 4 2 4 2 2 3 2 2 3" xfId="16095" xr:uid="{5790B545-E18A-4649-9DB6-5B1224D07980}"/>
    <cellStyle name="Normal 2 4 2 4 2 2 3 2 3" xfId="20312" xr:uid="{0839EF3F-E824-4C7E-A48A-E8673C3B4893}"/>
    <cellStyle name="Normal 2 4 2 4 2 2 3 2 4" xfId="11878" xr:uid="{D81F3632-FBAB-4E32-8709-46CC7ABB2544}"/>
    <cellStyle name="Normal 2 4 2 4 2 2 3 3" xfId="5512" xr:uid="{00000000-0005-0000-0000-0000400F0000}"/>
    <cellStyle name="Normal 2 4 2 4 2 2 3 3 2" xfId="22384" xr:uid="{AF003CDA-1F15-412C-8E20-EF7FBF01C62C}"/>
    <cellStyle name="Normal 2 4 2 4 2 2 3 3 3" xfId="13950" xr:uid="{3D3319F2-B24F-4CC3-8B0F-51C74D6A674E}"/>
    <cellStyle name="Normal 2 4 2 4 2 2 3 4" xfId="18167" xr:uid="{FE2E5576-F5B4-41B5-A846-ED8710390FEC}"/>
    <cellStyle name="Normal 2 4 2 4 2 2 3 5" xfId="9733" xr:uid="{3C3EC169-12CB-4C0D-9C22-9E3A2299DCD3}"/>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24942" xr:uid="{DCB3DEE1-4F75-41BB-AFA5-09AA75F22C11}"/>
    <cellStyle name="Normal 2 4 2 4 2 2 4 2 2 3" xfId="16508" xr:uid="{B606EC06-A1F9-4597-A5AA-8052B7336DD9}"/>
    <cellStyle name="Normal 2 4 2 4 2 2 4 2 3" xfId="20725" xr:uid="{583E2D05-D31E-406A-8124-E33779882310}"/>
    <cellStyle name="Normal 2 4 2 4 2 2 4 2 4" xfId="12291" xr:uid="{ACC2EF77-E08D-491D-82A8-3A246588A2C2}"/>
    <cellStyle name="Normal 2 4 2 4 2 2 4 3" xfId="5925" xr:uid="{00000000-0005-0000-0000-0000440F0000}"/>
    <cellStyle name="Normal 2 4 2 4 2 2 4 3 2" xfId="22797" xr:uid="{B5A4BC37-1C1F-4926-8DF9-8BA72A075254}"/>
    <cellStyle name="Normal 2 4 2 4 2 2 4 3 3" xfId="14363" xr:uid="{5D6D3388-7844-4A17-AF63-FE75AC58524B}"/>
    <cellStyle name="Normal 2 4 2 4 2 2 4 4" xfId="18580" xr:uid="{977449E9-B2D5-4F12-B1AB-19B78875421F}"/>
    <cellStyle name="Normal 2 4 2 4 2 2 4 5" xfId="10146" xr:uid="{A8F88975-BE9E-45A6-812D-790D9DB40C02}"/>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25355" xr:uid="{EB45BC3A-9345-4639-889A-87FC16E25822}"/>
    <cellStyle name="Normal 2 4 2 4 2 2 5 2 2 3" xfId="16921" xr:uid="{8B921A1C-7BFC-48AC-BB88-EF1A9B5ABA7C}"/>
    <cellStyle name="Normal 2 4 2 4 2 2 5 2 3" xfId="21138" xr:uid="{23FF835E-1F8C-4742-8784-942E17F6ACA0}"/>
    <cellStyle name="Normal 2 4 2 4 2 2 5 2 4" xfId="12704" xr:uid="{E363E7A6-8A5A-4B39-9C9C-645AC623A25E}"/>
    <cellStyle name="Normal 2 4 2 4 2 2 5 3" xfId="6338" xr:uid="{00000000-0005-0000-0000-0000480F0000}"/>
    <cellStyle name="Normal 2 4 2 4 2 2 5 3 2" xfId="23210" xr:uid="{51F29A1E-D6D4-42F7-8D26-6286D7CBC7FA}"/>
    <cellStyle name="Normal 2 4 2 4 2 2 5 3 3" xfId="14776" xr:uid="{C041A8C5-F838-4845-819B-13E4CF6CD644}"/>
    <cellStyle name="Normal 2 4 2 4 2 2 5 4" xfId="18993" xr:uid="{CCDD39FF-4F1D-4A20-85CD-EB36E7360164}"/>
    <cellStyle name="Normal 2 4 2 4 2 2 5 5" xfId="10559" xr:uid="{D8A0F7C0-D476-4D23-BC2A-C6C7A6266391}"/>
    <cellStyle name="Normal 2 4 2 4 2 2 6" xfId="2467" xr:uid="{00000000-0005-0000-0000-0000490F0000}"/>
    <cellStyle name="Normal 2 4 2 4 2 2 6 2" xfId="6751" xr:uid="{00000000-0005-0000-0000-00004A0F0000}"/>
    <cellStyle name="Normal 2 4 2 4 2 2 6 2 2" xfId="23623" xr:uid="{D1641CC4-30D0-4C23-AB57-A03511F264BC}"/>
    <cellStyle name="Normal 2 4 2 4 2 2 6 2 3" xfId="15189" xr:uid="{B20040F0-061F-4867-8FF3-465538FBDE28}"/>
    <cellStyle name="Normal 2 4 2 4 2 2 6 3" xfId="19406" xr:uid="{59DC9EAE-3646-41C5-89F4-D3A221AE2D11}"/>
    <cellStyle name="Normal 2 4 2 4 2 2 6 4" xfId="10972" xr:uid="{05E978A0-C3B4-4C29-BA10-F13AA0468459}"/>
    <cellStyle name="Normal 2 4 2 4 2 2 7" xfId="4685" xr:uid="{00000000-0005-0000-0000-00004B0F0000}"/>
    <cellStyle name="Normal 2 4 2 4 2 2 7 2" xfId="21557" xr:uid="{D445A165-76E6-4271-8F39-A5241DECDD13}"/>
    <cellStyle name="Normal 2 4 2 4 2 2 7 3" xfId="13123" xr:uid="{53853BD6-6328-4361-BE9A-4DC0D39D9642}"/>
    <cellStyle name="Normal 2 4 2 4 2 2 8" xfId="17340" xr:uid="{494F35F3-74CD-446A-B430-F3609E177AFD}"/>
    <cellStyle name="Normal 2 4 2 4 2 2 9" xfId="8906" xr:uid="{5745A16C-A1BC-4A5E-8237-2B74C5B7F68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24115" xr:uid="{155B4BB6-3D0D-4085-889E-C09839863791}"/>
    <cellStyle name="Normal 2 4 2 4 2 3 2 2 3" xfId="15681" xr:uid="{0BD49506-9E8D-48F7-B57F-4FA424E74562}"/>
    <cellStyle name="Normal 2 4 2 4 2 3 2 3" xfId="19898" xr:uid="{4107FDC8-242C-4147-9409-9461DB5E63A4}"/>
    <cellStyle name="Normal 2 4 2 4 2 3 2 4" xfId="11464" xr:uid="{B2C56A0E-33F0-4885-B21B-F015573B7E4C}"/>
    <cellStyle name="Normal 2 4 2 4 2 3 3" xfId="5098" xr:uid="{00000000-0005-0000-0000-00004F0F0000}"/>
    <cellStyle name="Normal 2 4 2 4 2 3 3 2" xfId="21970" xr:uid="{162EAA40-0622-4491-B0DA-B5FE80423578}"/>
    <cellStyle name="Normal 2 4 2 4 2 3 3 3" xfId="13536" xr:uid="{E4827295-7B11-4917-8A96-67E6EC301A7B}"/>
    <cellStyle name="Normal 2 4 2 4 2 3 4" xfId="17753" xr:uid="{5FB63325-DD1F-433D-847C-B0583820B433}"/>
    <cellStyle name="Normal 2 4 2 4 2 3 5" xfId="9319" xr:uid="{864CF004-4ABD-428A-8F21-435DE96C42FC}"/>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24528" xr:uid="{210DC81A-0421-455D-8689-593FD467F3BF}"/>
    <cellStyle name="Normal 2 4 2 4 2 4 2 2 3" xfId="16094" xr:uid="{E942475D-B05B-4C01-9917-CF7846F71B66}"/>
    <cellStyle name="Normal 2 4 2 4 2 4 2 3" xfId="20311" xr:uid="{28DBF227-AA63-4638-BB91-8E1F653056F1}"/>
    <cellStyle name="Normal 2 4 2 4 2 4 2 4" xfId="11877" xr:uid="{501BA971-82C2-49F4-A1CE-2C99531746D6}"/>
    <cellStyle name="Normal 2 4 2 4 2 4 3" xfId="5511" xr:uid="{00000000-0005-0000-0000-0000530F0000}"/>
    <cellStyle name="Normal 2 4 2 4 2 4 3 2" xfId="22383" xr:uid="{B13CA19F-DAE1-46FD-974F-D254EE39EA9D}"/>
    <cellStyle name="Normal 2 4 2 4 2 4 3 3" xfId="13949" xr:uid="{E2A5D6F9-8060-4C11-BFB1-9EF3D3F51669}"/>
    <cellStyle name="Normal 2 4 2 4 2 4 4" xfId="18166" xr:uid="{ADDE724D-6D28-44C4-9529-0E3B3DD4BE7D}"/>
    <cellStyle name="Normal 2 4 2 4 2 4 5" xfId="9732" xr:uid="{71E3F048-5224-47F3-AFA2-3D9DB5E9E7E1}"/>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24941" xr:uid="{AE45E451-5304-4673-8481-3803082EEAF8}"/>
    <cellStyle name="Normal 2 4 2 4 2 5 2 2 3" xfId="16507" xr:uid="{A42483A0-82F0-4A60-AB61-E7874DDFDD7C}"/>
    <cellStyle name="Normal 2 4 2 4 2 5 2 3" xfId="20724" xr:uid="{698BB3BA-B52F-4A38-9A5E-94B8DEF7F10F}"/>
    <cellStyle name="Normal 2 4 2 4 2 5 2 4" xfId="12290" xr:uid="{C2527205-31C4-4D57-BAFD-1C97A7F9FA2A}"/>
    <cellStyle name="Normal 2 4 2 4 2 5 3" xfId="5924" xr:uid="{00000000-0005-0000-0000-0000570F0000}"/>
    <cellStyle name="Normal 2 4 2 4 2 5 3 2" xfId="22796" xr:uid="{133A0559-7EAA-485F-9B39-6ACB19302084}"/>
    <cellStyle name="Normal 2 4 2 4 2 5 3 3" xfId="14362" xr:uid="{039C28DB-072F-49E6-97BD-FF59BAE7767F}"/>
    <cellStyle name="Normal 2 4 2 4 2 5 4" xfId="18579" xr:uid="{0BB9FEF0-1242-4685-9225-07CF3135F50C}"/>
    <cellStyle name="Normal 2 4 2 4 2 5 5" xfId="10145" xr:uid="{57033F18-F6D0-48D9-B795-7022FDCECDC4}"/>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25354" xr:uid="{FD758671-85EB-4592-A02E-812720AF3301}"/>
    <cellStyle name="Normal 2 4 2 4 2 6 2 2 3" xfId="16920" xr:uid="{D01103CA-19DC-446E-B035-DD767578172A}"/>
    <cellStyle name="Normal 2 4 2 4 2 6 2 3" xfId="21137" xr:uid="{470805C8-6FE4-4551-A08F-22A4E0651D28}"/>
    <cellStyle name="Normal 2 4 2 4 2 6 2 4" xfId="12703" xr:uid="{F6C5ADCD-E222-4B2F-9781-F042B4356BBA}"/>
    <cellStyle name="Normal 2 4 2 4 2 6 3" xfId="6337" xr:uid="{00000000-0005-0000-0000-00005B0F0000}"/>
    <cellStyle name="Normal 2 4 2 4 2 6 3 2" xfId="23209" xr:uid="{1675BC72-6C74-496B-A84D-31242E55097E}"/>
    <cellStyle name="Normal 2 4 2 4 2 6 3 3" xfId="14775" xr:uid="{84178D77-C11A-4E54-9A8E-1B6969D2E7BE}"/>
    <cellStyle name="Normal 2 4 2 4 2 6 4" xfId="18992" xr:uid="{1B8E7043-4C11-464A-8F38-920B53BE065C}"/>
    <cellStyle name="Normal 2 4 2 4 2 6 5" xfId="10558" xr:uid="{F786B188-593A-4C3B-9D94-3D537216CE18}"/>
    <cellStyle name="Normal 2 4 2 4 2 7" xfId="2466" xr:uid="{00000000-0005-0000-0000-00005C0F0000}"/>
    <cellStyle name="Normal 2 4 2 4 2 7 2" xfId="6750" xr:uid="{00000000-0005-0000-0000-00005D0F0000}"/>
    <cellStyle name="Normal 2 4 2 4 2 7 2 2" xfId="23622" xr:uid="{FE36443A-8A6F-4E87-8591-531A22EFA1C3}"/>
    <cellStyle name="Normal 2 4 2 4 2 7 2 3" xfId="15188" xr:uid="{B40519FC-B693-465A-997C-672A1181A183}"/>
    <cellStyle name="Normal 2 4 2 4 2 7 3" xfId="19405" xr:uid="{2B0F244B-E220-44B6-BEEC-E23210A23853}"/>
    <cellStyle name="Normal 2 4 2 4 2 7 4" xfId="10971" xr:uid="{13B1E035-8A2C-4B21-881E-D4DE9BA4ACD3}"/>
    <cellStyle name="Normal 2 4 2 4 2 8" xfId="4684" xr:uid="{00000000-0005-0000-0000-00005E0F0000}"/>
    <cellStyle name="Normal 2 4 2 4 2 8 2" xfId="21556" xr:uid="{B26BD62D-F7B8-46C1-B838-0846CE4DE77A}"/>
    <cellStyle name="Normal 2 4 2 4 2 8 3" xfId="13122" xr:uid="{02CF5097-DB4D-4545-ACDA-7F46E4274B92}"/>
    <cellStyle name="Normal 2 4 2 4 2 9" xfId="17339" xr:uid="{62DA9C20-6C08-4A56-805C-C275E59F18BD}"/>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24117" xr:uid="{1DE658ED-EF6E-445A-A9D7-6C95C9C4B313}"/>
    <cellStyle name="Normal 2 4 2 4 3 2 2 2 3" xfId="15683" xr:uid="{F518B002-55A6-455C-BD0F-D2671662F1EE}"/>
    <cellStyle name="Normal 2 4 2 4 3 2 2 3" xfId="19900" xr:uid="{C15A8AF3-990A-4C5D-A106-0BFAAD4AF76B}"/>
    <cellStyle name="Normal 2 4 2 4 3 2 2 4" xfId="11466" xr:uid="{20703E2D-DF38-42F1-B825-3BC923A38D28}"/>
    <cellStyle name="Normal 2 4 2 4 3 2 3" xfId="5100" xr:uid="{00000000-0005-0000-0000-0000630F0000}"/>
    <cellStyle name="Normal 2 4 2 4 3 2 3 2" xfId="21972" xr:uid="{83C45DAE-49D4-492A-8197-0BAFC4CB731C}"/>
    <cellStyle name="Normal 2 4 2 4 3 2 3 3" xfId="13538" xr:uid="{1241213E-A7EB-4F0F-813A-CE2551199C26}"/>
    <cellStyle name="Normal 2 4 2 4 3 2 4" xfId="17755" xr:uid="{F3E6B5C4-9D14-4541-A5C7-FB60DF8AFBD9}"/>
    <cellStyle name="Normal 2 4 2 4 3 2 5" xfId="9321" xr:uid="{C8346FF1-B89E-4460-9EA4-4900C664FBF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24530" xr:uid="{12276164-9DE2-492F-940F-460C6B5E8856}"/>
    <cellStyle name="Normal 2 4 2 4 3 3 2 2 3" xfId="16096" xr:uid="{E7846BB8-A74F-45FC-9E8E-0A14BE8334FE}"/>
    <cellStyle name="Normal 2 4 2 4 3 3 2 3" xfId="20313" xr:uid="{CF04FDFB-35D6-4753-AFB5-5F85A05FCE0A}"/>
    <cellStyle name="Normal 2 4 2 4 3 3 2 4" xfId="11879" xr:uid="{F2D74C51-EDC0-4740-8D84-520A5C46ACF1}"/>
    <cellStyle name="Normal 2 4 2 4 3 3 3" xfId="5513" xr:uid="{00000000-0005-0000-0000-0000670F0000}"/>
    <cellStyle name="Normal 2 4 2 4 3 3 3 2" xfId="22385" xr:uid="{B6CE2E88-7E14-46D8-804F-0C546CE64814}"/>
    <cellStyle name="Normal 2 4 2 4 3 3 3 3" xfId="13951" xr:uid="{C7ABF4DC-AB11-4D98-A63B-EE6561B08745}"/>
    <cellStyle name="Normal 2 4 2 4 3 3 4" xfId="18168" xr:uid="{C9C5E421-CB83-4D29-9A5E-07FBED113082}"/>
    <cellStyle name="Normal 2 4 2 4 3 3 5" xfId="9734" xr:uid="{8AC60671-C8C3-4ECB-93E3-C68426ED92F7}"/>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24943" xr:uid="{5663698C-C64B-4B2C-AE52-BA66DE21AFED}"/>
    <cellStyle name="Normal 2 4 2 4 3 4 2 2 3" xfId="16509" xr:uid="{21BD117F-BC23-4DAA-85CF-4464BEA96507}"/>
    <cellStyle name="Normal 2 4 2 4 3 4 2 3" xfId="20726" xr:uid="{BAD50C04-A207-4555-8284-41A04BC11421}"/>
    <cellStyle name="Normal 2 4 2 4 3 4 2 4" xfId="12292" xr:uid="{4DFE4C9F-E1E8-4516-AFAA-4B9CEF81C6AC}"/>
    <cellStyle name="Normal 2 4 2 4 3 4 3" xfId="5926" xr:uid="{00000000-0005-0000-0000-00006B0F0000}"/>
    <cellStyle name="Normal 2 4 2 4 3 4 3 2" xfId="22798" xr:uid="{84F2EE94-6D84-45F5-AD32-56D21DE5F0D0}"/>
    <cellStyle name="Normal 2 4 2 4 3 4 3 3" xfId="14364" xr:uid="{2B31ABD4-CE6A-494D-A00B-1BED82949CC8}"/>
    <cellStyle name="Normal 2 4 2 4 3 4 4" xfId="18581" xr:uid="{A448D8A8-48AB-447D-8598-DFF1EF5FF4F2}"/>
    <cellStyle name="Normal 2 4 2 4 3 4 5" xfId="10147" xr:uid="{CFD87DF2-9FB6-435B-81F2-789A9D3F4533}"/>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25356" xr:uid="{2488F43B-3659-4FA5-8B4B-08C985CFBD5B}"/>
    <cellStyle name="Normal 2 4 2 4 3 5 2 2 3" xfId="16922" xr:uid="{634DF3EF-3B11-4EA3-B540-BAD6A275C9B9}"/>
    <cellStyle name="Normal 2 4 2 4 3 5 2 3" xfId="21139" xr:uid="{AE3B99FA-E8E7-4E8F-A25C-A31FA58CF6F4}"/>
    <cellStyle name="Normal 2 4 2 4 3 5 2 4" xfId="12705" xr:uid="{BC7A115E-552D-4920-9FF5-02BCE31C7811}"/>
    <cellStyle name="Normal 2 4 2 4 3 5 3" xfId="6339" xr:uid="{00000000-0005-0000-0000-00006F0F0000}"/>
    <cellStyle name="Normal 2 4 2 4 3 5 3 2" xfId="23211" xr:uid="{9D32F9DA-5C9A-4A0C-875B-B0E2EC5AC30E}"/>
    <cellStyle name="Normal 2 4 2 4 3 5 3 3" xfId="14777" xr:uid="{F86C6FF2-71E1-431F-846B-069E56658876}"/>
    <cellStyle name="Normal 2 4 2 4 3 5 4" xfId="18994" xr:uid="{6B79D007-EBC0-4661-87EE-9F579817DEF0}"/>
    <cellStyle name="Normal 2 4 2 4 3 5 5" xfId="10560" xr:uid="{826AB0A3-CC92-42D4-9389-67A4F2AA3C6C}"/>
    <cellStyle name="Normal 2 4 2 4 3 6" xfId="2468" xr:uid="{00000000-0005-0000-0000-0000700F0000}"/>
    <cellStyle name="Normal 2 4 2 4 3 6 2" xfId="6752" xr:uid="{00000000-0005-0000-0000-0000710F0000}"/>
    <cellStyle name="Normal 2 4 2 4 3 6 2 2" xfId="23624" xr:uid="{21ECF348-B1F0-48A6-B1A7-6AC987B7B89F}"/>
    <cellStyle name="Normal 2 4 2 4 3 6 2 3" xfId="15190" xr:uid="{1656A66D-7029-46CF-BC57-C2532BC1591C}"/>
    <cellStyle name="Normal 2 4 2 4 3 6 3" xfId="19407" xr:uid="{17030367-9082-47A2-B7DA-C51859D04756}"/>
    <cellStyle name="Normal 2 4 2 4 3 6 4" xfId="10973" xr:uid="{290C79DA-30DE-4135-B8F0-77EAE5F86442}"/>
    <cellStyle name="Normal 2 4 2 4 3 7" xfId="4686" xr:uid="{00000000-0005-0000-0000-0000720F0000}"/>
    <cellStyle name="Normal 2 4 2 4 3 7 2" xfId="21558" xr:uid="{95309BE5-4206-41A3-B069-ECE2FACD320B}"/>
    <cellStyle name="Normal 2 4 2 4 3 7 3" xfId="13124" xr:uid="{3AECE3CD-6196-47B4-83DB-35C3CD9BE619}"/>
    <cellStyle name="Normal 2 4 2 4 3 8" xfId="17341" xr:uid="{F6101AAA-64B9-422A-8573-53ED2A25DA09}"/>
    <cellStyle name="Normal 2 4 2 4 3 9" xfId="8907" xr:uid="{AFEF6254-67AD-4086-8893-5244B3D59551}"/>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24114" xr:uid="{068A2480-67C8-47B2-9AE4-6114B86DD010}"/>
    <cellStyle name="Normal 2 4 2 4 4 2 2 3" xfId="15680" xr:uid="{8B9AD4EC-B514-45E5-A714-8E7B6AE7CE46}"/>
    <cellStyle name="Normal 2 4 2 4 4 2 3" xfId="19897" xr:uid="{313EAF05-6590-4006-8260-8058AD0B0485}"/>
    <cellStyle name="Normal 2 4 2 4 4 2 4" xfId="11463" xr:uid="{88B13AEC-C0A2-4E32-B6CF-CD0CCCD73BE3}"/>
    <cellStyle name="Normal 2 4 2 4 4 3" xfId="5097" xr:uid="{00000000-0005-0000-0000-0000760F0000}"/>
    <cellStyle name="Normal 2 4 2 4 4 3 2" xfId="21969" xr:uid="{90B2755B-6DB3-4990-A593-14B7C051B658}"/>
    <cellStyle name="Normal 2 4 2 4 4 3 3" xfId="13535" xr:uid="{4E783A88-2C9E-46E0-9560-16418931D935}"/>
    <cellStyle name="Normal 2 4 2 4 4 4" xfId="17752" xr:uid="{8A784F4D-BE34-4877-AB45-6F70FB5A4258}"/>
    <cellStyle name="Normal 2 4 2 4 4 5" xfId="9318" xr:uid="{B0CA5D84-63AE-4601-A136-46CDCF956A8A}"/>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24527" xr:uid="{F44A7C81-FCDA-4178-AE91-9722985ED027}"/>
    <cellStyle name="Normal 2 4 2 4 5 2 2 3" xfId="16093" xr:uid="{D5D4E17E-2A7F-4C4A-871D-3385934F91BF}"/>
    <cellStyle name="Normal 2 4 2 4 5 2 3" xfId="20310" xr:uid="{584CFB07-C1FE-407A-9D49-172F2749A400}"/>
    <cellStyle name="Normal 2 4 2 4 5 2 4" xfId="11876" xr:uid="{5836FA9A-BC96-414D-A4F4-8D782ACBDAD6}"/>
    <cellStyle name="Normal 2 4 2 4 5 3" xfId="5510" xr:uid="{00000000-0005-0000-0000-00007A0F0000}"/>
    <cellStyle name="Normal 2 4 2 4 5 3 2" xfId="22382" xr:uid="{97A53A3F-C11B-4F3A-96F1-D690D00F37F0}"/>
    <cellStyle name="Normal 2 4 2 4 5 3 3" xfId="13948" xr:uid="{24237E7B-5DA7-4E21-B9B1-56C10B499B88}"/>
    <cellStyle name="Normal 2 4 2 4 5 4" xfId="18165" xr:uid="{9F277966-2247-488C-9EB0-ADD851FDFECA}"/>
    <cellStyle name="Normal 2 4 2 4 5 5" xfId="9731" xr:uid="{F3113CD1-CD65-4699-8D4A-C47CBBCDAB31}"/>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24940" xr:uid="{3866F219-A6AF-4EF9-8511-B33088032606}"/>
    <cellStyle name="Normal 2 4 2 4 6 2 2 3" xfId="16506" xr:uid="{20463982-91A3-4C8A-B0D4-4B5D172CB1FD}"/>
    <cellStyle name="Normal 2 4 2 4 6 2 3" xfId="20723" xr:uid="{30B98E11-6B5B-4A29-99EA-4B9AC2582490}"/>
    <cellStyle name="Normal 2 4 2 4 6 2 4" xfId="12289" xr:uid="{A02A2498-E8C6-4CDC-BA75-B7DA33319B25}"/>
    <cellStyle name="Normal 2 4 2 4 6 3" xfId="5923" xr:uid="{00000000-0005-0000-0000-00007E0F0000}"/>
    <cellStyle name="Normal 2 4 2 4 6 3 2" xfId="22795" xr:uid="{952FCB03-11DF-45A1-B5CF-29605FAD3987}"/>
    <cellStyle name="Normal 2 4 2 4 6 3 3" xfId="14361" xr:uid="{DB3FF6E2-D06B-4D68-BAB2-DD3761D1F31A}"/>
    <cellStyle name="Normal 2 4 2 4 6 4" xfId="18578" xr:uid="{5B41DEBC-D5AD-44C8-9A49-46144FA89762}"/>
    <cellStyle name="Normal 2 4 2 4 6 5" xfId="10144" xr:uid="{3C695751-9E37-44E1-9D1D-88E3064CC8A8}"/>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25353" xr:uid="{D9D34F63-C3CB-47BB-8AE4-5C695AF5E411}"/>
    <cellStyle name="Normal 2 4 2 4 7 2 2 3" xfId="16919" xr:uid="{D2940A62-E994-4F3C-A414-C214333C96B6}"/>
    <cellStyle name="Normal 2 4 2 4 7 2 3" xfId="21136" xr:uid="{8E79F0AE-967F-45EC-A31D-770C0639D77D}"/>
    <cellStyle name="Normal 2 4 2 4 7 2 4" xfId="12702" xr:uid="{2BE282FC-27F7-41C2-AC9C-B6BFD77B1DC3}"/>
    <cellStyle name="Normal 2 4 2 4 7 3" xfId="6336" xr:uid="{00000000-0005-0000-0000-0000820F0000}"/>
    <cellStyle name="Normal 2 4 2 4 7 3 2" xfId="23208" xr:uid="{223E0830-2EB3-43F9-9781-AED71865BC57}"/>
    <cellStyle name="Normal 2 4 2 4 7 3 3" xfId="14774" xr:uid="{7C93B31E-55E7-4C3B-BE76-EF107A85E1B8}"/>
    <cellStyle name="Normal 2 4 2 4 7 4" xfId="18991" xr:uid="{85FE5725-93E0-4949-AAE2-2968ED01B936}"/>
    <cellStyle name="Normal 2 4 2 4 7 5" xfId="10557" xr:uid="{DA74CDEB-C869-4FE6-8C71-F8D3031B2FE4}"/>
    <cellStyle name="Normal 2 4 2 4 8" xfId="2465" xr:uid="{00000000-0005-0000-0000-0000830F0000}"/>
    <cellStyle name="Normal 2 4 2 4 8 2" xfId="6749" xr:uid="{00000000-0005-0000-0000-0000840F0000}"/>
    <cellStyle name="Normal 2 4 2 4 8 2 2" xfId="23621" xr:uid="{18D0FA40-B230-44D6-99B6-219829CC5B9D}"/>
    <cellStyle name="Normal 2 4 2 4 8 2 3" xfId="15187" xr:uid="{EA467696-0CA0-4F66-8F67-57570EA22576}"/>
    <cellStyle name="Normal 2 4 2 4 8 3" xfId="19404" xr:uid="{9B50F635-B4D5-4FD1-A1B6-91C27E956084}"/>
    <cellStyle name="Normal 2 4 2 4 8 4" xfId="10970" xr:uid="{B5701FF0-26A1-44DC-A2AD-F8E2B1A6539D}"/>
    <cellStyle name="Normal 2 4 2 4 9" xfId="4683" xr:uid="{00000000-0005-0000-0000-0000850F0000}"/>
    <cellStyle name="Normal 2 4 2 4 9 2" xfId="21555" xr:uid="{B4911A0D-D3FE-4D0B-9F05-6EAE134BBD3F}"/>
    <cellStyle name="Normal 2 4 2 4 9 3" xfId="13121" xr:uid="{E6256AB3-7C15-4792-9FE1-BB81AAD70E98}"/>
    <cellStyle name="Normal 2 4 2 5" xfId="293" xr:uid="{00000000-0005-0000-0000-0000860F0000}"/>
    <cellStyle name="Normal 2 4 2 5 10" xfId="8908" xr:uid="{F5D1918C-F97A-4D62-963C-575B1273843E}"/>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24119" xr:uid="{59CD1399-1C30-46FA-B4C3-E03331F2DB03}"/>
    <cellStyle name="Normal 2 4 2 5 2 2 2 2 3" xfId="15685" xr:uid="{5A2D5543-4FEA-4B37-A947-924F08E5D039}"/>
    <cellStyle name="Normal 2 4 2 5 2 2 2 3" xfId="19902" xr:uid="{76BEC7BD-59D5-4A92-9648-5FD5D967FF83}"/>
    <cellStyle name="Normal 2 4 2 5 2 2 2 4" xfId="11468" xr:uid="{FB8EABFC-793F-4601-AB30-EC439C6A83F4}"/>
    <cellStyle name="Normal 2 4 2 5 2 2 3" xfId="5102" xr:uid="{00000000-0005-0000-0000-00008B0F0000}"/>
    <cellStyle name="Normal 2 4 2 5 2 2 3 2" xfId="21974" xr:uid="{BFD99D94-040D-4532-B3C7-D1DA44AB1ACE}"/>
    <cellStyle name="Normal 2 4 2 5 2 2 3 3" xfId="13540" xr:uid="{D5E596F5-C961-4D80-922F-39C8C0F0E730}"/>
    <cellStyle name="Normal 2 4 2 5 2 2 4" xfId="17757" xr:uid="{E2A9D314-F6DF-44BB-A075-CE0CDFF234E7}"/>
    <cellStyle name="Normal 2 4 2 5 2 2 5" xfId="9323" xr:uid="{BB942F89-0170-4E3A-B96F-6E8729FEB767}"/>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24532" xr:uid="{88ECF703-3BE0-4A04-9BD7-0CF90656D938}"/>
    <cellStyle name="Normal 2 4 2 5 2 3 2 2 3" xfId="16098" xr:uid="{D01C2C75-A68E-4673-98E0-10AA5B388208}"/>
    <cellStyle name="Normal 2 4 2 5 2 3 2 3" xfId="20315" xr:uid="{07B0CFE4-AB7A-462F-879D-84E41C282380}"/>
    <cellStyle name="Normal 2 4 2 5 2 3 2 4" xfId="11881" xr:uid="{0128E214-89AD-4078-9047-FD1641443297}"/>
    <cellStyle name="Normal 2 4 2 5 2 3 3" xfId="5515" xr:uid="{00000000-0005-0000-0000-00008F0F0000}"/>
    <cellStyle name="Normal 2 4 2 5 2 3 3 2" xfId="22387" xr:uid="{2DF7BBE5-6F7E-4853-8370-21755C82520F}"/>
    <cellStyle name="Normal 2 4 2 5 2 3 3 3" xfId="13953" xr:uid="{1B24EA13-AEDD-41EB-B65C-FACAFD45554C}"/>
    <cellStyle name="Normal 2 4 2 5 2 3 4" xfId="18170" xr:uid="{645F2451-0C8B-4D75-BB87-03C148ADC6A9}"/>
    <cellStyle name="Normal 2 4 2 5 2 3 5" xfId="9736" xr:uid="{6F862468-07E0-472E-BFF2-579DFEC8DEE3}"/>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24945" xr:uid="{08D79D86-D3D8-4743-B88F-24A6719268DD}"/>
    <cellStyle name="Normal 2 4 2 5 2 4 2 2 3" xfId="16511" xr:uid="{47CE5836-294C-463C-962F-E4A6868DFC2F}"/>
    <cellStyle name="Normal 2 4 2 5 2 4 2 3" xfId="20728" xr:uid="{30CD69DF-8FA1-40B4-AEE6-225AEA0C84E0}"/>
    <cellStyle name="Normal 2 4 2 5 2 4 2 4" xfId="12294" xr:uid="{694D5955-89EE-4401-96C2-F447A4D1E390}"/>
    <cellStyle name="Normal 2 4 2 5 2 4 3" xfId="5928" xr:uid="{00000000-0005-0000-0000-0000930F0000}"/>
    <cellStyle name="Normal 2 4 2 5 2 4 3 2" xfId="22800" xr:uid="{C6C7D94C-C225-4E54-856A-D202C154922A}"/>
    <cellStyle name="Normal 2 4 2 5 2 4 3 3" xfId="14366" xr:uid="{46DEB09F-A83E-4034-AAD1-D36D20675604}"/>
    <cellStyle name="Normal 2 4 2 5 2 4 4" xfId="18583" xr:uid="{4E104D1E-02EC-42CB-BD86-2BED9908122B}"/>
    <cellStyle name="Normal 2 4 2 5 2 4 5" xfId="10149" xr:uid="{50435600-816E-43DE-92F8-A2FF38F003F2}"/>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25358" xr:uid="{CA0E390A-E4A9-49BB-A855-161E4D87A5FD}"/>
    <cellStyle name="Normal 2 4 2 5 2 5 2 2 3" xfId="16924" xr:uid="{8266066F-2DB7-411F-A8FD-65F2C3C2BAE4}"/>
    <cellStyle name="Normal 2 4 2 5 2 5 2 3" xfId="21141" xr:uid="{AE96C1C7-4374-4E58-B4C7-42695AA04587}"/>
    <cellStyle name="Normal 2 4 2 5 2 5 2 4" xfId="12707" xr:uid="{0A31E069-1732-49E7-AD52-210595FEE891}"/>
    <cellStyle name="Normal 2 4 2 5 2 5 3" xfId="6341" xr:uid="{00000000-0005-0000-0000-0000970F0000}"/>
    <cellStyle name="Normal 2 4 2 5 2 5 3 2" xfId="23213" xr:uid="{89BF680E-D81E-4DFF-9BBB-7DA2E9D2B94F}"/>
    <cellStyle name="Normal 2 4 2 5 2 5 3 3" xfId="14779" xr:uid="{1FD79817-10D2-40A1-BA93-5BEA96AED558}"/>
    <cellStyle name="Normal 2 4 2 5 2 5 4" xfId="18996" xr:uid="{5955992A-E592-4CC4-861B-25982CDB00F1}"/>
    <cellStyle name="Normal 2 4 2 5 2 5 5" xfId="10562" xr:uid="{F732BB9A-8003-4165-AE20-C6D595C30324}"/>
    <cellStyle name="Normal 2 4 2 5 2 6" xfId="2470" xr:uid="{00000000-0005-0000-0000-0000980F0000}"/>
    <cellStyle name="Normal 2 4 2 5 2 6 2" xfId="6754" xr:uid="{00000000-0005-0000-0000-0000990F0000}"/>
    <cellStyle name="Normal 2 4 2 5 2 6 2 2" xfId="23626" xr:uid="{C2FAD8C7-8D86-47A5-A6D4-E51E373AA06A}"/>
    <cellStyle name="Normal 2 4 2 5 2 6 2 3" xfId="15192" xr:uid="{BCADA78F-6DC5-466C-81B7-40A678084B19}"/>
    <cellStyle name="Normal 2 4 2 5 2 6 3" xfId="19409" xr:uid="{03AA2D9F-7106-4D35-899A-C07F1B71774C}"/>
    <cellStyle name="Normal 2 4 2 5 2 6 4" xfId="10975" xr:uid="{6172B001-0F1E-4F0A-B4C6-E3D4AE216BFE}"/>
    <cellStyle name="Normal 2 4 2 5 2 7" xfId="4688" xr:uid="{00000000-0005-0000-0000-00009A0F0000}"/>
    <cellStyle name="Normal 2 4 2 5 2 7 2" xfId="21560" xr:uid="{B30373B9-0178-4E0A-B06D-1A3B1633F219}"/>
    <cellStyle name="Normal 2 4 2 5 2 7 3" xfId="13126" xr:uid="{4FFE9915-C11E-450A-B3E8-8FA39B8B35CC}"/>
    <cellStyle name="Normal 2 4 2 5 2 8" xfId="17343" xr:uid="{F22FE894-CCCE-4DBE-90C5-64AF522E12F3}"/>
    <cellStyle name="Normal 2 4 2 5 2 9" xfId="8909" xr:uid="{BFEEACB2-848D-4A20-82F9-977BDDC6A1AF}"/>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24118" xr:uid="{5005C58B-97BD-4505-AA7C-A976B5F45CF2}"/>
    <cellStyle name="Normal 2 4 2 5 3 2 2 3" xfId="15684" xr:uid="{6DA04C44-72B7-4C07-96AD-8C769D32EF69}"/>
    <cellStyle name="Normal 2 4 2 5 3 2 3" xfId="19901" xr:uid="{DF0AFF23-E50B-44BE-9CED-9F5A7BA545AB}"/>
    <cellStyle name="Normal 2 4 2 5 3 2 4" xfId="11467" xr:uid="{A77309DD-70E8-4F0E-8463-CF5090E703D3}"/>
    <cellStyle name="Normal 2 4 2 5 3 3" xfId="5101" xr:uid="{00000000-0005-0000-0000-00009E0F0000}"/>
    <cellStyle name="Normal 2 4 2 5 3 3 2" xfId="21973" xr:uid="{13265FF9-D864-4879-BDE6-CF30669E50E4}"/>
    <cellStyle name="Normal 2 4 2 5 3 3 3" xfId="13539" xr:uid="{766EF5AF-EF0D-4E00-B22E-7414D792C01E}"/>
    <cellStyle name="Normal 2 4 2 5 3 4" xfId="17756" xr:uid="{D4952ABA-C801-4F7F-9B77-7903BD5D0E25}"/>
    <cellStyle name="Normal 2 4 2 5 3 5" xfId="9322" xr:uid="{F5781F0B-7DAC-4D97-B630-F12F93FF142E}"/>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24531" xr:uid="{0AE8FB20-B437-45C1-9DF7-3E0B5AC36918}"/>
    <cellStyle name="Normal 2 4 2 5 4 2 2 3" xfId="16097" xr:uid="{DE34B2FF-4B19-4DD2-B424-2EBD10BEBFA8}"/>
    <cellStyle name="Normal 2 4 2 5 4 2 3" xfId="20314" xr:uid="{EE572A15-1C0F-47D3-900E-EEEF675918D6}"/>
    <cellStyle name="Normal 2 4 2 5 4 2 4" xfId="11880" xr:uid="{2AD563E3-93F8-458B-8A74-136D74296606}"/>
    <cellStyle name="Normal 2 4 2 5 4 3" xfId="5514" xr:uid="{00000000-0005-0000-0000-0000A20F0000}"/>
    <cellStyle name="Normal 2 4 2 5 4 3 2" xfId="22386" xr:uid="{4BFE4C2A-AF11-4AC0-AFB9-E8A0CC8FD5DF}"/>
    <cellStyle name="Normal 2 4 2 5 4 3 3" xfId="13952" xr:uid="{FEBA6CFC-50FF-46C0-ADCF-87DC66B022C1}"/>
    <cellStyle name="Normal 2 4 2 5 4 4" xfId="18169" xr:uid="{33D2756B-8B00-4AEC-BB7B-548388D3571A}"/>
    <cellStyle name="Normal 2 4 2 5 4 5" xfId="9735" xr:uid="{97CE437C-0828-4DAE-9C83-F2C9884790A3}"/>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24944" xr:uid="{291333BC-6AA5-45DE-B01A-2DA02CFCF6FA}"/>
    <cellStyle name="Normal 2 4 2 5 5 2 2 3" xfId="16510" xr:uid="{F06A1FEE-38CB-4AC7-9414-DFBAFED7C2CC}"/>
    <cellStyle name="Normal 2 4 2 5 5 2 3" xfId="20727" xr:uid="{4A5BD0CE-8C8C-4F60-8ABB-726655C85B1B}"/>
    <cellStyle name="Normal 2 4 2 5 5 2 4" xfId="12293" xr:uid="{4C313334-BFB5-4D94-97E1-26CAC2E360B9}"/>
    <cellStyle name="Normal 2 4 2 5 5 3" xfId="5927" xr:uid="{00000000-0005-0000-0000-0000A60F0000}"/>
    <cellStyle name="Normal 2 4 2 5 5 3 2" xfId="22799" xr:uid="{0685B247-103F-481E-8E0E-2BD49C26DF26}"/>
    <cellStyle name="Normal 2 4 2 5 5 3 3" xfId="14365" xr:uid="{5CFB1F43-0295-4C75-9DF4-B85FED860233}"/>
    <cellStyle name="Normal 2 4 2 5 5 4" xfId="18582" xr:uid="{8AD49367-EA99-4B20-A1AB-B76B0F9E716B}"/>
    <cellStyle name="Normal 2 4 2 5 5 5" xfId="10148" xr:uid="{82324EAB-349F-4B42-8FEF-B6AB74F60E40}"/>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25357" xr:uid="{D8963C13-8AE3-4E4B-9C81-60698B94928C}"/>
    <cellStyle name="Normal 2 4 2 5 6 2 2 3" xfId="16923" xr:uid="{CA24A591-66C7-4AEC-BF32-144B2A66EA86}"/>
    <cellStyle name="Normal 2 4 2 5 6 2 3" xfId="21140" xr:uid="{7D436428-0C47-4165-A97A-F0554BCE2465}"/>
    <cellStyle name="Normal 2 4 2 5 6 2 4" xfId="12706" xr:uid="{1C21A755-E00F-4A0C-B822-F971DE59D8FC}"/>
    <cellStyle name="Normal 2 4 2 5 6 3" xfId="6340" xr:uid="{00000000-0005-0000-0000-0000AA0F0000}"/>
    <cellStyle name="Normal 2 4 2 5 6 3 2" xfId="23212" xr:uid="{E3C8C0AF-F3B2-4FA4-AF50-F81EFF5F4328}"/>
    <cellStyle name="Normal 2 4 2 5 6 3 3" xfId="14778" xr:uid="{C84AA2EF-C89D-4874-8FA0-01BEDA25D8D5}"/>
    <cellStyle name="Normal 2 4 2 5 6 4" xfId="18995" xr:uid="{2A92DAF9-93DA-468A-AAB1-CCE75C9DF3B7}"/>
    <cellStyle name="Normal 2 4 2 5 6 5" xfId="10561" xr:uid="{BEC075BC-19A7-45E4-9189-399A8945D4D2}"/>
    <cellStyle name="Normal 2 4 2 5 7" xfId="2469" xr:uid="{00000000-0005-0000-0000-0000AB0F0000}"/>
    <cellStyle name="Normal 2 4 2 5 7 2" xfId="6753" xr:uid="{00000000-0005-0000-0000-0000AC0F0000}"/>
    <cellStyle name="Normal 2 4 2 5 7 2 2" xfId="23625" xr:uid="{51DACE10-3A3C-414A-83A2-39F0C1941286}"/>
    <cellStyle name="Normal 2 4 2 5 7 2 3" xfId="15191" xr:uid="{E8562B6A-66C2-492C-A0ED-827BF1B902A9}"/>
    <cellStyle name="Normal 2 4 2 5 7 3" xfId="19408" xr:uid="{6EC0935E-BBFE-4932-A0EA-F2ED913F4BB4}"/>
    <cellStyle name="Normal 2 4 2 5 7 4" xfId="10974" xr:uid="{6996FEC1-1DCD-44EE-904E-7D2FEDF9123F}"/>
    <cellStyle name="Normal 2 4 2 5 8" xfId="4687" xr:uid="{00000000-0005-0000-0000-0000AD0F0000}"/>
    <cellStyle name="Normal 2 4 2 5 8 2" xfId="21559" xr:uid="{1EFCFF91-0F9D-4D03-92D5-B5F719BEA210}"/>
    <cellStyle name="Normal 2 4 2 5 8 3" xfId="13125" xr:uid="{D667600C-16FA-4792-BAEF-5FD8D57D25A4}"/>
    <cellStyle name="Normal 2 4 2 5 9" xfId="17342" xr:uid="{7E53B7A3-8EC1-4F2E-B286-7AB1E6437EA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24120" xr:uid="{35824D48-0479-4587-98EE-9935C7220D1C}"/>
    <cellStyle name="Normal 2 4 2 6 2 2 2 3" xfId="15686" xr:uid="{A1B6140A-70E4-4E56-A242-76D873C9D31A}"/>
    <cellStyle name="Normal 2 4 2 6 2 2 3" xfId="19903" xr:uid="{D77A4678-A5F9-41C9-9BA7-7EAEFA695CDC}"/>
    <cellStyle name="Normal 2 4 2 6 2 2 4" xfId="11469" xr:uid="{C89DFDDB-2452-4E83-ABE9-4440C7374092}"/>
    <cellStyle name="Normal 2 4 2 6 2 3" xfId="5103" xr:uid="{00000000-0005-0000-0000-0000B20F0000}"/>
    <cellStyle name="Normal 2 4 2 6 2 3 2" xfId="21975" xr:uid="{CEDB3CDC-1742-42DD-B252-C022ED57F325}"/>
    <cellStyle name="Normal 2 4 2 6 2 3 3" xfId="13541" xr:uid="{93F61C31-0794-4B0F-A0DD-FB7710AC00F8}"/>
    <cellStyle name="Normal 2 4 2 6 2 4" xfId="17758" xr:uid="{6A038F64-FB4C-44DF-8C4A-DDC6FBBE5324}"/>
    <cellStyle name="Normal 2 4 2 6 2 5" xfId="9324" xr:uid="{8D302385-FD5E-4FC4-BAA3-6DC202E4CF6F}"/>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24533" xr:uid="{5AD65FDD-0744-4103-BB81-8DF9A9FFFB5A}"/>
    <cellStyle name="Normal 2 4 2 6 3 2 2 3" xfId="16099" xr:uid="{C1C9537A-F2D3-47C2-BAED-3CB04CCBC724}"/>
    <cellStyle name="Normal 2 4 2 6 3 2 3" xfId="20316" xr:uid="{F203DE55-61BC-410A-83D7-1ACE288146D5}"/>
    <cellStyle name="Normal 2 4 2 6 3 2 4" xfId="11882" xr:uid="{FBF2E11F-FC24-42A7-893E-1B6DC7A3185C}"/>
    <cellStyle name="Normal 2 4 2 6 3 3" xfId="5516" xr:uid="{00000000-0005-0000-0000-0000B60F0000}"/>
    <cellStyle name="Normal 2 4 2 6 3 3 2" xfId="22388" xr:uid="{44721F54-B4D6-4D65-A95A-580336052E6A}"/>
    <cellStyle name="Normal 2 4 2 6 3 3 3" xfId="13954" xr:uid="{8A1201AA-9270-4520-AD39-3024E9FCD746}"/>
    <cellStyle name="Normal 2 4 2 6 3 4" xfId="18171" xr:uid="{79C18FC2-4A01-4D1F-BA4F-2E41DDA2055A}"/>
    <cellStyle name="Normal 2 4 2 6 3 5" xfId="9737" xr:uid="{EB51740C-2ABD-4C2C-825C-9CB431BB189F}"/>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24946" xr:uid="{46C34741-094D-489A-AB95-2B0CCA6EFB32}"/>
    <cellStyle name="Normal 2 4 2 6 4 2 2 3" xfId="16512" xr:uid="{5DE1B7AD-5672-42DD-9D67-A6DED293CA7A}"/>
    <cellStyle name="Normal 2 4 2 6 4 2 3" xfId="20729" xr:uid="{18CFFD98-E9CE-4B4B-846E-FCA51E668A7E}"/>
    <cellStyle name="Normal 2 4 2 6 4 2 4" xfId="12295" xr:uid="{039D1DC1-50A2-419F-A438-A8590AC55450}"/>
    <cellStyle name="Normal 2 4 2 6 4 3" xfId="5929" xr:uid="{00000000-0005-0000-0000-0000BA0F0000}"/>
    <cellStyle name="Normal 2 4 2 6 4 3 2" xfId="22801" xr:uid="{53FBB980-8939-42EC-84CA-53C6E36F044F}"/>
    <cellStyle name="Normal 2 4 2 6 4 3 3" xfId="14367" xr:uid="{8227778F-42B7-4020-91D5-3228D3894AB4}"/>
    <cellStyle name="Normal 2 4 2 6 4 4" xfId="18584" xr:uid="{2A694B86-9F83-436D-A397-091766CFE93A}"/>
    <cellStyle name="Normal 2 4 2 6 4 5" xfId="10150" xr:uid="{4078FCE2-A6A5-457F-96CF-8099BF78D0BD}"/>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25359" xr:uid="{873DCE49-22C6-4A9D-9E5C-F0E87B4C3697}"/>
    <cellStyle name="Normal 2 4 2 6 5 2 2 3" xfId="16925" xr:uid="{66983824-D0C2-46FD-9722-BBF3A15A0F64}"/>
    <cellStyle name="Normal 2 4 2 6 5 2 3" xfId="21142" xr:uid="{F88486EE-9AA9-4A26-A28F-5F858F34DA96}"/>
    <cellStyle name="Normal 2 4 2 6 5 2 4" xfId="12708" xr:uid="{4D5C613F-7C71-4762-8A6A-6F3600B3585E}"/>
    <cellStyle name="Normal 2 4 2 6 5 3" xfId="6342" xr:uid="{00000000-0005-0000-0000-0000BE0F0000}"/>
    <cellStyle name="Normal 2 4 2 6 5 3 2" xfId="23214" xr:uid="{03D2D159-29F0-405A-9C09-75B722AFA914}"/>
    <cellStyle name="Normal 2 4 2 6 5 3 3" xfId="14780" xr:uid="{EB153E44-93CE-49BB-8400-1052707A4390}"/>
    <cellStyle name="Normal 2 4 2 6 5 4" xfId="18997" xr:uid="{6B47FCF3-F852-4725-8FA2-FD422F91F9A5}"/>
    <cellStyle name="Normal 2 4 2 6 5 5" xfId="10563" xr:uid="{2C5BC952-4994-402F-87F1-D23DB49D8DDB}"/>
    <cellStyle name="Normal 2 4 2 6 6" xfId="2471" xr:uid="{00000000-0005-0000-0000-0000BF0F0000}"/>
    <cellStyle name="Normal 2 4 2 6 6 2" xfId="6755" xr:uid="{00000000-0005-0000-0000-0000C00F0000}"/>
    <cellStyle name="Normal 2 4 2 6 6 2 2" xfId="23627" xr:uid="{2AB40193-80CF-4B3D-A4C7-8B9436144C44}"/>
    <cellStyle name="Normal 2 4 2 6 6 2 3" xfId="15193" xr:uid="{B8092577-9D48-4626-9301-6E704B979379}"/>
    <cellStyle name="Normal 2 4 2 6 6 3" xfId="19410" xr:uid="{6B7F7A0B-8E3B-4466-999F-96F7CC9FF06F}"/>
    <cellStyle name="Normal 2 4 2 6 6 4" xfId="10976" xr:uid="{2331D522-26B4-40BB-9981-BED9CF5008A7}"/>
    <cellStyle name="Normal 2 4 2 6 7" xfId="4689" xr:uid="{00000000-0005-0000-0000-0000C10F0000}"/>
    <cellStyle name="Normal 2 4 2 6 7 2" xfId="21561" xr:uid="{33F30CE9-E7EF-4871-BEF3-CDB11A4F7175}"/>
    <cellStyle name="Normal 2 4 2 6 7 3" xfId="13127" xr:uid="{C7DA965A-4EA8-4754-AECF-E26DF456134C}"/>
    <cellStyle name="Normal 2 4 2 6 8" xfId="17344" xr:uid="{D1672549-6B93-471C-9DE5-7D2A6D705B1B}"/>
    <cellStyle name="Normal 2 4 2 6 9" xfId="8910" xr:uid="{A681AF09-78F8-4FE4-BD72-7EC31B836852}"/>
    <cellStyle name="Normal 2 4 2 7" xfId="771" xr:uid="{00000000-0005-0000-0000-0000C20F0000}"/>
    <cellStyle name="Normal 2 4 2 7 2" xfId="3010" xr:uid="{00000000-0005-0000-0000-0000C30F0000}"/>
    <cellStyle name="Normal 2 4 2 7 2 2" xfId="7233" xr:uid="{00000000-0005-0000-0000-0000C40F0000}"/>
    <cellStyle name="Normal 2 4 2 7 2 2 2" xfId="24105" xr:uid="{239E9B62-19D0-4BE6-BA8D-899CAF33F17D}"/>
    <cellStyle name="Normal 2 4 2 7 2 2 3" xfId="15671" xr:uid="{C56967F0-5C68-4102-AEE7-A3520572C6CA}"/>
    <cellStyle name="Normal 2 4 2 7 2 3" xfId="19888" xr:uid="{0C3BBE66-1BB9-4904-959C-60E8B699D294}"/>
    <cellStyle name="Normal 2 4 2 7 2 4" xfId="11454" xr:uid="{B283E82A-FEE4-4C49-8FA9-779B2E129706}"/>
    <cellStyle name="Normal 2 4 2 7 3" xfId="5088" xr:uid="{00000000-0005-0000-0000-0000C50F0000}"/>
    <cellStyle name="Normal 2 4 2 7 3 2" xfId="21960" xr:uid="{D18EF7D5-8107-4841-8A91-A0863DD916B6}"/>
    <cellStyle name="Normal 2 4 2 7 3 3" xfId="13526" xr:uid="{3176CC1B-09C2-43BB-8E47-496A13B68486}"/>
    <cellStyle name="Normal 2 4 2 7 4" xfId="17743" xr:uid="{CF9C0D03-3E3E-4569-A2D7-A9185C2291BB}"/>
    <cellStyle name="Normal 2 4 2 7 5" xfId="9309" xr:uid="{587095EB-05BB-4185-8014-085C385C6AFB}"/>
    <cellStyle name="Normal 2 4 2 8" xfId="1193" xr:uid="{00000000-0005-0000-0000-0000C60F0000}"/>
    <cellStyle name="Normal 2 4 2 8 2" xfId="3423" xr:uid="{00000000-0005-0000-0000-0000C70F0000}"/>
    <cellStyle name="Normal 2 4 2 8 2 2" xfId="7646" xr:uid="{00000000-0005-0000-0000-0000C80F0000}"/>
    <cellStyle name="Normal 2 4 2 8 2 2 2" xfId="24518" xr:uid="{80A16F68-AA78-4669-843F-8E52ABDFD2B2}"/>
    <cellStyle name="Normal 2 4 2 8 2 2 3" xfId="16084" xr:uid="{64968253-DB15-48A9-9EF6-87DB7DBC4100}"/>
    <cellStyle name="Normal 2 4 2 8 2 3" xfId="20301" xr:uid="{1BBD223B-D1F8-4B76-B2FE-5B719FA6F8EC}"/>
    <cellStyle name="Normal 2 4 2 8 2 4" xfId="11867" xr:uid="{9D06007F-BB00-45A8-BEF6-2F3E6903373C}"/>
    <cellStyle name="Normal 2 4 2 8 3" xfId="5501" xr:uid="{00000000-0005-0000-0000-0000C90F0000}"/>
    <cellStyle name="Normal 2 4 2 8 3 2" xfId="22373" xr:uid="{E011E04F-3FA3-494F-9765-2BC86C82B804}"/>
    <cellStyle name="Normal 2 4 2 8 3 3" xfId="13939" xr:uid="{342B091C-2ABB-408B-87B5-C7C3E4C48026}"/>
    <cellStyle name="Normal 2 4 2 8 4" xfId="18156" xr:uid="{D9B36FFD-9877-4453-ADF2-C185757C5D78}"/>
    <cellStyle name="Normal 2 4 2 8 5" xfId="9722" xr:uid="{DFF009E8-E9E6-4981-A034-7453305332C2}"/>
    <cellStyle name="Normal 2 4 2 9" xfId="1606" xr:uid="{00000000-0005-0000-0000-0000CA0F0000}"/>
    <cellStyle name="Normal 2 4 2 9 2" xfId="3836" xr:uid="{00000000-0005-0000-0000-0000CB0F0000}"/>
    <cellStyle name="Normal 2 4 2 9 2 2" xfId="8059" xr:uid="{00000000-0005-0000-0000-0000CC0F0000}"/>
    <cellStyle name="Normal 2 4 2 9 2 2 2" xfId="24931" xr:uid="{6C5F6732-006E-4484-B0D4-B8004DAB4832}"/>
    <cellStyle name="Normal 2 4 2 9 2 2 3" xfId="16497" xr:uid="{6A9C4D19-98A7-46FB-A8D7-6DDA2F907375}"/>
    <cellStyle name="Normal 2 4 2 9 2 3" xfId="20714" xr:uid="{247FFC91-F791-473D-A4BF-A3C8137479A0}"/>
    <cellStyle name="Normal 2 4 2 9 2 4" xfId="12280" xr:uid="{F36578FC-22EB-4026-93D6-A9D5BF2C1F01}"/>
    <cellStyle name="Normal 2 4 2 9 3" xfId="5914" xr:uid="{00000000-0005-0000-0000-0000CD0F0000}"/>
    <cellStyle name="Normal 2 4 2 9 3 2" xfId="22786" xr:uid="{24402E55-51D8-46C9-9AF5-5345770C0984}"/>
    <cellStyle name="Normal 2 4 2 9 3 3" xfId="14352" xr:uid="{7B1328C6-3260-4566-AD75-0A9616A35434}"/>
    <cellStyle name="Normal 2 4 2 9 4" xfId="18569" xr:uid="{755D9B3E-7B8C-41E5-A873-F81E8C636B12}"/>
    <cellStyle name="Normal 2 4 2 9 5" xfId="10135" xr:uid="{2AD8794E-AA44-467F-AA09-5A2D62BA857B}"/>
    <cellStyle name="Normal 2 4 3" xfId="296" xr:uid="{00000000-0005-0000-0000-0000CE0F0000}"/>
    <cellStyle name="Normal 2 4 3 10" xfId="17345" xr:uid="{B95FFD92-11F9-4DDD-A662-02EA9C821A90}"/>
    <cellStyle name="Normal 2 4 3 11" xfId="8911" xr:uid="{977D5190-3085-4E0A-A59F-F973BC1FB3FA}"/>
    <cellStyle name="Normal 2 4 3 2" xfId="297" xr:uid="{00000000-0005-0000-0000-0000CF0F0000}"/>
    <cellStyle name="Normal 2 4 3 3" xfId="298" xr:uid="{00000000-0005-0000-0000-0000D00F0000}"/>
    <cellStyle name="Normal 2 4 3 3 10" xfId="17346" xr:uid="{14AE1C16-A218-467F-8883-17D3A3E36CD6}"/>
    <cellStyle name="Normal 2 4 3 3 11" xfId="8912" xr:uid="{C6B2F6A0-146E-4891-B52D-BA33E9C20931}"/>
    <cellStyle name="Normal 2 4 3 3 2" xfId="299" xr:uid="{00000000-0005-0000-0000-0000D10F0000}"/>
    <cellStyle name="Normal 2 4 3 3 2 10" xfId="8913" xr:uid="{35FA3E4E-F046-4DF1-BF4C-C138B8D653BB}"/>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24124" xr:uid="{8F7895BF-359A-487C-B19F-5EA220FCAAB5}"/>
    <cellStyle name="Normal 2 4 3 3 2 2 2 2 2 3" xfId="15690" xr:uid="{574D1D02-C08B-4634-AA0A-EECA28338ECC}"/>
    <cellStyle name="Normal 2 4 3 3 2 2 2 2 3" xfId="19907" xr:uid="{99A072AE-56F2-425C-8369-476D8E3D477E}"/>
    <cellStyle name="Normal 2 4 3 3 2 2 2 2 4" xfId="11473" xr:uid="{283BEED6-29BD-4A48-A956-C43720F0849D}"/>
    <cellStyle name="Normal 2 4 3 3 2 2 2 3" xfId="5107" xr:uid="{00000000-0005-0000-0000-0000D60F0000}"/>
    <cellStyle name="Normal 2 4 3 3 2 2 2 3 2" xfId="21979" xr:uid="{F31E8124-57EC-442E-92F0-C635F819214A}"/>
    <cellStyle name="Normal 2 4 3 3 2 2 2 3 3" xfId="13545" xr:uid="{D333237B-A0F7-4AFB-A0EF-54E7BA695A06}"/>
    <cellStyle name="Normal 2 4 3 3 2 2 2 4" xfId="17762" xr:uid="{6DCF71EB-07CC-43B5-9D8E-159938B47501}"/>
    <cellStyle name="Normal 2 4 3 3 2 2 2 5" xfId="9328" xr:uid="{CCB0E040-AC6F-4D35-9888-0F38CC082D79}"/>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24537" xr:uid="{566D6342-4AD8-4D82-B4ED-F50209DA2DC7}"/>
    <cellStyle name="Normal 2 4 3 3 2 2 3 2 2 3" xfId="16103" xr:uid="{974069FA-29CA-43E6-AD4B-9124D2A19D0A}"/>
    <cellStyle name="Normal 2 4 3 3 2 2 3 2 3" xfId="20320" xr:uid="{3CAE3879-AE6A-4E91-B573-E32D6D3F96A3}"/>
    <cellStyle name="Normal 2 4 3 3 2 2 3 2 4" xfId="11886" xr:uid="{26589985-A8D1-4BF6-BEF8-24798D916037}"/>
    <cellStyle name="Normal 2 4 3 3 2 2 3 3" xfId="5520" xr:uid="{00000000-0005-0000-0000-0000DA0F0000}"/>
    <cellStyle name="Normal 2 4 3 3 2 2 3 3 2" xfId="22392" xr:uid="{B3388B3D-7808-4AB7-A6EC-8A03219C254E}"/>
    <cellStyle name="Normal 2 4 3 3 2 2 3 3 3" xfId="13958" xr:uid="{76D2ED42-DB3F-4BD9-A480-C51B2F13F370}"/>
    <cellStyle name="Normal 2 4 3 3 2 2 3 4" xfId="18175" xr:uid="{E1318B25-3C79-48C0-ABEB-6DC5097C1DBB}"/>
    <cellStyle name="Normal 2 4 3 3 2 2 3 5" xfId="9741" xr:uid="{843B88CE-A142-4E5B-8720-0CCA5C7D173F}"/>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24950" xr:uid="{94EB8D3E-73A1-49B9-A17E-F7541E4262B8}"/>
    <cellStyle name="Normal 2 4 3 3 2 2 4 2 2 3" xfId="16516" xr:uid="{C5028075-4523-4BA0-B9E0-B8A8579CD784}"/>
    <cellStyle name="Normal 2 4 3 3 2 2 4 2 3" xfId="20733" xr:uid="{84BAB254-2B5F-42E6-9682-4CFD1567E229}"/>
    <cellStyle name="Normal 2 4 3 3 2 2 4 2 4" xfId="12299" xr:uid="{229788E2-AE24-40FF-B66C-BA4AF68F510A}"/>
    <cellStyle name="Normal 2 4 3 3 2 2 4 3" xfId="5933" xr:uid="{00000000-0005-0000-0000-0000DE0F0000}"/>
    <cellStyle name="Normal 2 4 3 3 2 2 4 3 2" xfId="22805" xr:uid="{2B2E5C48-743D-410B-9197-BBB3CFA0326E}"/>
    <cellStyle name="Normal 2 4 3 3 2 2 4 3 3" xfId="14371" xr:uid="{BE62E387-9E8B-4A44-8389-71235FC470B5}"/>
    <cellStyle name="Normal 2 4 3 3 2 2 4 4" xfId="18588" xr:uid="{EB856D7C-442C-4DEF-8014-CE8447EFC798}"/>
    <cellStyle name="Normal 2 4 3 3 2 2 4 5" xfId="10154" xr:uid="{43898160-2C26-43EB-9D8B-9763EBEEF104}"/>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25363" xr:uid="{A72F7941-3654-4BD6-9318-12694C052DCA}"/>
    <cellStyle name="Normal 2 4 3 3 2 2 5 2 2 3" xfId="16929" xr:uid="{E5785E21-48A1-4CAC-950F-236C82222A9C}"/>
    <cellStyle name="Normal 2 4 3 3 2 2 5 2 3" xfId="21146" xr:uid="{090EB583-E962-49C4-867B-AC6E7F6DF21B}"/>
    <cellStyle name="Normal 2 4 3 3 2 2 5 2 4" xfId="12712" xr:uid="{D64B7E43-912B-4116-BB74-7B1DCF264E5B}"/>
    <cellStyle name="Normal 2 4 3 3 2 2 5 3" xfId="6346" xr:uid="{00000000-0005-0000-0000-0000E20F0000}"/>
    <cellStyle name="Normal 2 4 3 3 2 2 5 3 2" xfId="23218" xr:uid="{3420E52B-C446-422D-ADA2-C45481CCE72E}"/>
    <cellStyle name="Normal 2 4 3 3 2 2 5 3 3" xfId="14784" xr:uid="{9516BC0F-157A-4EEA-A03A-85ACA197AB83}"/>
    <cellStyle name="Normal 2 4 3 3 2 2 5 4" xfId="19001" xr:uid="{B442B8E8-E040-4666-925A-A2546D763E3E}"/>
    <cellStyle name="Normal 2 4 3 3 2 2 5 5" xfId="10567" xr:uid="{D5AE19AB-9663-412F-8F14-4B82C9CE58C9}"/>
    <cellStyle name="Normal 2 4 3 3 2 2 6" xfId="2475" xr:uid="{00000000-0005-0000-0000-0000E30F0000}"/>
    <cellStyle name="Normal 2 4 3 3 2 2 6 2" xfId="6759" xr:uid="{00000000-0005-0000-0000-0000E40F0000}"/>
    <cellStyle name="Normal 2 4 3 3 2 2 6 2 2" xfId="23631" xr:uid="{DD250B99-39CB-4246-8687-03ED8349575B}"/>
    <cellStyle name="Normal 2 4 3 3 2 2 6 2 3" xfId="15197" xr:uid="{C24F5E85-219A-4333-9B64-E90328D83452}"/>
    <cellStyle name="Normal 2 4 3 3 2 2 6 3" xfId="19414" xr:uid="{99E4161A-45A4-4B64-9EB7-327B09CE0686}"/>
    <cellStyle name="Normal 2 4 3 3 2 2 6 4" xfId="10980" xr:uid="{F4E21FD0-1AD4-4FFF-9EBF-D3E18CA6CBBE}"/>
    <cellStyle name="Normal 2 4 3 3 2 2 7" xfId="4693" xr:uid="{00000000-0005-0000-0000-0000E50F0000}"/>
    <cellStyle name="Normal 2 4 3 3 2 2 7 2" xfId="21565" xr:uid="{0340FAE8-F291-4B7C-B0FD-6B5D5CFE8A15}"/>
    <cellStyle name="Normal 2 4 3 3 2 2 7 3" xfId="13131" xr:uid="{D62795E0-9B90-4EA1-9161-C78E6ABA63AF}"/>
    <cellStyle name="Normal 2 4 3 3 2 2 8" xfId="17348" xr:uid="{AA9AE8BB-B975-4C26-A9A5-AB45085BF382}"/>
    <cellStyle name="Normal 2 4 3 3 2 2 9" xfId="8914" xr:uid="{B03A8A94-9258-42CF-873E-17BB77931D7B}"/>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24123" xr:uid="{343A983E-B3E0-42D8-9F2F-DA0F38D1274D}"/>
    <cellStyle name="Normal 2 4 3 3 2 3 2 2 3" xfId="15689" xr:uid="{18606346-4270-4D95-8A1D-1FE7A5C731A3}"/>
    <cellStyle name="Normal 2 4 3 3 2 3 2 3" xfId="19906" xr:uid="{4C47607B-B3B2-4EA6-9AC6-095A21061EB1}"/>
    <cellStyle name="Normal 2 4 3 3 2 3 2 4" xfId="11472" xr:uid="{743B0E5B-2DF6-4EFA-8D55-1B26533601DA}"/>
    <cellStyle name="Normal 2 4 3 3 2 3 3" xfId="5106" xr:uid="{00000000-0005-0000-0000-0000E90F0000}"/>
    <cellStyle name="Normal 2 4 3 3 2 3 3 2" xfId="21978" xr:uid="{C6865829-5ADB-4E52-A493-14FED0652FC6}"/>
    <cellStyle name="Normal 2 4 3 3 2 3 3 3" xfId="13544" xr:uid="{EB7CC637-9C73-4AD0-99D9-D490E279BBE7}"/>
    <cellStyle name="Normal 2 4 3 3 2 3 4" xfId="17761" xr:uid="{8379B631-78A0-4197-989B-09057EF974E3}"/>
    <cellStyle name="Normal 2 4 3 3 2 3 5" xfId="9327" xr:uid="{F70F67A9-5BD0-453C-9ECE-0CBA883BE654}"/>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24536" xr:uid="{872D610E-E3DD-4A08-94C3-14F1A431CEDE}"/>
    <cellStyle name="Normal 2 4 3 3 2 4 2 2 3" xfId="16102" xr:uid="{E2E9C48B-D379-401C-BF74-F2D165C0C6DB}"/>
    <cellStyle name="Normal 2 4 3 3 2 4 2 3" xfId="20319" xr:uid="{CB5F0171-37B9-4005-A77E-94449FFC3606}"/>
    <cellStyle name="Normal 2 4 3 3 2 4 2 4" xfId="11885" xr:uid="{5B999C1D-3C45-44E6-9596-E3AB9996714B}"/>
    <cellStyle name="Normal 2 4 3 3 2 4 3" xfId="5519" xr:uid="{00000000-0005-0000-0000-0000ED0F0000}"/>
    <cellStyle name="Normal 2 4 3 3 2 4 3 2" xfId="22391" xr:uid="{167C7CF7-24CD-46FA-84A0-518560BCA7EF}"/>
    <cellStyle name="Normal 2 4 3 3 2 4 3 3" xfId="13957" xr:uid="{027934D3-B38A-4B7B-B96A-6F8342B95045}"/>
    <cellStyle name="Normal 2 4 3 3 2 4 4" xfId="18174" xr:uid="{067AA78A-AAE7-474F-A7EC-5D6810918FD6}"/>
    <cellStyle name="Normal 2 4 3 3 2 4 5" xfId="9740" xr:uid="{1C7A93A6-0C48-41B8-B34D-32438E4DFAA1}"/>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24949" xr:uid="{8D495C59-6344-4178-875B-33D25086E98E}"/>
    <cellStyle name="Normal 2 4 3 3 2 5 2 2 3" xfId="16515" xr:uid="{B22E112F-AD59-4E95-9C7C-697CCA7ABBBC}"/>
    <cellStyle name="Normal 2 4 3 3 2 5 2 3" xfId="20732" xr:uid="{3D339EBE-A42F-42A1-B5D3-8F597C511AD6}"/>
    <cellStyle name="Normal 2 4 3 3 2 5 2 4" xfId="12298" xr:uid="{C3ADB3AA-3CB3-469B-9F3B-D039C129DC40}"/>
    <cellStyle name="Normal 2 4 3 3 2 5 3" xfId="5932" xr:uid="{00000000-0005-0000-0000-0000F10F0000}"/>
    <cellStyle name="Normal 2 4 3 3 2 5 3 2" xfId="22804" xr:uid="{07B735C4-EC08-4425-9CF5-FF0BE511368A}"/>
    <cellStyle name="Normal 2 4 3 3 2 5 3 3" xfId="14370" xr:uid="{E5335327-7777-41AA-8351-443163591E48}"/>
    <cellStyle name="Normal 2 4 3 3 2 5 4" xfId="18587" xr:uid="{43CF2513-4845-4CD4-B1E1-466C784A0C3C}"/>
    <cellStyle name="Normal 2 4 3 3 2 5 5" xfId="10153" xr:uid="{AAD92809-AE5B-4602-A009-FA5246ADB1BA}"/>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25362" xr:uid="{EFCF55DD-8910-49C0-B134-D5CA369464F2}"/>
    <cellStyle name="Normal 2 4 3 3 2 6 2 2 3" xfId="16928" xr:uid="{62C2D3D2-5274-4399-A56C-4D0BEBB11A08}"/>
    <cellStyle name="Normal 2 4 3 3 2 6 2 3" xfId="21145" xr:uid="{3B941AFF-C92C-4E48-87DE-2BC7A3441333}"/>
    <cellStyle name="Normal 2 4 3 3 2 6 2 4" xfId="12711" xr:uid="{522F4CCE-40C7-4AB1-8042-857C14419FC4}"/>
    <cellStyle name="Normal 2 4 3 3 2 6 3" xfId="6345" xr:uid="{00000000-0005-0000-0000-0000F50F0000}"/>
    <cellStyle name="Normal 2 4 3 3 2 6 3 2" xfId="23217" xr:uid="{152DD3B2-9721-4EEA-B8DB-AEECB44ED0B4}"/>
    <cellStyle name="Normal 2 4 3 3 2 6 3 3" xfId="14783" xr:uid="{7A09AE1F-E53D-44B6-8823-68DE0F53C1DE}"/>
    <cellStyle name="Normal 2 4 3 3 2 6 4" xfId="19000" xr:uid="{688F102A-A401-4E34-8EE8-DADDA2714F4F}"/>
    <cellStyle name="Normal 2 4 3 3 2 6 5" xfId="10566" xr:uid="{232F3B28-DE57-4EF7-A5D6-54D15E4F1DA7}"/>
    <cellStyle name="Normal 2 4 3 3 2 7" xfId="2474" xr:uid="{00000000-0005-0000-0000-0000F60F0000}"/>
    <cellStyle name="Normal 2 4 3 3 2 7 2" xfId="6758" xr:uid="{00000000-0005-0000-0000-0000F70F0000}"/>
    <cellStyle name="Normal 2 4 3 3 2 7 2 2" xfId="23630" xr:uid="{89191E56-FBC0-4820-B13C-961B6C690B58}"/>
    <cellStyle name="Normal 2 4 3 3 2 7 2 3" xfId="15196" xr:uid="{670B4DF7-DFF5-4511-AE26-8E52AB1CDFAD}"/>
    <cellStyle name="Normal 2 4 3 3 2 7 3" xfId="19413" xr:uid="{1BC44F22-8D69-4A9B-9553-0F2A7CE39EE8}"/>
    <cellStyle name="Normal 2 4 3 3 2 7 4" xfId="10979" xr:uid="{30AD6C6A-61CE-43B1-82F9-CDE827472C1F}"/>
    <cellStyle name="Normal 2 4 3 3 2 8" xfId="4692" xr:uid="{00000000-0005-0000-0000-0000F80F0000}"/>
    <cellStyle name="Normal 2 4 3 3 2 8 2" xfId="21564" xr:uid="{AF501FAA-32A8-419A-9AD9-F9253CB4D568}"/>
    <cellStyle name="Normal 2 4 3 3 2 8 3" xfId="13130" xr:uid="{7EA0C643-9A26-47AC-8DAC-B42599CD885F}"/>
    <cellStyle name="Normal 2 4 3 3 2 9" xfId="17347" xr:uid="{BB8C870E-25C9-482A-8985-65294DA34071}"/>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24125" xr:uid="{617C8ED1-9343-4256-899B-4556D798F6D0}"/>
    <cellStyle name="Normal 2 4 3 3 3 2 2 2 3" xfId="15691" xr:uid="{F51B9C4B-A247-486B-9840-6BBF807171FA}"/>
    <cellStyle name="Normal 2 4 3 3 3 2 2 3" xfId="19908" xr:uid="{BC943451-21B4-4A2F-949D-EB6A9940B0DA}"/>
    <cellStyle name="Normal 2 4 3 3 3 2 2 4" xfId="11474" xr:uid="{4FA9D23D-8EE7-4BB5-B4A2-7EF01A9D2C54}"/>
    <cellStyle name="Normal 2 4 3 3 3 2 3" xfId="5108" xr:uid="{00000000-0005-0000-0000-0000FD0F0000}"/>
    <cellStyle name="Normal 2 4 3 3 3 2 3 2" xfId="21980" xr:uid="{1618823F-97CF-4A4A-8712-E6B677FD7E29}"/>
    <cellStyle name="Normal 2 4 3 3 3 2 3 3" xfId="13546" xr:uid="{5FC7611B-C98D-44C4-84B5-FBD1B249C967}"/>
    <cellStyle name="Normal 2 4 3 3 3 2 4" xfId="17763" xr:uid="{D71CC79F-226A-4894-A0DE-6C68845D5410}"/>
    <cellStyle name="Normal 2 4 3 3 3 2 5" xfId="9329" xr:uid="{582B55ED-6609-42EA-8B79-020DF602987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24538" xr:uid="{426D6DEB-21BF-4549-BEA2-232DBF462F5A}"/>
    <cellStyle name="Normal 2 4 3 3 3 3 2 2 3" xfId="16104" xr:uid="{2C6B20BF-830E-46F7-BDD2-A5522A020220}"/>
    <cellStyle name="Normal 2 4 3 3 3 3 2 3" xfId="20321" xr:uid="{990A5B15-8CFA-449F-BD9D-09DE298A9137}"/>
    <cellStyle name="Normal 2 4 3 3 3 3 2 4" xfId="11887" xr:uid="{BAD93949-D17E-4A76-9C06-800C083FC154}"/>
    <cellStyle name="Normal 2 4 3 3 3 3 3" xfId="5521" xr:uid="{00000000-0005-0000-0000-000001100000}"/>
    <cellStyle name="Normal 2 4 3 3 3 3 3 2" xfId="22393" xr:uid="{3FB6AC51-C5D9-4A8D-A56A-2B37B201F4ED}"/>
    <cellStyle name="Normal 2 4 3 3 3 3 3 3" xfId="13959" xr:uid="{8A070D50-3EB9-4A36-9DF0-EB735FCF4801}"/>
    <cellStyle name="Normal 2 4 3 3 3 3 4" xfId="18176" xr:uid="{4D2732AD-3BA9-4BBF-96ED-E536AF6996CB}"/>
    <cellStyle name="Normal 2 4 3 3 3 3 5" xfId="9742" xr:uid="{09C167E6-6636-46D7-8A32-31B6770D0CBB}"/>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24951" xr:uid="{ED18DC86-D44B-49E6-98B2-15188E83A2C8}"/>
    <cellStyle name="Normal 2 4 3 3 3 4 2 2 3" xfId="16517" xr:uid="{5A3E59E8-7850-42E4-877F-BD8EC8F20487}"/>
    <cellStyle name="Normal 2 4 3 3 3 4 2 3" xfId="20734" xr:uid="{863C766B-D6FD-4158-B11E-DFF96B54635A}"/>
    <cellStyle name="Normal 2 4 3 3 3 4 2 4" xfId="12300" xr:uid="{B8ED4563-477C-4459-9FC8-1666EED1FAD0}"/>
    <cellStyle name="Normal 2 4 3 3 3 4 3" xfId="5934" xr:uid="{00000000-0005-0000-0000-000005100000}"/>
    <cellStyle name="Normal 2 4 3 3 3 4 3 2" xfId="22806" xr:uid="{8008D431-CAB6-4C8F-9F06-D3CB7DE1D39B}"/>
    <cellStyle name="Normal 2 4 3 3 3 4 3 3" xfId="14372" xr:uid="{3277325F-8E06-449C-BD36-4FD47C3EB333}"/>
    <cellStyle name="Normal 2 4 3 3 3 4 4" xfId="18589" xr:uid="{19C20CC9-7A50-47E8-BF04-21D5E7588051}"/>
    <cellStyle name="Normal 2 4 3 3 3 4 5" xfId="10155" xr:uid="{7BCDE13E-FF94-47C5-9488-A73C471AD1E2}"/>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25364" xr:uid="{E921359F-AF76-4136-91E0-91F36494622C}"/>
    <cellStyle name="Normal 2 4 3 3 3 5 2 2 3" xfId="16930" xr:uid="{029BB14A-4668-43D2-A96F-3ED2FBB8CC0B}"/>
    <cellStyle name="Normal 2 4 3 3 3 5 2 3" xfId="21147" xr:uid="{3D706667-884A-46EF-8117-C6853D027025}"/>
    <cellStyle name="Normal 2 4 3 3 3 5 2 4" xfId="12713" xr:uid="{B52CCC90-182F-49B8-B265-D3F9E8A9EF70}"/>
    <cellStyle name="Normal 2 4 3 3 3 5 3" xfId="6347" xr:uid="{00000000-0005-0000-0000-000009100000}"/>
    <cellStyle name="Normal 2 4 3 3 3 5 3 2" xfId="23219" xr:uid="{23EF4195-3E65-4666-A862-FA937BA3756D}"/>
    <cellStyle name="Normal 2 4 3 3 3 5 3 3" xfId="14785" xr:uid="{554846A0-9B88-42D5-84AB-9AD0B342796B}"/>
    <cellStyle name="Normal 2 4 3 3 3 5 4" xfId="19002" xr:uid="{E552D1EE-8D7E-4521-A61F-6A97139D887B}"/>
    <cellStyle name="Normal 2 4 3 3 3 5 5" xfId="10568" xr:uid="{28825FCC-5055-4DA0-8ABC-1810DB57129D}"/>
    <cellStyle name="Normal 2 4 3 3 3 6" xfId="2476" xr:uid="{00000000-0005-0000-0000-00000A100000}"/>
    <cellStyle name="Normal 2 4 3 3 3 6 2" xfId="6760" xr:uid="{00000000-0005-0000-0000-00000B100000}"/>
    <cellStyle name="Normal 2 4 3 3 3 6 2 2" xfId="23632" xr:uid="{AA66AAF0-B5AD-46CD-B886-2442263275CF}"/>
    <cellStyle name="Normal 2 4 3 3 3 6 2 3" xfId="15198" xr:uid="{258EF3DD-A4EB-4239-B31B-FD1EB6AFE594}"/>
    <cellStyle name="Normal 2 4 3 3 3 6 3" xfId="19415" xr:uid="{9CEF5DCD-6045-419C-90B8-AF3BF6F56810}"/>
    <cellStyle name="Normal 2 4 3 3 3 6 4" xfId="10981" xr:uid="{66FCDB48-0EE6-4990-94A1-D25AAD7C3D7B}"/>
    <cellStyle name="Normal 2 4 3 3 3 7" xfId="4694" xr:uid="{00000000-0005-0000-0000-00000C100000}"/>
    <cellStyle name="Normal 2 4 3 3 3 7 2" xfId="21566" xr:uid="{7C2EEA73-12EC-4E86-87F5-6456B2073177}"/>
    <cellStyle name="Normal 2 4 3 3 3 7 3" xfId="13132" xr:uid="{57F69C9F-FC65-4565-AB93-4845FDC7F863}"/>
    <cellStyle name="Normal 2 4 3 3 3 8" xfId="17349" xr:uid="{BFA9FF92-4BD9-4C20-B379-7CE53F209F70}"/>
    <cellStyle name="Normal 2 4 3 3 3 9" xfId="8915" xr:uid="{2981D567-0335-4730-97A2-BCE66A8CCB9F}"/>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24122" xr:uid="{86BA47BB-0B98-4961-B5F3-3E8C75E51316}"/>
    <cellStyle name="Normal 2 4 3 3 4 2 2 3" xfId="15688" xr:uid="{DAC910AC-2FAA-40C1-807F-B06BA560CB97}"/>
    <cellStyle name="Normal 2 4 3 3 4 2 3" xfId="19905" xr:uid="{4DDFDDFD-190D-4D7D-BAD8-8996B8746F8D}"/>
    <cellStyle name="Normal 2 4 3 3 4 2 4" xfId="11471" xr:uid="{E9A8FD10-9B27-47CF-A4B3-84612D644E7B}"/>
    <cellStyle name="Normal 2 4 3 3 4 3" xfId="5105" xr:uid="{00000000-0005-0000-0000-000010100000}"/>
    <cellStyle name="Normal 2 4 3 3 4 3 2" xfId="21977" xr:uid="{599F4000-EFBF-44FC-9B91-1DED36D3A3FD}"/>
    <cellStyle name="Normal 2 4 3 3 4 3 3" xfId="13543" xr:uid="{A5F7787B-A5CC-4ABF-BA03-4EB0C0749B9B}"/>
    <cellStyle name="Normal 2 4 3 3 4 4" xfId="17760" xr:uid="{6596F349-B9CB-4EE6-AEC4-BA10A94562E8}"/>
    <cellStyle name="Normal 2 4 3 3 4 5" xfId="9326" xr:uid="{088FCFAA-F749-46C0-B6DD-44E5D8CB5922}"/>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24535" xr:uid="{DBA1A606-3F29-4866-A92E-4DDDE52E0C61}"/>
    <cellStyle name="Normal 2 4 3 3 5 2 2 3" xfId="16101" xr:uid="{C743B6D6-720F-496D-AA11-696C3EDFE21B}"/>
    <cellStyle name="Normal 2 4 3 3 5 2 3" xfId="20318" xr:uid="{9A9B6088-B8EE-4F85-AE06-49F32872AB83}"/>
    <cellStyle name="Normal 2 4 3 3 5 2 4" xfId="11884" xr:uid="{66542B9A-2B75-4831-80E7-CCDE148B9B8B}"/>
    <cellStyle name="Normal 2 4 3 3 5 3" xfId="5518" xr:uid="{00000000-0005-0000-0000-000014100000}"/>
    <cellStyle name="Normal 2 4 3 3 5 3 2" xfId="22390" xr:uid="{73157F8D-CED5-4DE1-A221-EEB55671ABFD}"/>
    <cellStyle name="Normal 2 4 3 3 5 3 3" xfId="13956" xr:uid="{8F46768E-780B-4710-9D8D-C0352B121646}"/>
    <cellStyle name="Normal 2 4 3 3 5 4" xfId="18173" xr:uid="{8AE477A2-9712-40FA-9CCD-94DBEFF6DF44}"/>
    <cellStyle name="Normal 2 4 3 3 5 5" xfId="9739" xr:uid="{D9F9B270-B46B-4A2C-9EAE-F5C3A573A97B}"/>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24948" xr:uid="{8D98FFF9-CDE7-43DD-882A-ED7B455D38F3}"/>
    <cellStyle name="Normal 2 4 3 3 6 2 2 3" xfId="16514" xr:uid="{D425CB4C-EF38-4BA5-B7B3-18574F80F33D}"/>
    <cellStyle name="Normal 2 4 3 3 6 2 3" xfId="20731" xr:uid="{9F3E58B8-5042-4018-AA2F-0B8BC03D0371}"/>
    <cellStyle name="Normal 2 4 3 3 6 2 4" xfId="12297" xr:uid="{284559A5-36C7-4987-A79D-4EA77DF688DD}"/>
    <cellStyle name="Normal 2 4 3 3 6 3" xfId="5931" xr:uid="{00000000-0005-0000-0000-000018100000}"/>
    <cellStyle name="Normal 2 4 3 3 6 3 2" xfId="22803" xr:uid="{713DEEA2-8CEA-411D-82B9-BC218CF9C9D8}"/>
    <cellStyle name="Normal 2 4 3 3 6 3 3" xfId="14369" xr:uid="{B0937DEB-5807-4C22-9A92-38948DC20C87}"/>
    <cellStyle name="Normal 2 4 3 3 6 4" xfId="18586" xr:uid="{24880584-EFB8-401A-9C5D-8EAF8E25DC84}"/>
    <cellStyle name="Normal 2 4 3 3 6 5" xfId="10152" xr:uid="{6BF0B682-B1F0-4292-8539-9A73BC6CA188}"/>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25361" xr:uid="{64858962-BF5A-4D84-BED3-938F7B07C04B}"/>
    <cellStyle name="Normal 2 4 3 3 7 2 2 3" xfId="16927" xr:uid="{8BA1129E-E2A5-4959-AFEE-61251A3D3E7C}"/>
    <cellStyle name="Normal 2 4 3 3 7 2 3" xfId="21144" xr:uid="{35CD30B4-E539-40AA-884E-34753542A14C}"/>
    <cellStyle name="Normal 2 4 3 3 7 2 4" xfId="12710" xr:uid="{2C5FD1B2-73B2-416C-8401-09FEADBBE4D7}"/>
    <cellStyle name="Normal 2 4 3 3 7 3" xfId="6344" xr:uid="{00000000-0005-0000-0000-00001C100000}"/>
    <cellStyle name="Normal 2 4 3 3 7 3 2" xfId="23216" xr:uid="{8D9D9F20-9041-4757-8B84-1F9B642C5700}"/>
    <cellStyle name="Normal 2 4 3 3 7 3 3" xfId="14782" xr:uid="{07DC1FFD-D3EE-496C-8ACC-D42FA467AB9A}"/>
    <cellStyle name="Normal 2 4 3 3 7 4" xfId="18999" xr:uid="{BF23861F-2A73-47E1-B981-44CFCB8D1637}"/>
    <cellStyle name="Normal 2 4 3 3 7 5" xfId="10565" xr:uid="{3FF96A2C-0803-4400-82F8-20B640253F73}"/>
    <cellStyle name="Normal 2 4 3 3 8" xfId="2473" xr:uid="{00000000-0005-0000-0000-00001D100000}"/>
    <cellStyle name="Normal 2 4 3 3 8 2" xfId="6757" xr:uid="{00000000-0005-0000-0000-00001E100000}"/>
    <cellStyle name="Normal 2 4 3 3 8 2 2" xfId="23629" xr:uid="{D133799F-7BFB-4047-A59A-3E47DB315956}"/>
    <cellStyle name="Normal 2 4 3 3 8 2 3" xfId="15195" xr:uid="{A836A3EC-BDDC-4BD9-9A81-66754D8B148A}"/>
    <cellStyle name="Normal 2 4 3 3 8 3" xfId="19412" xr:uid="{F2B5C54B-2E42-4DBE-A9A0-597134EECC20}"/>
    <cellStyle name="Normal 2 4 3 3 8 4" xfId="10978" xr:uid="{E81AE13E-8892-4EC7-9924-0FEB43F8CF17}"/>
    <cellStyle name="Normal 2 4 3 3 9" xfId="4691" xr:uid="{00000000-0005-0000-0000-00001F100000}"/>
    <cellStyle name="Normal 2 4 3 3 9 2" xfId="21563" xr:uid="{56D3BED9-11BC-4B3D-A85B-F7F4F556F16C}"/>
    <cellStyle name="Normal 2 4 3 3 9 3" xfId="13129" xr:uid="{7F5E860E-0D64-4485-93FA-D270643079B6}"/>
    <cellStyle name="Normal 2 4 3 4" xfId="787" xr:uid="{00000000-0005-0000-0000-000020100000}"/>
    <cellStyle name="Normal 2 4 3 4 2" xfId="3026" xr:uid="{00000000-0005-0000-0000-000021100000}"/>
    <cellStyle name="Normal 2 4 3 4 2 2" xfId="7249" xr:uid="{00000000-0005-0000-0000-000022100000}"/>
    <cellStyle name="Normal 2 4 3 4 2 2 2" xfId="24121" xr:uid="{9BD00C8B-BB0A-4F12-8858-8B71FBF9842F}"/>
    <cellStyle name="Normal 2 4 3 4 2 2 3" xfId="15687" xr:uid="{F543F7DD-EC1E-452D-93FE-91DB3373C68A}"/>
    <cellStyle name="Normal 2 4 3 4 2 3" xfId="19904" xr:uid="{403293E5-DD21-43BE-B1D1-65000521F26D}"/>
    <cellStyle name="Normal 2 4 3 4 2 4" xfId="11470" xr:uid="{48330807-0C6D-4C72-AC63-627116109D10}"/>
    <cellStyle name="Normal 2 4 3 4 3" xfId="5104" xr:uid="{00000000-0005-0000-0000-000023100000}"/>
    <cellStyle name="Normal 2 4 3 4 3 2" xfId="21976" xr:uid="{180C89C5-2442-4946-9D20-9F8891B26D6B}"/>
    <cellStyle name="Normal 2 4 3 4 3 3" xfId="13542" xr:uid="{90C67B95-1EC9-4A78-8ECF-71D64D979FF7}"/>
    <cellStyle name="Normal 2 4 3 4 4" xfId="17759" xr:uid="{2FC33E37-E633-40EB-B757-E7E75797442C}"/>
    <cellStyle name="Normal 2 4 3 4 5" xfId="9325" xr:uid="{990EC817-3762-4BAC-B8FE-DBAA534D789D}"/>
    <cellStyle name="Normal 2 4 3 5" xfId="1209" xr:uid="{00000000-0005-0000-0000-000024100000}"/>
    <cellStyle name="Normal 2 4 3 5 2" xfId="3439" xr:uid="{00000000-0005-0000-0000-000025100000}"/>
    <cellStyle name="Normal 2 4 3 5 2 2" xfId="7662" xr:uid="{00000000-0005-0000-0000-000026100000}"/>
    <cellStyle name="Normal 2 4 3 5 2 2 2" xfId="24534" xr:uid="{27CFD205-EF9A-4D14-BAE1-FEF0B538B823}"/>
    <cellStyle name="Normal 2 4 3 5 2 2 3" xfId="16100" xr:uid="{E67DD6A4-7F5F-4FC0-9B3B-B71F7A5D3E74}"/>
    <cellStyle name="Normal 2 4 3 5 2 3" xfId="20317" xr:uid="{F4A57093-2E91-4B3E-BE26-8D2E5667956C}"/>
    <cellStyle name="Normal 2 4 3 5 2 4" xfId="11883" xr:uid="{27C260E5-E87A-44F6-946F-BEC419F8F728}"/>
    <cellStyle name="Normal 2 4 3 5 3" xfId="5517" xr:uid="{00000000-0005-0000-0000-000027100000}"/>
    <cellStyle name="Normal 2 4 3 5 3 2" xfId="22389" xr:uid="{34C21DF2-6361-459C-B150-647CF19DEFDD}"/>
    <cellStyle name="Normal 2 4 3 5 3 3" xfId="13955" xr:uid="{0719EB8C-566A-4543-BDCF-C04E9C85EC12}"/>
    <cellStyle name="Normal 2 4 3 5 4" xfId="18172" xr:uid="{CD0AB23F-EA4A-40E7-94D1-409A7162A1D8}"/>
    <cellStyle name="Normal 2 4 3 5 5" xfId="9738" xr:uid="{BE994880-E1A0-4852-8217-3882C01C6F34}"/>
    <cellStyle name="Normal 2 4 3 6" xfId="1622" xr:uid="{00000000-0005-0000-0000-000028100000}"/>
    <cellStyle name="Normal 2 4 3 6 2" xfId="3852" xr:uid="{00000000-0005-0000-0000-000029100000}"/>
    <cellStyle name="Normal 2 4 3 6 2 2" xfId="8075" xr:uid="{00000000-0005-0000-0000-00002A100000}"/>
    <cellStyle name="Normal 2 4 3 6 2 2 2" xfId="24947" xr:uid="{70AE5C8F-5445-4685-9836-AE49EC9F1DC1}"/>
    <cellStyle name="Normal 2 4 3 6 2 2 3" xfId="16513" xr:uid="{8448D398-B1EC-444F-8D43-A38A3E52DFF1}"/>
    <cellStyle name="Normal 2 4 3 6 2 3" xfId="20730" xr:uid="{66D50658-EFFE-424F-BE8A-65408570E1C4}"/>
    <cellStyle name="Normal 2 4 3 6 2 4" xfId="12296" xr:uid="{957999E1-D473-4443-A684-01BCCBA13519}"/>
    <cellStyle name="Normal 2 4 3 6 3" xfId="5930" xr:uid="{00000000-0005-0000-0000-00002B100000}"/>
    <cellStyle name="Normal 2 4 3 6 3 2" xfId="22802" xr:uid="{B1C32825-931C-49B8-B661-B15D267791AF}"/>
    <cellStyle name="Normal 2 4 3 6 3 3" xfId="14368" xr:uid="{87BBAC90-8ECB-4BE2-A9B5-D9617FA9457D}"/>
    <cellStyle name="Normal 2 4 3 6 4" xfId="18585" xr:uid="{056691A1-2431-42ED-BC92-C42138EF09A3}"/>
    <cellStyle name="Normal 2 4 3 6 5" xfId="10151" xr:uid="{624432C0-CB08-475D-8C7F-55CFDDE0C12A}"/>
    <cellStyle name="Normal 2 4 3 7" xfId="2036" xr:uid="{00000000-0005-0000-0000-00002C100000}"/>
    <cellStyle name="Normal 2 4 3 7 2" xfId="4265" xr:uid="{00000000-0005-0000-0000-00002D100000}"/>
    <cellStyle name="Normal 2 4 3 7 2 2" xfId="8488" xr:uid="{00000000-0005-0000-0000-00002E100000}"/>
    <cellStyle name="Normal 2 4 3 7 2 2 2" xfId="25360" xr:uid="{A70ACCE9-F93D-435B-A16B-D54216024FD1}"/>
    <cellStyle name="Normal 2 4 3 7 2 2 3" xfId="16926" xr:uid="{10E7FAFF-9232-49B7-B1F4-0F97830CEDE9}"/>
    <cellStyle name="Normal 2 4 3 7 2 3" xfId="21143" xr:uid="{06CCEF1C-FC61-420A-90FA-0C81E4A1A953}"/>
    <cellStyle name="Normal 2 4 3 7 2 4" xfId="12709" xr:uid="{D9A71704-870B-421A-A20B-D191E5554C35}"/>
    <cellStyle name="Normal 2 4 3 7 3" xfId="6343" xr:uid="{00000000-0005-0000-0000-00002F100000}"/>
    <cellStyle name="Normal 2 4 3 7 3 2" xfId="23215" xr:uid="{770D25A5-C57C-4FD9-B8C1-0D62963598B7}"/>
    <cellStyle name="Normal 2 4 3 7 3 3" xfId="14781" xr:uid="{F31838E8-C4AD-41A4-8CF9-A9A2EE7742FE}"/>
    <cellStyle name="Normal 2 4 3 7 4" xfId="18998" xr:uid="{611D7E48-72FD-416B-8469-E6CF647CBAFC}"/>
    <cellStyle name="Normal 2 4 3 7 5" xfId="10564" xr:uid="{5CC54BB0-5AB3-410D-A3E6-DD9BF69983DD}"/>
    <cellStyle name="Normal 2 4 3 8" xfId="2472" xr:uid="{00000000-0005-0000-0000-000030100000}"/>
    <cellStyle name="Normal 2 4 3 8 2" xfId="6756" xr:uid="{00000000-0005-0000-0000-000031100000}"/>
    <cellStyle name="Normal 2 4 3 8 2 2" xfId="23628" xr:uid="{EDBEAAB7-F92A-4BE6-B228-EC8675D92EB2}"/>
    <cellStyle name="Normal 2 4 3 8 2 3" xfId="15194" xr:uid="{C4999D8D-41D2-4362-B911-3E07AE6C6C6F}"/>
    <cellStyle name="Normal 2 4 3 8 3" xfId="19411" xr:uid="{5C6C9A76-BB76-44B8-962E-FE82FA706F3F}"/>
    <cellStyle name="Normal 2 4 3 8 4" xfId="10977" xr:uid="{74214CF0-57F5-4DBF-99E2-48715AD9BC1D}"/>
    <cellStyle name="Normal 2 4 3 9" xfId="4690" xr:uid="{00000000-0005-0000-0000-000032100000}"/>
    <cellStyle name="Normal 2 4 3 9 2" xfId="21562" xr:uid="{D83688A0-5288-4A9B-9553-43F6E2AB87C1}"/>
    <cellStyle name="Normal 2 4 3 9 3" xfId="13128" xr:uid="{EEE244C7-E209-4F1B-980D-B609C483133A}"/>
    <cellStyle name="Normal 2 4 4" xfId="302" xr:uid="{00000000-0005-0000-0000-000033100000}"/>
    <cellStyle name="Normal 2 4 5" xfId="303" xr:uid="{00000000-0005-0000-0000-000034100000}"/>
    <cellStyle name="Normal 2 4 5 10" xfId="4695" xr:uid="{00000000-0005-0000-0000-000035100000}"/>
    <cellStyle name="Normal 2 4 5 10 2" xfId="21567" xr:uid="{A06029F8-9A35-4F80-9997-145316B5F62B}"/>
    <cellStyle name="Normal 2 4 5 10 3" xfId="13133" xr:uid="{F81AF035-9949-4F1C-B286-3A9528FA4DF8}"/>
    <cellStyle name="Normal 2 4 5 11" xfId="17350" xr:uid="{A5677472-49DF-4A0F-8F95-EFD35254E5CF}"/>
    <cellStyle name="Normal 2 4 5 12" xfId="8916" xr:uid="{6EE447B5-C85C-494D-A405-F33FE3BC7A86}"/>
    <cellStyle name="Normal 2 4 5 2" xfId="304" xr:uid="{00000000-0005-0000-0000-000036100000}"/>
    <cellStyle name="Normal 2 4 5 2 10" xfId="17351" xr:uid="{43C955EB-9BA3-4C12-ADDF-0DD40D9B1702}"/>
    <cellStyle name="Normal 2 4 5 2 11" xfId="8917" xr:uid="{7E48BA4A-25BC-4195-8F23-7A66B4AFE7D7}"/>
    <cellStyle name="Normal 2 4 5 2 2" xfId="305" xr:uid="{00000000-0005-0000-0000-000037100000}"/>
    <cellStyle name="Normal 2 4 5 2 2 10" xfId="8918" xr:uid="{BA21C79A-FB7A-4C42-9D38-8716604ED8AF}"/>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24129" xr:uid="{7E8F9AC0-589D-41F1-BAF9-7CC821E09DE1}"/>
    <cellStyle name="Normal 2 4 5 2 2 2 2 2 2 3" xfId="15695" xr:uid="{4ACA1EEF-CE77-4B02-B574-401DCD1FDEF1}"/>
    <cellStyle name="Normal 2 4 5 2 2 2 2 2 3" xfId="19912" xr:uid="{55BE5107-2908-41D5-B573-5DCA45552668}"/>
    <cellStyle name="Normal 2 4 5 2 2 2 2 2 4" xfId="11478" xr:uid="{9C933ED3-0B86-472F-A8DF-80884487C653}"/>
    <cellStyle name="Normal 2 4 5 2 2 2 2 3" xfId="5112" xr:uid="{00000000-0005-0000-0000-00003C100000}"/>
    <cellStyle name="Normal 2 4 5 2 2 2 2 3 2" xfId="21984" xr:uid="{47FE9856-3EFF-42C8-9D0F-F6907F20100B}"/>
    <cellStyle name="Normal 2 4 5 2 2 2 2 3 3" xfId="13550" xr:uid="{B4C80543-3B2E-49E1-922B-24CDF08DA561}"/>
    <cellStyle name="Normal 2 4 5 2 2 2 2 4" xfId="17767" xr:uid="{89D5FB48-0BC1-4141-B478-F22FEDB58BDB}"/>
    <cellStyle name="Normal 2 4 5 2 2 2 2 5" xfId="9333" xr:uid="{CA7F042D-3D32-45BA-A46B-4FEAD9ABCBB9}"/>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24542" xr:uid="{7B040C56-B5C1-4337-9476-87A2F2C0E017}"/>
    <cellStyle name="Normal 2 4 5 2 2 2 3 2 2 3" xfId="16108" xr:uid="{0CE2DEEA-8CBA-4284-9FEA-FAF118A0762F}"/>
    <cellStyle name="Normal 2 4 5 2 2 2 3 2 3" xfId="20325" xr:uid="{72C3B69E-629E-488A-A132-CC3016AC47E5}"/>
    <cellStyle name="Normal 2 4 5 2 2 2 3 2 4" xfId="11891" xr:uid="{66A1FFDE-DACF-4092-B72B-4499FC908879}"/>
    <cellStyle name="Normal 2 4 5 2 2 2 3 3" xfId="5525" xr:uid="{00000000-0005-0000-0000-000040100000}"/>
    <cellStyle name="Normal 2 4 5 2 2 2 3 3 2" xfId="22397" xr:uid="{1DDC260C-7CD9-4B3F-959E-0085DB1A8E91}"/>
    <cellStyle name="Normal 2 4 5 2 2 2 3 3 3" xfId="13963" xr:uid="{26570388-616C-4559-92E5-976788D8CC38}"/>
    <cellStyle name="Normal 2 4 5 2 2 2 3 4" xfId="18180" xr:uid="{EE831409-C2A3-44F9-BB7D-6F954AAF38BB}"/>
    <cellStyle name="Normal 2 4 5 2 2 2 3 5" xfId="9746" xr:uid="{27761404-1F74-4D2C-A556-B60E63CDB015}"/>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24955" xr:uid="{ED4893E2-AF7F-4FFC-9204-212844B6A899}"/>
    <cellStyle name="Normal 2 4 5 2 2 2 4 2 2 3" xfId="16521" xr:uid="{3E778AB7-E144-4453-9E06-49A1AF078F20}"/>
    <cellStyle name="Normal 2 4 5 2 2 2 4 2 3" xfId="20738" xr:uid="{8ADB384D-CF06-49F6-A247-C5A2EDBADA3E}"/>
    <cellStyle name="Normal 2 4 5 2 2 2 4 2 4" xfId="12304" xr:uid="{B92AD6CE-23CF-4398-B16D-AB4F03034026}"/>
    <cellStyle name="Normal 2 4 5 2 2 2 4 3" xfId="5938" xr:uid="{00000000-0005-0000-0000-000044100000}"/>
    <cellStyle name="Normal 2 4 5 2 2 2 4 3 2" xfId="22810" xr:uid="{901C1F5D-FF3B-4849-91BA-D981A05A55A0}"/>
    <cellStyle name="Normal 2 4 5 2 2 2 4 3 3" xfId="14376" xr:uid="{527695C5-6DF3-4EA8-A28E-439DC033CDB1}"/>
    <cellStyle name="Normal 2 4 5 2 2 2 4 4" xfId="18593" xr:uid="{13589BC9-71BF-4B12-83AE-B08405D7C40E}"/>
    <cellStyle name="Normal 2 4 5 2 2 2 4 5" xfId="10159" xr:uid="{FD1B7BFF-E19B-42F5-8731-AE14FFA77DBB}"/>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25368" xr:uid="{D04AB775-5FF7-4125-A735-D6A4E0A5B0DF}"/>
    <cellStyle name="Normal 2 4 5 2 2 2 5 2 2 3" xfId="16934" xr:uid="{0CD54BDA-56BB-41E9-8DF5-C65DF41DEAE2}"/>
    <cellStyle name="Normal 2 4 5 2 2 2 5 2 3" xfId="21151" xr:uid="{A86F9DE8-5E5E-432F-A79C-4BF06FE9644A}"/>
    <cellStyle name="Normal 2 4 5 2 2 2 5 2 4" xfId="12717" xr:uid="{7B68282A-433D-4762-B513-11D14DCBB019}"/>
    <cellStyle name="Normal 2 4 5 2 2 2 5 3" xfId="6351" xr:uid="{00000000-0005-0000-0000-000048100000}"/>
    <cellStyle name="Normal 2 4 5 2 2 2 5 3 2" xfId="23223" xr:uid="{D19A494C-8059-479A-A8B1-28286BE53136}"/>
    <cellStyle name="Normal 2 4 5 2 2 2 5 3 3" xfId="14789" xr:uid="{DBE550C4-17E0-41F5-BDC1-CCA27BF6394A}"/>
    <cellStyle name="Normal 2 4 5 2 2 2 5 4" xfId="19006" xr:uid="{48037EB5-0F23-4172-8C3E-BE759A91C6E0}"/>
    <cellStyle name="Normal 2 4 5 2 2 2 5 5" xfId="10572" xr:uid="{12F98AE9-454A-4770-A9CD-A0B325E5C81F}"/>
    <cellStyle name="Normal 2 4 5 2 2 2 6" xfId="2480" xr:uid="{00000000-0005-0000-0000-000049100000}"/>
    <cellStyle name="Normal 2 4 5 2 2 2 6 2" xfId="6764" xr:uid="{00000000-0005-0000-0000-00004A100000}"/>
    <cellStyle name="Normal 2 4 5 2 2 2 6 2 2" xfId="23636" xr:uid="{EDA7D318-2CF6-4112-9513-A3AE121ABC2B}"/>
    <cellStyle name="Normal 2 4 5 2 2 2 6 2 3" xfId="15202" xr:uid="{70768EDD-DCDA-480F-9787-9ED01CE444C9}"/>
    <cellStyle name="Normal 2 4 5 2 2 2 6 3" xfId="19419" xr:uid="{6C85E946-4C42-4005-9A0A-BB24BB467420}"/>
    <cellStyle name="Normal 2 4 5 2 2 2 6 4" xfId="10985" xr:uid="{CB66F320-B6EE-4920-9E51-F1F8094957CE}"/>
    <cellStyle name="Normal 2 4 5 2 2 2 7" xfId="4698" xr:uid="{00000000-0005-0000-0000-00004B100000}"/>
    <cellStyle name="Normal 2 4 5 2 2 2 7 2" xfId="21570" xr:uid="{5888186C-6947-4C91-8F1B-82DF23DFA7CE}"/>
    <cellStyle name="Normal 2 4 5 2 2 2 7 3" xfId="13136" xr:uid="{527FFD3F-9564-4EAB-923B-9B2534428C2C}"/>
    <cellStyle name="Normal 2 4 5 2 2 2 8" xfId="17353" xr:uid="{1CBB4FB7-73AD-4BA2-93C5-E0A9DD0E93DC}"/>
    <cellStyle name="Normal 2 4 5 2 2 2 9" xfId="8919" xr:uid="{AF49B90E-E746-465A-B323-B67C22EA234D}"/>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24128" xr:uid="{A7145E10-9990-428C-9C27-A7378B5451E3}"/>
    <cellStyle name="Normal 2 4 5 2 2 3 2 2 3" xfId="15694" xr:uid="{0CDB0468-C705-4B0F-B592-F05CA17B10E1}"/>
    <cellStyle name="Normal 2 4 5 2 2 3 2 3" xfId="19911" xr:uid="{F3365B13-3482-4796-B8CA-D77DADF0B4FC}"/>
    <cellStyle name="Normal 2 4 5 2 2 3 2 4" xfId="11477" xr:uid="{2ED4A0BD-C91C-4867-BFDB-40C40429BCCD}"/>
    <cellStyle name="Normal 2 4 5 2 2 3 3" xfId="5111" xr:uid="{00000000-0005-0000-0000-00004F100000}"/>
    <cellStyle name="Normal 2 4 5 2 2 3 3 2" xfId="21983" xr:uid="{400CAA0C-ADF5-430B-918C-0CB7EA63E6A3}"/>
    <cellStyle name="Normal 2 4 5 2 2 3 3 3" xfId="13549" xr:uid="{C919E624-4CC1-468C-B2BF-E5AEAECDC665}"/>
    <cellStyle name="Normal 2 4 5 2 2 3 4" xfId="17766" xr:uid="{3F160FE9-F39A-4FEB-BDD2-4B96BFC2A19C}"/>
    <cellStyle name="Normal 2 4 5 2 2 3 5" xfId="9332" xr:uid="{CB3571F0-EC22-49E9-99B1-CA98DC9A4546}"/>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24541" xr:uid="{AC60FD4D-A304-49EE-9C09-E2A9750FEE42}"/>
    <cellStyle name="Normal 2 4 5 2 2 4 2 2 3" xfId="16107" xr:uid="{AB45A5D8-9EB0-4DC6-8303-84C404A7FB3C}"/>
    <cellStyle name="Normal 2 4 5 2 2 4 2 3" xfId="20324" xr:uid="{53B9B4A2-62FF-4A41-A2D5-F3F46DBDDB39}"/>
    <cellStyle name="Normal 2 4 5 2 2 4 2 4" xfId="11890" xr:uid="{F28EFB08-CB81-4325-88DB-0366E7C35CF9}"/>
    <cellStyle name="Normal 2 4 5 2 2 4 3" xfId="5524" xr:uid="{00000000-0005-0000-0000-000053100000}"/>
    <cellStyle name="Normal 2 4 5 2 2 4 3 2" xfId="22396" xr:uid="{67500F56-3379-405A-B607-52A2C069B06C}"/>
    <cellStyle name="Normal 2 4 5 2 2 4 3 3" xfId="13962" xr:uid="{CFE9E420-554E-4AD6-B47C-75EAF1903A98}"/>
    <cellStyle name="Normal 2 4 5 2 2 4 4" xfId="18179" xr:uid="{B3F4514F-82B7-44B2-AD01-D1874FFA71F3}"/>
    <cellStyle name="Normal 2 4 5 2 2 4 5" xfId="9745" xr:uid="{3CAEB488-CF74-4553-A0AB-6862A12E3BC3}"/>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24954" xr:uid="{259B338E-F595-4E5A-87ED-7E1B52E9B83F}"/>
    <cellStyle name="Normal 2 4 5 2 2 5 2 2 3" xfId="16520" xr:uid="{9BE34418-788E-48BD-AB58-204E1F1F0780}"/>
    <cellStyle name="Normal 2 4 5 2 2 5 2 3" xfId="20737" xr:uid="{C44C7EF1-250C-4701-A290-B5C240FE7584}"/>
    <cellStyle name="Normal 2 4 5 2 2 5 2 4" xfId="12303" xr:uid="{252478E4-69C4-48BC-B0BE-5FCF0DED1968}"/>
    <cellStyle name="Normal 2 4 5 2 2 5 3" xfId="5937" xr:uid="{00000000-0005-0000-0000-000057100000}"/>
    <cellStyle name="Normal 2 4 5 2 2 5 3 2" xfId="22809" xr:uid="{6958AB0B-6195-4098-8C9A-585E00695643}"/>
    <cellStyle name="Normal 2 4 5 2 2 5 3 3" xfId="14375" xr:uid="{DAA8FEC8-1F24-40DF-B8FB-FAEC8B8828C7}"/>
    <cellStyle name="Normal 2 4 5 2 2 5 4" xfId="18592" xr:uid="{04C97108-CFB4-4335-8891-A43CDD687A2C}"/>
    <cellStyle name="Normal 2 4 5 2 2 5 5" xfId="10158" xr:uid="{40146254-C799-4443-892C-C86E0A71AC7B}"/>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25367" xr:uid="{CD6B71E4-408D-4F08-BC75-4C3C2DC99660}"/>
    <cellStyle name="Normal 2 4 5 2 2 6 2 2 3" xfId="16933" xr:uid="{DD315442-5EAF-4FD4-9831-2212AC4D0CBF}"/>
    <cellStyle name="Normal 2 4 5 2 2 6 2 3" xfId="21150" xr:uid="{3097C618-C199-4947-9114-C38E101A1E2D}"/>
    <cellStyle name="Normal 2 4 5 2 2 6 2 4" xfId="12716" xr:uid="{636FCB09-1626-4817-B91D-94C9EBF1CB89}"/>
    <cellStyle name="Normal 2 4 5 2 2 6 3" xfId="6350" xr:uid="{00000000-0005-0000-0000-00005B100000}"/>
    <cellStyle name="Normal 2 4 5 2 2 6 3 2" xfId="23222" xr:uid="{70B09D43-DCC4-4DBC-876A-8C8A674F777C}"/>
    <cellStyle name="Normal 2 4 5 2 2 6 3 3" xfId="14788" xr:uid="{927CA56B-9A6C-47DE-B359-92DE799DE881}"/>
    <cellStyle name="Normal 2 4 5 2 2 6 4" xfId="19005" xr:uid="{A1BC66AC-089E-4292-879E-37DA212D27F2}"/>
    <cellStyle name="Normal 2 4 5 2 2 6 5" xfId="10571" xr:uid="{C1EF4545-4F3C-4EE7-BEBE-3456E47E9326}"/>
    <cellStyle name="Normal 2 4 5 2 2 7" xfId="2479" xr:uid="{00000000-0005-0000-0000-00005C100000}"/>
    <cellStyle name="Normal 2 4 5 2 2 7 2" xfId="6763" xr:uid="{00000000-0005-0000-0000-00005D100000}"/>
    <cellStyle name="Normal 2 4 5 2 2 7 2 2" xfId="23635" xr:uid="{8754B8B6-26B7-4289-B2C2-57999F2EE08F}"/>
    <cellStyle name="Normal 2 4 5 2 2 7 2 3" xfId="15201" xr:uid="{6E4DB9C8-9BE2-4F70-B1D0-52AC147978EE}"/>
    <cellStyle name="Normal 2 4 5 2 2 7 3" xfId="19418" xr:uid="{CB30D0A4-B794-4399-977F-3BE9CBE324F3}"/>
    <cellStyle name="Normal 2 4 5 2 2 7 4" xfId="10984" xr:uid="{3D907977-31C4-47E6-AEED-79F87D8306B4}"/>
    <cellStyle name="Normal 2 4 5 2 2 8" xfId="4697" xr:uid="{00000000-0005-0000-0000-00005E100000}"/>
    <cellStyle name="Normal 2 4 5 2 2 8 2" xfId="21569" xr:uid="{D38B529E-57A1-43A9-8975-2340AF98A89F}"/>
    <cellStyle name="Normal 2 4 5 2 2 8 3" xfId="13135" xr:uid="{625A2C71-056A-4353-BB42-939D52BBF09E}"/>
    <cellStyle name="Normal 2 4 5 2 2 9" xfId="17352" xr:uid="{E3DF74C6-CE08-400F-A64D-841A6029E157}"/>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24130" xr:uid="{C107142E-A75C-49A3-9A2B-8C42C06619E5}"/>
    <cellStyle name="Normal 2 4 5 2 3 2 2 2 3" xfId="15696" xr:uid="{4DBA3C04-05F0-4D3A-AE19-5838933AE66A}"/>
    <cellStyle name="Normal 2 4 5 2 3 2 2 3" xfId="19913" xr:uid="{7330A31A-E383-4A07-928A-EAEDC1CCA923}"/>
    <cellStyle name="Normal 2 4 5 2 3 2 2 4" xfId="11479" xr:uid="{B54BA8AA-F089-4C25-B974-FAA3E7F8307A}"/>
    <cellStyle name="Normal 2 4 5 2 3 2 3" xfId="5113" xr:uid="{00000000-0005-0000-0000-000063100000}"/>
    <cellStyle name="Normal 2 4 5 2 3 2 3 2" xfId="21985" xr:uid="{B13D593E-FAEA-457E-B547-F12EDEB0F469}"/>
    <cellStyle name="Normal 2 4 5 2 3 2 3 3" xfId="13551" xr:uid="{8E6F4816-F38E-476A-AEAC-3D7C4AB715A6}"/>
    <cellStyle name="Normal 2 4 5 2 3 2 4" xfId="17768" xr:uid="{8F396E5B-500D-42DF-A1D6-BC6755AF099E}"/>
    <cellStyle name="Normal 2 4 5 2 3 2 5" xfId="9334" xr:uid="{4026D429-1CDC-4BD3-B574-798430FC8A31}"/>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24543" xr:uid="{8A161657-BDAD-40DD-A7A8-33B653D1F9C1}"/>
    <cellStyle name="Normal 2 4 5 2 3 3 2 2 3" xfId="16109" xr:uid="{A6C55190-A2EA-4702-A0EB-D9758EE64213}"/>
    <cellStyle name="Normal 2 4 5 2 3 3 2 3" xfId="20326" xr:uid="{7B1AD308-640F-4010-9A29-905A0747728D}"/>
    <cellStyle name="Normal 2 4 5 2 3 3 2 4" xfId="11892" xr:uid="{242327E3-9FBD-4D3E-82FF-9917FEDE0C49}"/>
    <cellStyle name="Normal 2 4 5 2 3 3 3" xfId="5526" xr:uid="{00000000-0005-0000-0000-000067100000}"/>
    <cellStyle name="Normal 2 4 5 2 3 3 3 2" xfId="22398" xr:uid="{2F09D54D-7E1B-4990-9211-C080CF1A70E4}"/>
    <cellStyle name="Normal 2 4 5 2 3 3 3 3" xfId="13964" xr:uid="{075D8009-5CF1-4E0D-9113-261EF272539F}"/>
    <cellStyle name="Normal 2 4 5 2 3 3 4" xfId="18181" xr:uid="{30450433-D703-4133-A2F2-054A7953A6BA}"/>
    <cellStyle name="Normal 2 4 5 2 3 3 5" xfId="9747" xr:uid="{52B1D3B3-E995-440A-B58C-A1B2074169DC}"/>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24956" xr:uid="{F60C5BB6-4CDA-4A9F-B931-3FFA63281BC3}"/>
    <cellStyle name="Normal 2 4 5 2 3 4 2 2 3" xfId="16522" xr:uid="{29D8B85B-FE4D-49F1-B489-E1993AEED8ED}"/>
    <cellStyle name="Normal 2 4 5 2 3 4 2 3" xfId="20739" xr:uid="{2E04562F-DB59-4519-89A0-CD3CE671991B}"/>
    <cellStyle name="Normal 2 4 5 2 3 4 2 4" xfId="12305" xr:uid="{1E7C4948-15EB-473B-A021-E9FD622BEF9C}"/>
    <cellStyle name="Normal 2 4 5 2 3 4 3" xfId="5939" xr:uid="{00000000-0005-0000-0000-00006B100000}"/>
    <cellStyle name="Normal 2 4 5 2 3 4 3 2" xfId="22811" xr:uid="{4C150234-474D-4348-9016-A371DDD08843}"/>
    <cellStyle name="Normal 2 4 5 2 3 4 3 3" xfId="14377" xr:uid="{3B3860D8-7327-46D9-B8A0-B52A942B608A}"/>
    <cellStyle name="Normal 2 4 5 2 3 4 4" xfId="18594" xr:uid="{F6603490-A062-451C-992D-B2B92220162F}"/>
    <cellStyle name="Normal 2 4 5 2 3 4 5" xfId="10160" xr:uid="{9DBC5C41-82F3-4129-9650-356696BDF9A5}"/>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25369" xr:uid="{46A2A007-6043-493C-A84D-BF62C40BE6E0}"/>
    <cellStyle name="Normal 2 4 5 2 3 5 2 2 3" xfId="16935" xr:uid="{EFF6D5B3-9B6E-4B8E-A80C-700E02A16B07}"/>
    <cellStyle name="Normal 2 4 5 2 3 5 2 3" xfId="21152" xr:uid="{941C025C-91FB-4CEC-A6EC-A8EDEB12E6E4}"/>
    <cellStyle name="Normal 2 4 5 2 3 5 2 4" xfId="12718" xr:uid="{FBCC1082-DF2B-4E15-90C7-255EBDB3C511}"/>
    <cellStyle name="Normal 2 4 5 2 3 5 3" xfId="6352" xr:uid="{00000000-0005-0000-0000-00006F100000}"/>
    <cellStyle name="Normal 2 4 5 2 3 5 3 2" xfId="23224" xr:uid="{680CE557-6B83-479A-A36D-7249C679BB51}"/>
    <cellStyle name="Normal 2 4 5 2 3 5 3 3" xfId="14790" xr:uid="{4343707E-F5FE-4196-9DD0-9299548EAA63}"/>
    <cellStyle name="Normal 2 4 5 2 3 5 4" xfId="19007" xr:uid="{209E80A3-DB81-43F0-9872-4D410F9C0D48}"/>
    <cellStyle name="Normal 2 4 5 2 3 5 5" xfId="10573" xr:uid="{523DE353-8DAE-4C58-900A-11113FDE8A9D}"/>
    <cellStyle name="Normal 2 4 5 2 3 6" xfId="2481" xr:uid="{00000000-0005-0000-0000-000070100000}"/>
    <cellStyle name="Normal 2 4 5 2 3 6 2" xfId="6765" xr:uid="{00000000-0005-0000-0000-000071100000}"/>
    <cellStyle name="Normal 2 4 5 2 3 6 2 2" xfId="23637" xr:uid="{16CE581D-A76E-4E79-8571-38DB95D2B4AA}"/>
    <cellStyle name="Normal 2 4 5 2 3 6 2 3" xfId="15203" xr:uid="{CCAE86D8-D5CB-4BDD-8A97-69A9879C3FB6}"/>
    <cellStyle name="Normal 2 4 5 2 3 6 3" xfId="19420" xr:uid="{9DEE2644-69A0-4AC9-B34F-99BD25E61ADC}"/>
    <cellStyle name="Normal 2 4 5 2 3 6 4" xfId="10986" xr:uid="{FB7704DF-F645-4C9F-8958-E6A1AF4686E6}"/>
    <cellStyle name="Normal 2 4 5 2 3 7" xfId="4699" xr:uid="{00000000-0005-0000-0000-000072100000}"/>
    <cellStyle name="Normal 2 4 5 2 3 7 2" xfId="21571" xr:uid="{C42AF5F0-3FFC-4AAF-8638-7388BF77062F}"/>
    <cellStyle name="Normal 2 4 5 2 3 7 3" xfId="13137" xr:uid="{0BA52C9D-6E6A-4E28-AC39-AEBD8601D030}"/>
    <cellStyle name="Normal 2 4 5 2 3 8" xfId="17354" xr:uid="{1EF8F372-6B0D-4FD7-9C7A-45E80430ACA7}"/>
    <cellStyle name="Normal 2 4 5 2 3 9" xfId="8920" xr:uid="{8C668F9D-8E53-4066-8E6E-BD4B15577117}"/>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24127" xr:uid="{CAEC8F04-7D23-4AA7-B1C4-178124842602}"/>
    <cellStyle name="Normal 2 4 5 2 4 2 2 3" xfId="15693" xr:uid="{D0F35B93-72FD-4872-A540-E0B7803F2772}"/>
    <cellStyle name="Normal 2 4 5 2 4 2 3" xfId="19910" xr:uid="{4EF08432-5AA3-4E54-82FC-ED3CF98A14BD}"/>
    <cellStyle name="Normal 2 4 5 2 4 2 4" xfId="11476" xr:uid="{71FF44FB-CFC8-44CE-A045-83FF8A727696}"/>
    <cellStyle name="Normal 2 4 5 2 4 3" xfId="5110" xr:uid="{00000000-0005-0000-0000-000076100000}"/>
    <cellStyle name="Normal 2 4 5 2 4 3 2" xfId="21982" xr:uid="{1147185B-FAB8-461D-A209-226952E7DE37}"/>
    <cellStyle name="Normal 2 4 5 2 4 3 3" xfId="13548" xr:uid="{86115493-CC47-43DF-8638-A9258B7CA43F}"/>
    <cellStyle name="Normal 2 4 5 2 4 4" xfId="17765" xr:uid="{5DC02386-20B3-467C-B680-185F0061951B}"/>
    <cellStyle name="Normal 2 4 5 2 4 5" xfId="9331" xr:uid="{D653B688-8F29-43E2-8E87-B9BEB04F2BFD}"/>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24540" xr:uid="{A869B052-6578-41E7-8426-7F036D089AA5}"/>
    <cellStyle name="Normal 2 4 5 2 5 2 2 3" xfId="16106" xr:uid="{819522AD-9B81-4448-AAD2-773FD3F1FAF3}"/>
    <cellStyle name="Normal 2 4 5 2 5 2 3" xfId="20323" xr:uid="{FF3EAA08-570E-4EFF-8B8D-DB86C107DEE0}"/>
    <cellStyle name="Normal 2 4 5 2 5 2 4" xfId="11889" xr:uid="{8EA6DA24-4C83-4E55-B508-6249D05A87FA}"/>
    <cellStyle name="Normal 2 4 5 2 5 3" xfId="5523" xr:uid="{00000000-0005-0000-0000-00007A100000}"/>
    <cellStyle name="Normal 2 4 5 2 5 3 2" xfId="22395" xr:uid="{FBCB9C37-D55C-41CC-B70D-7BB28192A77E}"/>
    <cellStyle name="Normal 2 4 5 2 5 3 3" xfId="13961" xr:uid="{B3D689C2-0EF9-4276-AFD8-A1435F7A887A}"/>
    <cellStyle name="Normal 2 4 5 2 5 4" xfId="18178" xr:uid="{6E9393BB-2538-413F-938C-27EDE09ECAC3}"/>
    <cellStyle name="Normal 2 4 5 2 5 5" xfId="9744" xr:uid="{E9C68BE1-E0C4-4ACE-A658-B0EFFFBC1034}"/>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24953" xr:uid="{BB0736C2-0368-41A6-AC30-2FB5677BBEBE}"/>
    <cellStyle name="Normal 2 4 5 2 6 2 2 3" xfId="16519" xr:uid="{2E0FD8E7-B550-43AE-B4D7-0A51A86EEF2A}"/>
    <cellStyle name="Normal 2 4 5 2 6 2 3" xfId="20736" xr:uid="{DF796EA5-0979-43BB-99B0-940488E2441D}"/>
    <cellStyle name="Normal 2 4 5 2 6 2 4" xfId="12302" xr:uid="{8F53F711-D942-4A71-9B43-EB76D50AECC5}"/>
    <cellStyle name="Normal 2 4 5 2 6 3" xfId="5936" xr:uid="{00000000-0005-0000-0000-00007E100000}"/>
    <cellStyle name="Normal 2 4 5 2 6 3 2" xfId="22808" xr:uid="{2EC74B63-52D2-4F65-9700-C0F5739C4A2C}"/>
    <cellStyle name="Normal 2 4 5 2 6 3 3" xfId="14374" xr:uid="{380DDC9D-D995-46BE-A9E9-0D9A0886FEFE}"/>
    <cellStyle name="Normal 2 4 5 2 6 4" xfId="18591" xr:uid="{1E821AB3-CF69-467E-9DF0-A9F46E7C23AB}"/>
    <cellStyle name="Normal 2 4 5 2 6 5" xfId="10157" xr:uid="{AF5223D8-82A8-47E2-9725-6C8F2322BFBC}"/>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25366" xr:uid="{A0B53DF4-CC6F-4E82-A98E-055738E9D52A}"/>
    <cellStyle name="Normal 2 4 5 2 7 2 2 3" xfId="16932" xr:uid="{CBC5A09B-E478-40C8-B426-D79E1F2356DD}"/>
    <cellStyle name="Normal 2 4 5 2 7 2 3" xfId="21149" xr:uid="{50CA39C2-F5EC-4B07-9676-18204EE65C65}"/>
    <cellStyle name="Normal 2 4 5 2 7 2 4" xfId="12715" xr:uid="{68EE6950-07D9-4085-BDE4-5E584279CA2C}"/>
    <cellStyle name="Normal 2 4 5 2 7 3" xfId="6349" xr:uid="{00000000-0005-0000-0000-000082100000}"/>
    <cellStyle name="Normal 2 4 5 2 7 3 2" xfId="23221" xr:uid="{A7A14E4E-9DBA-4B91-B69F-1ED1F3C2123B}"/>
    <cellStyle name="Normal 2 4 5 2 7 3 3" xfId="14787" xr:uid="{32CEB605-F39B-4718-BEFA-536ED88F451D}"/>
    <cellStyle name="Normal 2 4 5 2 7 4" xfId="19004" xr:uid="{37E7D2EE-4BFC-450C-B1CA-ACD06EBB5AE6}"/>
    <cellStyle name="Normal 2 4 5 2 7 5" xfId="10570" xr:uid="{3741C648-C00B-498A-A5AA-18129C4972E8}"/>
    <cellStyle name="Normal 2 4 5 2 8" xfId="2478" xr:uid="{00000000-0005-0000-0000-000083100000}"/>
    <cellStyle name="Normal 2 4 5 2 8 2" xfId="6762" xr:uid="{00000000-0005-0000-0000-000084100000}"/>
    <cellStyle name="Normal 2 4 5 2 8 2 2" xfId="23634" xr:uid="{6E91DCDE-4127-4488-9777-E7DFAED5157D}"/>
    <cellStyle name="Normal 2 4 5 2 8 2 3" xfId="15200" xr:uid="{73E468F7-758B-4FEB-A93A-B2BE52E47AA0}"/>
    <cellStyle name="Normal 2 4 5 2 8 3" xfId="19417" xr:uid="{489535B6-15BE-4A82-84AF-1CA9EB131B7B}"/>
    <cellStyle name="Normal 2 4 5 2 8 4" xfId="10983" xr:uid="{E4C31272-66D7-4195-9E28-C5B1D16CF032}"/>
    <cellStyle name="Normal 2 4 5 2 9" xfId="4696" xr:uid="{00000000-0005-0000-0000-000085100000}"/>
    <cellStyle name="Normal 2 4 5 2 9 2" xfId="21568" xr:uid="{7839BC8C-5C46-4F5A-BB9E-A086DAE522BE}"/>
    <cellStyle name="Normal 2 4 5 2 9 3" xfId="13134" xr:uid="{EC43351A-A4CA-4F04-85DE-97BFB09A5D9C}"/>
    <cellStyle name="Normal 2 4 5 3" xfId="308" xr:uid="{00000000-0005-0000-0000-000086100000}"/>
    <cellStyle name="Normal 2 4 5 3 10" xfId="8921" xr:uid="{AB59D518-F9C0-43B7-A07C-8645AC8DBB9A}"/>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24132" xr:uid="{7A0EE13F-814B-4855-9358-525B2277ACDD}"/>
    <cellStyle name="Normal 2 4 5 3 2 2 2 2 3" xfId="15698" xr:uid="{385B6834-B292-4EB8-92F6-E43590BC8F90}"/>
    <cellStyle name="Normal 2 4 5 3 2 2 2 3" xfId="19915" xr:uid="{CC011236-53B7-440D-A37D-1419CE78072C}"/>
    <cellStyle name="Normal 2 4 5 3 2 2 2 4" xfId="11481" xr:uid="{7F16F9B5-9675-4B47-93BF-B636D4CCB037}"/>
    <cellStyle name="Normal 2 4 5 3 2 2 3" xfId="5115" xr:uid="{00000000-0005-0000-0000-00008B100000}"/>
    <cellStyle name="Normal 2 4 5 3 2 2 3 2" xfId="21987" xr:uid="{79DA3FCE-6691-4447-8420-E3206D935B6E}"/>
    <cellStyle name="Normal 2 4 5 3 2 2 3 3" xfId="13553" xr:uid="{1F61BDC2-F153-4285-8A51-6694018AA223}"/>
    <cellStyle name="Normal 2 4 5 3 2 2 4" xfId="17770" xr:uid="{0D5C36E0-9F30-400D-AC04-4F899129569C}"/>
    <cellStyle name="Normal 2 4 5 3 2 2 5" xfId="9336" xr:uid="{5F54D76E-CF46-4715-A467-FE51D45AD748}"/>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24545" xr:uid="{C858537F-8840-4A1A-BCA0-2EDA89152A5E}"/>
    <cellStyle name="Normal 2 4 5 3 2 3 2 2 3" xfId="16111" xr:uid="{48604F6A-A277-43EB-9560-B38259E45FDC}"/>
    <cellStyle name="Normal 2 4 5 3 2 3 2 3" xfId="20328" xr:uid="{90636B2B-AF70-4265-8D68-8F3F65E3D799}"/>
    <cellStyle name="Normal 2 4 5 3 2 3 2 4" xfId="11894" xr:uid="{3082A620-2AE0-44E2-84DD-CBF7CD2BB76D}"/>
    <cellStyle name="Normal 2 4 5 3 2 3 3" xfId="5528" xr:uid="{00000000-0005-0000-0000-00008F100000}"/>
    <cellStyle name="Normal 2 4 5 3 2 3 3 2" xfId="22400" xr:uid="{6205E022-57A5-4E39-B70D-50B0E67BDA5D}"/>
    <cellStyle name="Normal 2 4 5 3 2 3 3 3" xfId="13966" xr:uid="{E584D89C-4D4B-4245-B284-CD2B4CB28144}"/>
    <cellStyle name="Normal 2 4 5 3 2 3 4" xfId="18183" xr:uid="{094BA0C4-B829-4D2F-A97E-E5306FE6B0BC}"/>
    <cellStyle name="Normal 2 4 5 3 2 3 5" xfId="9749" xr:uid="{AF496081-6D5C-46DB-A808-6A781209E802}"/>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24958" xr:uid="{6D5D3426-A815-4743-B064-D0FABB2DBF09}"/>
    <cellStyle name="Normal 2 4 5 3 2 4 2 2 3" xfId="16524" xr:uid="{5EB4D3E6-24C9-4855-8689-023D5E4806AE}"/>
    <cellStyle name="Normal 2 4 5 3 2 4 2 3" xfId="20741" xr:uid="{90DF3D93-B710-4047-A96C-E90C3A1CCD35}"/>
    <cellStyle name="Normal 2 4 5 3 2 4 2 4" xfId="12307" xr:uid="{F428B584-01A3-4762-8F85-C71F4D69FA9E}"/>
    <cellStyle name="Normal 2 4 5 3 2 4 3" xfId="5941" xr:uid="{00000000-0005-0000-0000-000093100000}"/>
    <cellStyle name="Normal 2 4 5 3 2 4 3 2" xfId="22813" xr:uid="{4777F6A8-5956-4AAA-B828-9DA11E8EBA8E}"/>
    <cellStyle name="Normal 2 4 5 3 2 4 3 3" xfId="14379" xr:uid="{52DDAD99-6CFD-4A59-A9AB-2218CB1CED0E}"/>
    <cellStyle name="Normal 2 4 5 3 2 4 4" xfId="18596" xr:uid="{3034DD22-8FF4-4A2B-8095-AFDBD2F79098}"/>
    <cellStyle name="Normal 2 4 5 3 2 4 5" xfId="10162" xr:uid="{CBDF3BCA-927F-41C7-91A2-CE31B9D1D0D4}"/>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25371" xr:uid="{AE75B021-4DC3-4374-85E9-579E6AE79C88}"/>
    <cellStyle name="Normal 2 4 5 3 2 5 2 2 3" xfId="16937" xr:uid="{9C566C5D-0D8B-4781-A8AF-3DD438691A19}"/>
    <cellStyle name="Normal 2 4 5 3 2 5 2 3" xfId="21154" xr:uid="{BA4EA186-D74F-4572-B8BE-67E08D0512C9}"/>
    <cellStyle name="Normal 2 4 5 3 2 5 2 4" xfId="12720" xr:uid="{C1F1B179-A044-45A0-BE20-376D85501B80}"/>
    <cellStyle name="Normal 2 4 5 3 2 5 3" xfId="6354" xr:uid="{00000000-0005-0000-0000-000097100000}"/>
    <cellStyle name="Normal 2 4 5 3 2 5 3 2" xfId="23226" xr:uid="{9253018C-A772-4420-988E-EE5D666A899A}"/>
    <cellStyle name="Normal 2 4 5 3 2 5 3 3" xfId="14792" xr:uid="{3039A73E-98E6-488B-9024-C42193376540}"/>
    <cellStyle name="Normal 2 4 5 3 2 5 4" xfId="19009" xr:uid="{7B83FC64-0C8A-4B64-A2B9-4EDBFE6CE2FA}"/>
    <cellStyle name="Normal 2 4 5 3 2 5 5" xfId="10575" xr:uid="{B6CAABD6-AA78-4983-8B13-4E38B3265987}"/>
    <cellStyle name="Normal 2 4 5 3 2 6" xfId="2483" xr:uid="{00000000-0005-0000-0000-000098100000}"/>
    <cellStyle name="Normal 2 4 5 3 2 6 2" xfId="6767" xr:uid="{00000000-0005-0000-0000-000099100000}"/>
    <cellStyle name="Normal 2 4 5 3 2 6 2 2" xfId="23639" xr:uid="{CE63940D-35F8-43EA-8F1D-DD9F4C68A986}"/>
    <cellStyle name="Normal 2 4 5 3 2 6 2 3" xfId="15205" xr:uid="{1F434282-294A-4689-BC4B-F91B8EE99329}"/>
    <cellStyle name="Normal 2 4 5 3 2 6 3" xfId="19422" xr:uid="{4FF98FA9-576E-4C73-A41B-632135FAC425}"/>
    <cellStyle name="Normal 2 4 5 3 2 6 4" xfId="10988" xr:uid="{FDD607C5-4022-4E5D-B150-75A7A867551C}"/>
    <cellStyle name="Normal 2 4 5 3 2 7" xfId="4701" xr:uid="{00000000-0005-0000-0000-00009A100000}"/>
    <cellStyle name="Normal 2 4 5 3 2 7 2" xfId="21573" xr:uid="{699AF711-BA44-4738-94AE-6C82A8D578FC}"/>
    <cellStyle name="Normal 2 4 5 3 2 7 3" xfId="13139" xr:uid="{E21CCDDD-87D9-4193-A685-39FB90F4F119}"/>
    <cellStyle name="Normal 2 4 5 3 2 8" xfId="17356" xr:uid="{8CEA3BD7-B2B6-4870-9B81-BD9E0853317B}"/>
    <cellStyle name="Normal 2 4 5 3 2 9" xfId="8922" xr:uid="{DB562D9C-0CFB-4606-B604-7CF73C05F56B}"/>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24131" xr:uid="{7B8A8319-7E22-4854-8F8E-C813EEF4FFA5}"/>
    <cellStyle name="Normal 2 4 5 3 3 2 2 3" xfId="15697" xr:uid="{1E224406-BED1-461E-A4DA-B372C5CB451F}"/>
    <cellStyle name="Normal 2 4 5 3 3 2 3" xfId="19914" xr:uid="{4EFCEE37-4F2B-47BF-91FA-C8B51971763A}"/>
    <cellStyle name="Normal 2 4 5 3 3 2 4" xfId="11480" xr:uid="{7EC3CA0D-1159-4DB1-A9AE-F331997BD4BF}"/>
    <cellStyle name="Normal 2 4 5 3 3 3" xfId="5114" xr:uid="{00000000-0005-0000-0000-00009E100000}"/>
    <cellStyle name="Normal 2 4 5 3 3 3 2" xfId="21986" xr:uid="{225423BB-ED66-4122-AFF1-423B5FFBDEC3}"/>
    <cellStyle name="Normal 2 4 5 3 3 3 3" xfId="13552" xr:uid="{60585E83-EFF6-48DE-B583-FB889E5907F2}"/>
    <cellStyle name="Normal 2 4 5 3 3 4" xfId="17769" xr:uid="{407B0EE6-4526-4338-942C-723E42BD8280}"/>
    <cellStyle name="Normal 2 4 5 3 3 5" xfId="9335" xr:uid="{FA82BD8E-C97F-4A32-95BC-6BF38A5AFCE2}"/>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24544" xr:uid="{2E8AAEAB-8962-44A1-88F7-873B1BD817FC}"/>
    <cellStyle name="Normal 2 4 5 3 4 2 2 3" xfId="16110" xr:uid="{2B90734E-9C51-442E-97FF-BC2ED5014B94}"/>
    <cellStyle name="Normal 2 4 5 3 4 2 3" xfId="20327" xr:uid="{544A816F-CA8E-457B-BC63-B41A02D86AF3}"/>
    <cellStyle name="Normal 2 4 5 3 4 2 4" xfId="11893" xr:uid="{C241F065-342F-46FE-BEFA-DFDC7B12A983}"/>
    <cellStyle name="Normal 2 4 5 3 4 3" xfId="5527" xr:uid="{00000000-0005-0000-0000-0000A2100000}"/>
    <cellStyle name="Normal 2 4 5 3 4 3 2" xfId="22399" xr:uid="{6DD65576-3458-4D51-A6FE-8089DE3CB7A9}"/>
    <cellStyle name="Normal 2 4 5 3 4 3 3" xfId="13965" xr:uid="{93B2C7A7-2E98-4A8C-A11B-B8C7CE5B69D7}"/>
    <cellStyle name="Normal 2 4 5 3 4 4" xfId="18182" xr:uid="{A9CA29D5-84FE-4E68-85ED-200E832EA3C8}"/>
    <cellStyle name="Normal 2 4 5 3 4 5" xfId="9748" xr:uid="{74EE5F26-1EB5-40A1-A347-7088CFCFB12A}"/>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24957" xr:uid="{1E3CCD9E-0E90-4738-8BB4-72A8E99CE237}"/>
    <cellStyle name="Normal 2 4 5 3 5 2 2 3" xfId="16523" xr:uid="{53DCF868-FEFD-498F-9BF6-EA57D23B9978}"/>
    <cellStyle name="Normal 2 4 5 3 5 2 3" xfId="20740" xr:uid="{4FCDFF4B-1696-4F5E-8778-1176942448EA}"/>
    <cellStyle name="Normal 2 4 5 3 5 2 4" xfId="12306" xr:uid="{AF183FC2-CF33-4685-86D0-31381074E66A}"/>
    <cellStyle name="Normal 2 4 5 3 5 3" xfId="5940" xr:uid="{00000000-0005-0000-0000-0000A6100000}"/>
    <cellStyle name="Normal 2 4 5 3 5 3 2" xfId="22812" xr:uid="{86B2CA31-FAFA-4117-B191-98BB22BECAA9}"/>
    <cellStyle name="Normal 2 4 5 3 5 3 3" xfId="14378" xr:uid="{6267C851-7033-4221-A98C-ECA0D56E3F18}"/>
    <cellStyle name="Normal 2 4 5 3 5 4" xfId="18595" xr:uid="{64293809-6983-41E6-8B0F-4BB3AFDAA567}"/>
    <cellStyle name="Normal 2 4 5 3 5 5" xfId="10161" xr:uid="{C0BD4134-8793-42DD-BBAE-9909350E2C46}"/>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25370" xr:uid="{047CBF3C-4EE6-4AE3-B481-A0BA80412C15}"/>
    <cellStyle name="Normal 2 4 5 3 6 2 2 3" xfId="16936" xr:uid="{A1885B38-9CA3-4565-9232-628BB143774C}"/>
    <cellStyle name="Normal 2 4 5 3 6 2 3" xfId="21153" xr:uid="{A478A84D-A568-45F1-AE01-A0DD3C541EC7}"/>
    <cellStyle name="Normal 2 4 5 3 6 2 4" xfId="12719" xr:uid="{F1F1D449-AD5E-4B6D-B53D-D9CF4A98BF24}"/>
    <cellStyle name="Normal 2 4 5 3 6 3" xfId="6353" xr:uid="{00000000-0005-0000-0000-0000AA100000}"/>
    <cellStyle name="Normal 2 4 5 3 6 3 2" xfId="23225" xr:uid="{38D74BD7-2581-496C-829F-0894A9A93D52}"/>
    <cellStyle name="Normal 2 4 5 3 6 3 3" xfId="14791" xr:uid="{46F443AD-426E-4ED0-B4D8-56FE52F2F1F4}"/>
    <cellStyle name="Normal 2 4 5 3 6 4" xfId="19008" xr:uid="{EE4E2A4B-01FA-4BC5-AEBA-B940298DD6AE}"/>
    <cellStyle name="Normal 2 4 5 3 6 5" xfId="10574" xr:uid="{248D8AC3-5176-40C2-BC23-FF676FB834D3}"/>
    <cellStyle name="Normal 2 4 5 3 7" xfId="2482" xr:uid="{00000000-0005-0000-0000-0000AB100000}"/>
    <cellStyle name="Normal 2 4 5 3 7 2" xfId="6766" xr:uid="{00000000-0005-0000-0000-0000AC100000}"/>
    <cellStyle name="Normal 2 4 5 3 7 2 2" xfId="23638" xr:uid="{10AE600F-DCB6-4CAD-8B86-23739153F716}"/>
    <cellStyle name="Normal 2 4 5 3 7 2 3" xfId="15204" xr:uid="{9ED0ECCB-01F0-4CFF-932F-C2D90F809863}"/>
    <cellStyle name="Normal 2 4 5 3 7 3" xfId="19421" xr:uid="{D761D01C-3A2C-43FA-ADAC-9AD387859AE5}"/>
    <cellStyle name="Normal 2 4 5 3 7 4" xfId="10987" xr:uid="{83BDF974-0747-440D-BBAE-3D6E7A0E2422}"/>
    <cellStyle name="Normal 2 4 5 3 8" xfId="4700" xr:uid="{00000000-0005-0000-0000-0000AD100000}"/>
    <cellStyle name="Normal 2 4 5 3 8 2" xfId="21572" xr:uid="{39EBCC6D-7C54-4622-B2B7-55CC8706C03A}"/>
    <cellStyle name="Normal 2 4 5 3 8 3" xfId="13138" xr:uid="{9EC40E0D-7286-4C46-9BC7-D9EEF7B667FB}"/>
    <cellStyle name="Normal 2 4 5 3 9" xfId="17355" xr:uid="{E1C6DBCB-3530-4509-A4C5-A77E25AB18E9}"/>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24133" xr:uid="{F3B50455-4BBD-43DB-8D4E-FDA941AD2378}"/>
    <cellStyle name="Normal 2 4 5 4 2 2 2 3" xfId="15699" xr:uid="{F51831AA-6A34-4ABE-A5E5-A94CBFC52F35}"/>
    <cellStyle name="Normal 2 4 5 4 2 2 3" xfId="19916" xr:uid="{3B7483AA-6F8D-4DEC-86C0-C1D30189AB5D}"/>
    <cellStyle name="Normal 2 4 5 4 2 2 4" xfId="11482" xr:uid="{3E313D4C-B03D-4534-A3C2-0121B5CEC091}"/>
    <cellStyle name="Normal 2 4 5 4 2 3" xfId="5116" xr:uid="{00000000-0005-0000-0000-0000B2100000}"/>
    <cellStyle name="Normal 2 4 5 4 2 3 2" xfId="21988" xr:uid="{D2808BB3-A5BA-4771-8C68-E24BA67FFD88}"/>
    <cellStyle name="Normal 2 4 5 4 2 3 3" xfId="13554" xr:uid="{D1F47F3F-E9BF-48A8-8F39-1B2A7D495E38}"/>
    <cellStyle name="Normal 2 4 5 4 2 4" xfId="17771" xr:uid="{F21EFBB7-E217-45CD-81F4-5098BA412A91}"/>
    <cellStyle name="Normal 2 4 5 4 2 5" xfId="9337" xr:uid="{BABCD916-7E0D-4E2C-B428-5A776536E143}"/>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24546" xr:uid="{40241C41-10F6-4C59-A4AD-FD940D411B56}"/>
    <cellStyle name="Normal 2 4 5 4 3 2 2 3" xfId="16112" xr:uid="{5B1D0337-5774-4530-863A-81D3C29B2BD4}"/>
    <cellStyle name="Normal 2 4 5 4 3 2 3" xfId="20329" xr:uid="{982FB3F0-4AA0-4097-957C-E363527AFFB7}"/>
    <cellStyle name="Normal 2 4 5 4 3 2 4" xfId="11895" xr:uid="{D93CC2B7-16C9-40C9-AFAF-F6E1638FC5CE}"/>
    <cellStyle name="Normal 2 4 5 4 3 3" xfId="5529" xr:uid="{00000000-0005-0000-0000-0000B6100000}"/>
    <cellStyle name="Normal 2 4 5 4 3 3 2" xfId="22401" xr:uid="{660B07D6-9967-4F03-9894-10261B14809C}"/>
    <cellStyle name="Normal 2 4 5 4 3 3 3" xfId="13967" xr:uid="{2D88CBCD-568B-44FA-B9F4-C3F0FB6ED7DA}"/>
    <cellStyle name="Normal 2 4 5 4 3 4" xfId="18184" xr:uid="{891A047A-0262-4BB7-822B-38C6C9D4C8C7}"/>
    <cellStyle name="Normal 2 4 5 4 3 5" xfId="9750" xr:uid="{A135E50E-53BE-4DC0-B344-484CA5DF59ED}"/>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24959" xr:uid="{D425D1A6-B15F-4CFC-BAAD-BADFEC2D8DF1}"/>
    <cellStyle name="Normal 2 4 5 4 4 2 2 3" xfId="16525" xr:uid="{96FD1516-7A1E-46C1-BC8E-9AC98BB7FBD9}"/>
    <cellStyle name="Normal 2 4 5 4 4 2 3" xfId="20742" xr:uid="{026215A0-05C0-48F7-8D3C-6C2B2F0DC9E4}"/>
    <cellStyle name="Normal 2 4 5 4 4 2 4" xfId="12308" xr:uid="{48F68E3E-C89D-4988-AD93-2A2B0F25F8F2}"/>
    <cellStyle name="Normal 2 4 5 4 4 3" xfId="5942" xr:uid="{00000000-0005-0000-0000-0000BA100000}"/>
    <cellStyle name="Normal 2 4 5 4 4 3 2" xfId="22814" xr:uid="{A72EED0D-7D43-42BB-BB7E-19CE7ECFD97A}"/>
    <cellStyle name="Normal 2 4 5 4 4 3 3" xfId="14380" xr:uid="{2325CE5E-6DAD-43C5-9BF6-29EB38491CBE}"/>
    <cellStyle name="Normal 2 4 5 4 4 4" xfId="18597" xr:uid="{254DCAFA-19C7-4EB8-B4E0-505A6DF5E645}"/>
    <cellStyle name="Normal 2 4 5 4 4 5" xfId="10163" xr:uid="{0779C935-B578-4418-8576-AD19D9EC8AE9}"/>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25372" xr:uid="{F6BF0D8E-518F-4B09-B19B-C53CA911D63E}"/>
    <cellStyle name="Normal 2 4 5 4 5 2 2 3" xfId="16938" xr:uid="{B3D4A99C-C2FC-42A1-B6DF-E64ED4429009}"/>
    <cellStyle name="Normal 2 4 5 4 5 2 3" xfId="21155" xr:uid="{BA892217-920A-4946-9E46-21F0CA9B0645}"/>
    <cellStyle name="Normal 2 4 5 4 5 2 4" xfId="12721" xr:uid="{938F0FEE-3C74-4EED-9BD1-A68AFEA4FC85}"/>
    <cellStyle name="Normal 2 4 5 4 5 3" xfId="6355" xr:uid="{00000000-0005-0000-0000-0000BE100000}"/>
    <cellStyle name="Normal 2 4 5 4 5 3 2" xfId="23227" xr:uid="{54B5BDF9-4AE9-4B84-A404-3074F9F45635}"/>
    <cellStyle name="Normal 2 4 5 4 5 3 3" xfId="14793" xr:uid="{537FEA9E-6D26-49B6-BFBB-F87B386E8EDA}"/>
    <cellStyle name="Normal 2 4 5 4 5 4" xfId="19010" xr:uid="{7256136C-01C2-4812-9130-E86C6F3B4C4B}"/>
    <cellStyle name="Normal 2 4 5 4 5 5" xfId="10576" xr:uid="{C48728CC-5CA0-47A0-9D7D-DFB7A0B76E57}"/>
    <cellStyle name="Normal 2 4 5 4 6" xfId="2484" xr:uid="{00000000-0005-0000-0000-0000BF100000}"/>
    <cellStyle name="Normal 2 4 5 4 6 2" xfId="6768" xr:uid="{00000000-0005-0000-0000-0000C0100000}"/>
    <cellStyle name="Normal 2 4 5 4 6 2 2" xfId="23640" xr:uid="{1E1BAB13-29E9-4021-8C7D-42E04EBE3F58}"/>
    <cellStyle name="Normal 2 4 5 4 6 2 3" xfId="15206" xr:uid="{92475A86-6176-4761-BC8D-0FC2623F0B78}"/>
    <cellStyle name="Normal 2 4 5 4 6 3" xfId="19423" xr:uid="{E787E17A-E9C3-496E-830D-459DEE82E506}"/>
    <cellStyle name="Normal 2 4 5 4 6 4" xfId="10989" xr:uid="{E330ACDE-0E7C-4F0A-824A-9D9C1483B60B}"/>
    <cellStyle name="Normal 2 4 5 4 7" xfId="4702" xr:uid="{00000000-0005-0000-0000-0000C1100000}"/>
    <cellStyle name="Normal 2 4 5 4 7 2" xfId="21574" xr:uid="{EBC2E720-EC45-4655-932A-686B2263D577}"/>
    <cellStyle name="Normal 2 4 5 4 7 3" xfId="13140" xr:uid="{BDB65554-8DB2-42FB-8E1A-375DE10E4635}"/>
    <cellStyle name="Normal 2 4 5 4 8" xfId="17357" xr:uid="{B87F6716-229B-4201-83E5-AFFE2BA78CA2}"/>
    <cellStyle name="Normal 2 4 5 4 9" xfId="8923" xr:uid="{21E97D68-08C0-4F9E-A829-2020348938C8}"/>
    <cellStyle name="Normal 2 4 5 5" xfId="792" xr:uid="{00000000-0005-0000-0000-0000C2100000}"/>
    <cellStyle name="Normal 2 4 5 5 2" xfId="3031" xr:uid="{00000000-0005-0000-0000-0000C3100000}"/>
    <cellStyle name="Normal 2 4 5 5 2 2" xfId="7254" xr:uid="{00000000-0005-0000-0000-0000C4100000}"/>
    <cellStyle name="Normal 2 4 5 5 2 2 2" xfId="24126" xr:uid="{FA4F37EC-F7D3-4F7E-81AD-8E94CDE2D78F}"/>
    <cellStyle name="Normal 2 4 5 5 2 2 3" xfId="15692" xr:uid="{7A9B8B1A-707D-452A-8DBF-9CE7A51AECEE}"/>
    <cellStyle name="Normal 2 4 5 5 2 3" xfId="19909" xr:uid="{057C06A5-86CC-4192-A246-E95EBC5DFDB7}"/>
    <cellStyle name="Normal 2 4 5 5 2 4" xfId="11475" xr:uid="{D1BF3ECE-869D-44AB-86A5-EAA80CD1E8D7}"/>
    <cellStyle name="Normal 2 4 5 5 3" xfId="5109" xr:uid="{00000000-0005-0000-0000-0000C5100000}"/>
    <cellStyle name="Normal 2 4 5 5 3 2" xfId="21981" xr:uid="{5A7B3383-92E9-40A1-AE65-3161A55ABDA9}"/>
    <cellStyle name="Normal 2 4 5 5 3 3" xfId="13547" xr:uid="{B46CDEA8-CDC2-4DAD-85F9-1EF581CE704F}"/>
    <cellStyle name="Normal 2 4 5 5 4" xfId="17764" xr:uid="{C053A5B6-892E-4865-83B2-9A7A6E3F2C8B}"/>
    <cellStyle name="Normal 2 4 5 5 5" xfId="9330" xr:uid="{DC3C2121-DD39-4B9F-B1ED-862696A1FF00}"/>
    <cellStyle name="Normal 2 4 5 6" xfId="1214" xr:uid="{00000000-0005-0000-0000-0000C6100000}"/>
    <cellStyle name="Normal 2 4 5 6 2" xfId="3444" xr:uid="{00000000-0005-0000-0000-0000C7100000}"/>
    <cellStyle name="Normal 2 4 5 6 2 2" xfId="7667" xr:uid="{00000000-0005-0000-0000-0000C8100000}"/>
    <cellStyle name="Normal 2 4 5 6 2 2 2" xfId="24539" xr:uid="{99DF1540-F414-4D07-AADF-11C44CE63E47}"/>
    <cellStyle name="Normal 2 4 5 6 2 2 3" xfId="16105" xr:uid="{DB44A3EC-7628-4B4C-A404-5EFB6E2B685B}"/>
    <cellStyle name="Normal 2 4 5 6 2 3" xfId="20322" xr:uid="{8DD9C5D7-9EDB-40FF-8E6C-882E6A9FEAFC}"/>
    <cellStyle name="Normal 2 4 5 6 2 4" xfId="11888" xr:uid="{874709B7-81DA-41B9-8998-85150FB968F4}"/>
    <cellStyle name="Normal 2 4 5 6 3" xfId="5522" xr:uid="{00000000-0005-0000-0000-0000C9100000}"/>
    <cellStyle name="Normal 2 4 5 6 3 2" xfId="22394" xr:uid="{2913E4D0-65BC-4EF2-B2C0-0460EBC9E38D}"/>
    <cellStyle name="Normal 2 4 5 6 3 3" xfId="13960" xr:uid="{841E9CF2-9C50-41DC-99ED-EE6D73AAFB25}"/>
    <cellStyle name="Normal 2 4 5 6 4" xfId="18177" xr:uid="{ACE32C92-0E25-47B6-BF6E-A951BB02D683}"/>
    <cellStyle name="Normal 2 4 5 6 5" xfId="9743" xr:uid="{376FEACA-C06E-4997-9D2C-605CFD264739}"/>
    <cellStyle name="Normal 2 4 5 7" xfId="1627" xr:uid="{00000000-0005-0000-0000-0000CA100000}"/>
    <cellStyle name="Normal 2 4 5 7 2" xfId="3857" xr:uid="{00000000-0005-0000-0000-0000CB100000}"/>
    <cellStyle name="Normal 2 4 5 7 2 2" xfId="8080" xr:uid="{00000000-0005-0000-0000-0000CC100000}"/>
    <cellStyle name="Normal 2 4 5 7 2 2 2" xfId="24952" xr:uid="{15679FCB-9CA5-4235-BD1B-0ADBBAD284DA}"/>
    <cellStyle name="Normal 2 4 5 7 2 2 3" xfId="16518" xr:uid="{5800883A-87BD-46D4-9F05-08BE5012B786}"/>
    <cellStyle name="Normal 2 4 5 7 2 3" xfId="20735" xr:uid="{5D73B321-C1CB-4CCD-8D47-4357190AC51F}"/>
    <cellStyle name="Normal 2 4 5 7 2 4" xfId="12301" xr:uid="{B1601198-4ADD-4795-A0CF-343C1EBA36EC}"/>
    <cellStyle name="Normal 2 4 5 7 3" xfId="5935" xr:uid="{00000000-0005-0000-0000-0000CD100000}"/>
    <cellStyle name="Normal 2 4 5 7 3 2" xfId="22807" xr:uid="{C2357CF4-54CB-4862-B4B7-5C498EDBF78D}"/>
    <cellStyle name="Normal 2 4 5 7 3 3" xfId="14373" xr:uid="{5192FE9E-7592-4F47-8459-55DA59350916}"/>
    <cellStyle name="Normal 2 4 5 7 4" xfId="18590" xr:uid="{5B07F7B5-0CC1-42BA-AA66-6B6D08C07FDA}"/>
    <cellStyle name="Normal 2 4 5 7 5" xfId="10156" xr:uid="{F0524C32-7233-497C-A943-F8DA9448D6BF}"/>
    <cellStyle name="Normal 2 4 5 8" xfId="2041" xr:uid="{00000000-0005-0000-0000-0000CE100000}"/>
    <cellStyle name="Normal 2 4 5 8 2" xfId="4270" xr:uid="{00000000-0005-0000-0000-0000CF100000}"/>
    <cellStyle name="Normal 2 4 5 8 2 2" xfId="8493" xr:uid="{00000000-0005-0000-0000-0000D0100000}"/>
    <cellStyle name="Normal 2 4 5 8 2 2 2" xfId="25365" xr:uid="{AF3EE68E-707B-4302-9950-F1A834A6D78F}"/>
    <cellStyle name="Normal 2 4 5 8 2 2 3" xfId="16931" xr:uid="{FEFA128D-19B1-4D75-8158-0CC1AE2841C0}"/>
    <cellStyle name="Normal 2 4 5 8 2 3" xfId="21148" xr:uid="{E3EC4E7C-2499-41AB-9878-14F47F493CE7}"/>
    <cellStyle name="Normal 2 4 5 8 2 4" xfId="12714" xr:uid="{3C3C717B-9640-4AE0-B512-11A2F26583E7}"/>
    <cellStyle name="Normal 2 4 5 8 3" xfId="6348" xr:uid="{00000000-0005-0000-0000-0000D1100000}"/>
    <cellStyle name="Normal 2 4 5 8 3 2" xfId="23220" xr:uid="{731041D1-1293-4B07-A70F-A124B9A05EDC}"/>
    <cellStyle name="Normal 2 4 5 8 3 3" xfId="14786" xr:uid="{5DB8CE6C-71A7-45C3-8906-B4B3AC1C8AB7}"/>
    <cellStyle name="Normal 2 4 5 8 4" xfId="19003" xr:uid="{8E4A8527-47B9-457B-B378-15DE454FEFF1}"/>
    <cellStyle name="Normal 2 4 5 8 5" xfId="10569" xr:uid="{84034697-982C-4CA2-8A42-D5804959B586}"/>
    <cellStyle name="Normal 2 4 5 9" xfId="2477" xr:uid="{00000000-0005-0000-0000-0000D2100000}"/>
    <cellStyle name="Normal 2 4 5 9 2" xfId="6761" xr:uid="{00000000-0005-0000-0000-0000D3100000}"/>
    <cellStyle name="Normal 2 4 5 9 2 2" xfId="23633" xr:uid="{2FB36256-29FD-47DA-A219-F1DEDD257117}"/>
    <cellStyle name="Normal 2 4 5 9 2 3" xfId="15199" xr:uid="{A670195D-260B-46D9-9AD8-30B8CBAB380C}"/>
    <cellStyle name="Normal 2 4 5 9 3" xfId="19416" xr:uid="{DF9BA175-26F1-4CFC-860F-0B235700E1E2}"/>
    <cellStyle name="Normal 2 4 5 9 4" xfId="10982" xr:uid="{2FD768FF-8800-4936-8EF0-EF1AE22F138A}"/>
    <cellStyle name="Normal 2 4 6" xfId="311" xr:uid="{00000000-0005-0000-0000-0000D4100000}"/>
    <cellStyle name="Normal 2 4 7" xfId="312" xr:uid="{00000000-0005-0000-0000-0000D5100000}"/>
    <cellStyle name="Normal 2 4 7 10" xfId="8924" xr:uid="{581DF767-03BC-4288-A233-9E7A413A15A7}"/>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24135" xr:uid="{42C27E92-CA6A-42C3-AD89-9722207D5CC5}"/>
    <cellStyle name="Normal 2 4 7 2 2 2 2 3" xfId="15701" xr:uid="{440DCA2B-408F-4861-BEEB-82BEA31773DC}"/>
    <cellStyle name="Normal 2 4 7 2 2 2 3" xfId="19918" xr:uid="{F9FE91F1-B47A-4F75-996F-55A52CE4F78C}"/>
    <cellStyle name="Normal 2 4 7 2 2 2 4" xfId="11484" xr:uid="{AC451442-E04D-428E-BA30-10EF9F91A390}"/>
    <cellStyle name="Normal 2 4 7 2 2 3" xfId="5118" xr:uid="{00000000-0005-0000-0000-0000DA100000}"/>
    <cellStyle name="Normal 2 4 7 2 2 3 2" xfId="21990" xr:uid="{8AD7F895-6578-434C-B0DE-F61371CBE014}"/>
    <cellStyle name="Normal 2 4 7 2 2 3 3" xfId="13556" xr:uid="{3339CA38-B6DD-4DF4-BCAE-844EF30A7C5A}"/>
    <cellStyle name="Normal 2 4 7 2 2 4" xfId="17773" xr:uid="{2887A7FC-BE59-423F-9D21-1FAEB9E043E3}"/>
    <cellStyle name="Normal 2 4 7 2 2 5" xfId="9339" xr:uid="{93DAE68D-BC55-4707-85D8-6044E4D9A0A5}"/>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24548" xr:uid="{95205C0E-BB0D-476D-928B-FC538E9FFB85}"/>
    <cellStyle name="Normal 2 4 7 2 3 2 2 3" xfId="16114" xr:uid="{BCC6E6DA-5C6D-476F-A3B8-C34593B5ED7A}"/>
    <cellStyle name="Normal 2 4 7 2 3 2 3" xfId="20331" xr:uid="{08A71D74-885F-46C2-92DD-B1C14E5DB982}"/>
    <cellStyle name="Normal 2 4 7 2 3 2 4" xfId="11897" xr:uid="{E7FF7B6F-6B3D-454C-986E-2F09C1FB6527}"/>
    <cellStyle name="Normal 2 4 7 2 3 3" xfId="5531" xr:uid="{00000000-0005-0000-0000-0000DE100000}"/>
    <cellStyle name="Normal 2 4 7 2 3 3 2" xfId="22403" xr:uid="{0E26650C-EE3D-4437-BC94-0A4F96CAE93D}"/>
    <cellStyle name="Normal 2 4 7 2 3 3 3" xfId="13969" xr:uid="{5CC69900-E9E9-4CBE-8100-44F3403B50A9}"/>
    <cellStyle name="Normal 2 4 7 2 3 4" xfId="18186" xr:uid="{A2D848A2-8E71-4F9E-A985-FE3B71AAC006}"/>
    <cellStyle name="Normal 2 4 7 2 3 5" xfId="9752" xr:uid="{55C254D7-3F34-4460-B863-C041A2966C9B}"/>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24961" xr:uid="{9BCD8CE7-293F-4DF0-89BB-3E6389B3FCAE}"/>
    <cellStyle name="Normal 2 4 7 2 4 2 2 3" xfId="16527" xr:uid="{D5304A1F-4BC2-48EA-98BD-AEC1F5946978}"/>
    <cellStyle name="Normal 2 4 7 2 4 2 3" xfId="20744" xr:uid="{42F1E762-9AE6-4F36-913A-3D7749E0242F}"/>
    <cellStyle name="Normal 2 4 7 2 4 2 4" xfId="12310" xr:uid="{0A262D05-EB8E-4211-A2AB-C63178D07301}"/>
    <cellStyle name="Normal 2 4 7 2 4 3" xfId="5944" xr:uid="{00000000-0005-0000-0000-0000E2100000}"/>
    <cellStyle name="Normal 2 4 7 2 4 3 2" xfId="22816" xr:uid="{CF3BB94D-BCBA-40D8-B737-3192F4443552}"/>
    <cellStyle name="Normal 2 4 7 2 4 3 3" xfId="14382" xr:uid="{D8C3B894-85F7-471A-8194-DCC313F95AB0}"/>
    <cellStyle name="Normal 2 4 7 2 4 4" xfId="18599" xr:uid="{EF6632B7-CDA4-4350-9E87-E4E772D62417}"/>
    <cellStyle name="Normal 2 4 7 2 4 5" xfId="10165" xr:uid="{54B1B458-32F4-472D-9A46-31883C03154D}"/>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25374" xr:uid="{0D060327-BA05-41EE-9072-799E5F7E4B88}"/>
    <cellStyle name="Normal 2 4 7 2 5 2 2 3" xfId="16940" xr:uid="{E1A72464-D925-477C-B1A4-8DE34EDDD386}"/>
    <cellStyle name="Normal 2 4 7 2 5 2 3" xfId="21157" xr:uid="{E28E6058-508A-4C19-8AE6-0AF47191606A}"/>
    <cellStyle name="Normal 2 4 7 2 5 2 4" xfId="12723" xr:uid="{5C3DC5EB-3726-432B-9DB0-CFAAFD3FFF8C}"/>
    <cellStyle name="Normal 2 4 7 2 5 3" xfId="6357" xr:uid="{00000000-0005-0000-0000-0000E6100000}"/>
    <cellStyle name="Normal 2 4 7 2 5 3 2" xfId="23229" xr:uid="{2DBEC1A0-DFF0-4F7C-B073-815A758D10DC}"/>
    <cellStyle name="Normal 2 4 7 2 5 3 3" xfId="14795" xr:uid="{F541BB19-072E-4A50-9F57-0CF76D014F49}"/>
    <cellStyle name="Normal 2 4 7 2 5 4" xfId="19012" xr:uid="{61C3CBAF-3290-48D6-A4E7-DC4EE2FEA2AF}"/>
    <cellStyle name="Normal 2 4 7 2 5 5" xfId="10578" xr:uid="{8CF3FB94-2D71-42AE-B5B1-26F3928CB4D6}"/>
    <cellStyle name="Normal 2 4 7 2 6" xfId="2486" xr:uid="{00000000-0005-0000-0000-0000E7100000}"/>
    <cellStyle name="Normal 2 4 7 2 6 2" xfId="6770" xr:uid="{00000000-0005-0000-0000-0000E8100000}"/>
    <cellStyle name="Normal 2 4 7 2 6 2 2" xfId="23642" xr:uid="{A88A2AFC-38FE-4DC0-B32E-39C7DC4A7A82}"/>
    <cellStyle name="Normal 2 4 7 2 6 2 3" xfId="15208" xr:uid="{C044C1E6-DF45-4B8B-8E4D-B6738C1AE1FB}"/>
    <cellStyle name="Normal 2 4 7 2 6 3" xfId="19425" xr:uid="{9CFFCCEF-D879-4588-92FA-B8B9D91C69D5}"/>
    <cellStyle name="Normal 2 4 7 2 6 4" xfId="10991" xr:uid="{4625FABF-8963-40EE-BD25-D8BBDAAF47F4}"/>
    <cellStyle name="Normal 2 4 7 2 7" xfId="4704" xr:uid="{00000000-0005-0000-0000-0000E9100000}"/>
    <cellStyle name="Normal 2 4 7 2 7 2" xfId="21576" xr:uid="{A8CF2BB2-C45F-4687-BEB1-550DE4CCEE0E}"/>
    <cellStyle name="Normal 2 4 7 2 7 3" xfId="13142" xr:uid="{4B9BD6BC-DFDF-427A-A39A-59AAC19B50D0}"/>
    <cellStyle name="Normal 2 4 7 2 8" xfId="17359" xr:uid="{8490A36F-7734-493C-A4B4-2A21B92F315D}"/>
    <cellStyle name="Normal 2 4 7 2 9" xfId="8925" xr:uid="{E448C946-3FEB-45CA-BFA2-98F301DF220E}"/>
    <cellStyle name="Normal 2 4 7 3" xfId="800" xr:uid="{00000000-0005-0000-0000-0000EA100000}"/>
    <cellStyle name="Normal 2 4 7 3 2" xfId="3039" xr:uid="{00000000-0005-0000-0000-0000EB100000}"/>
    <cellStyle name="Normal 2 4 7 3 2 2" xfId="7262" xr:uid="{00000000-0005-0000-0000-0000EC100000}"/>
    <cellStyle name="Normal 2 4 7 3 2 2 2" xfId="24134" xr:uid="{172681C7-359D-4BE6-9017-A1B2C247961C}"/>
    <cellStyle name="Normal 2 4 7 3 2 2 3" xfId="15700" xr:uid="{61FA9BD9-8494-42A2-A5BE-4F1AFCBFC77B}"/>
    <cellStyle name="Normal 2 4 7 3 2 3" xfId="19917" xr:uid="{56FC68BB-0387-407C-9785-64AF21BE9BB9}"/>
    <cellStyle name="Normal 2 4 7 3 2 4" xfId="11483" xr:uid="{F0E00E28-E90A-4077-B34C-EF4DB3EED675}"/>
    <cellStyle name="Normal 2 4 7 3 3" xfId="5117" xr:uid="{00000000-0005-0000-0000-0000ED100000}"/>
    <cellStyle name="Normal 2 4 7 3 3 2" xfId="21989" xr:uid="{66A942D4-CFDB-42CE-BCA1-D5232F4FB7FB}"/>
    <cellStyle name="Normal 2 4 7 3 3 3" xfId="13555" xr:uid="{7547CF47-AADE-4844-BBB7-1ED1FA8BE70D}"/>
    <cellStyle name="Normal 2 4 7 3 4" xfId="17772" xr:uid="{AF5C02D0-778F-409D-9982-B8C8A7670751}"/>
    <cellStyle name="Normal 2 4 7 3 5" xfId="9338" xr:uid="{6344FA6B-9517-41F1-9D0C-E3A370DB890B}"/>
    <cellStyle name="Normal 2 4 7 4" xfId="1222" xr:uid="{00000000-0005-0000-0000-0000EE100000}"/>
    <cellStyle name="Normal 2 4 7 4 2" xfId="3452" xr:uid="{00000000-0005-0000-0000-0000EF100000}"/>
    <cellStyle name="Normal 2 4 7 4 2 2" xfId="7675" xr:uid="{00000000-0005-0000-0000-0000F0100000}"/>
    <cellStyle name="Normal 2 4 7 4 2 2 2" xfId="24547" xr:uid="{9CEA6ECC-D023-44D9-9CC7-E93098A604FF}"/>
    <cellStyle name="Normal 2 4 7 4 2 2 3" xfId="16113" xr:uid="{EACC4B08-0B1E-4B93-A874-58382D9203F7}"/>
    <cellStyle name="Normal 2 4 7 4 2 3" xfId="20330" xr:uid="{2CCA2D5E-01A7-4CBB-A34F-6F62DA6616B0}"/>
    <cellStyle name="Normal 2 4 7 4 2 4" xfId="11896" xr:uid="{20DCA5D9-55E1-4FF0-A19E-74C0369BAB98}"/>
    <cellStyle name="Normal 2 4 7 4 3" xfId="5530" xr:uid="{00000000-0005-0000-0000-0000F1100000}"/>
    <cellStyle name="Normal 2 4 7 4 3 2" xfId="22402" xr:uid="{08A288EC-7A2A-4EE9-A77E-2B531351FEFC}"/>
    <cellStyle name="Normal 2 4 7 4 3 3" xfId="13968" xr:uid="{801540A1-5861-46A6-9A25-4C0C9C295AE6}"/>
    <cellStyle name="Normal 2 4 7 4 4" xfId="18185" xr:uid="{8D784D70-7637-44A5-B116-8D256198232A}"/>
    <cellStyle name="Normal 2 4 7 4 5" xfId="9751" xr:uid="{05AC39FC-7309-4F56-8927-47FD9002C132}"/>
    <cellStyle name="Normal 2 4 7 5" xfId="1635" xr:uid="{00000000-0005-0000-0000-0000F2100000}"/>
    <cellStyle name="Normal 2 4 7 5 2" xfId="3865" xr:uid="{00000000-0005-0000-0000-0000F3100000}"/>
    <cellStyle name="Normal 2 4 7 5 2 2" xfId="8088" xr:uid="{00000000-0005-0000-0000-0000F4100000}"/>
    <cellStyle name="Normal 2 4 7 5 2 2 2" xfId="24960" xr:uid="{6C6CA694-DFDA-4509-BCDF-02E40E7D4C49}"/>
    <cellStyle name="Normal 2 4 7 5 2 2 3" xfId="16526" xr:uid="{C9439830-DA04-4876-8000-D2C21E8D0DF4}"/>
    <cellStyle name="Normal 2 4 7 5 2 3" xfId="20743" xr:uid="{541D93D5-6844-476F-93B0-C70C97FC6CB7}"/>
    <cellStyle name="Normal 2 4 7 5 2 4" xfId="12309" xr:uid="{35457104-E905-475F-9A5A-3D637C43EE80}"/>
    <cellStyle name="Normal 2 4 7 5 3" xfId="5943" xr:uid="{00000000-0005-0000-0000-0000F5100000}"/>
    <cellStyle name="Normal 2 4 7 5 3 2" xfId="22815" xr:uid="{DD773DEB-E32F-4392-9767-64BCC66628CC}"/>
    <cellStyle name="Normal 2 4 7 5 3 3" xfId="14381" xr:uid="{3C67CC35-4763-40D9-AFE3-CF4DBAAAA7F4}"/>
    <cellStyle name="Normal 2 4 7 5 4" xfId="18598" xr:uid="{AE6155EA-7218-4A21-BEE5-B45DC13B64DA}"/>
    <cellStyle name="Normal 2 4 7 5 5" xfId="10164" xr:uid="{FEF72B0F-6889-4417-AEBE-EEA88E161DA4}"/>
    <cellStyle name="Normal 2 4 7 6" xfId="2049" xr:uid="{00000000-0005-0000-0000-0000F6100000}"/>
    <cellStyle name="Normal 2 4 7 6 2" xfId="4278" xr:uid="{00000000-0005-0000-0000-0000F7100000}"/>
    <cellStyle name="Normal 2 4 7 6 2 2" xfId="8501" xr:uid="{00000000-0005-0000-0000-0000F8100000}"/>
    <cellStyle name="Normal 2 4 7 6 2 2 2" xfId="25373" xr:uid="{4013C922-8717-4D0F-B528-9E53115A3C4A}"/>
    <cellStyle name="Normal 2 4 7 6 2 2 3" xfId="16939" xr:uid="{AC2955A9-3A61-4E5F-842E-3A2DCB7AE9A9}"/>
    <cellStyle name="Normal 2 4 7 6 2 3" xfId="21156" xr:uid="{5A38FC16-BFDE-4B55-BAE7-5464774D2DCC}"/>
    <cellStyle name="Normal 2 4 7 6 2 4" xfId="12722" xr:uid="{02703E29-0BBB-4C44-B58C-D2D2D47D6968}"/>
    <cellStyle name="Normal 2 4 7 6 3" xfId="6356" xr:uid="{00000000-0005-0000-0000-0000F9100000}"/>
    <cellStyle name="Normal 2 4 7 6 3 2" xfId="23228" xr:uid="{E59701E1-1D52-4E28-9A5F-D5ACD26A004C}"/>
    <cellStyle name="Normal 2 4 7 6 3 3" xfId="14794" xr:uid="{72D37F73-C9EB-4C3D-9184-AA73B6C92FC3}"/>
    <cellStyle name="Normal 2 4 7 6 4" xfId="19011" xr:uid="{0F30F9AC-95DC-4EC8-8B3C-8DF01D7FF3E6}"/>
    <cellStyle name="Normal 2 4 7 6 5" xfId="10577" xr:uid="{0FA7BDFD-ED65-4E5E-9027-8F2AA498B5A7}"/>
    <cellStyle name="Normal 2 4 7 7" xfId="2485" xr:uid="{00000000-0005-0000-0000-0000FA100000}"/>
    <cellStyle name="Normal 2 4 7 7 2" xfId="6769" xr:uid="{00000000-0005-0000-0000-0000FB100000}"/>
    <cellStyle name="Normal 2 4 7 7 2 2" xfId="23641" xr:uid="{4D4BAA67-A88B-4B8C-92FA-B5ADA09B376B}"/>
    <cellStyle name="Normal 2 4 7 7 2 3" xfId="15207" xr:uid="{FFD3B408-31E4-4BA8-9D69-A3CCA0445604}"/>
    <cellStyle name="Normal 2 4 7 7 3" xfId="19424" xr:uid="{D23B670F-5CE2-40D1-82B3-725F6E6811A2}"/>
    <cellStyle name="Normal 2 4 7 7 4" xfId="10990" xr:uid="{15C56B92-FA55-405E-A6EC-FD67ACBEF287}"/>
    <cellStyle name="Normal 2 4 7 8" xfId="4703" xr:uid="{00000000-0005-0000-0000-0000FC100000}"/>
    <cellStyle name="Normal 2 4 7 8 2" xfId="21575" xr:uid="{6FAE9F6B-4326-494E-9C63-40C0F1DEE5FD}"/>
    <cellStyle name="Normal 2 4 7 8 3" xfId="13141" xr:uid="{7B3D4934-0D8F-4166-907E-273AF5B6C0DD}"/>
    <cellStyle name="Normal 2 4 7 9" xfId="17358" xr:uid="{949F2707-AC56-4F04-8CCE-12B8491C1E6E}"/>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24136" xr:uid="{E9EC7625-D5DD-4FCB-9104-52A28FDD622B}"/>
    <cellStyle name="Normal 2 4 8 2 2 2 3" xfId="15702" xr:uid="{72BBC192-2C7A-4D45-9DF5-8A3B0EAC1351}"/>
    <cellStyle name="Normal 2 4 8 2 2 3" xfId="19919" xr:uid="{59E72B0C-35CF-4D4C-AE3C-FAD612D69987}"/>
    <cellStyle name="Normal 2 4 8 2 2 4" xfId="11485" xr:uid="{20A32435-E8EA-4535-9419-5F0FEB672C11}"/>
    <cellStyle name="Normal 2 4 8 2 3" xfId="5119" xr:uid="{00000000-0005-0000-0000-000001110000}"/>
    <cellStyle name="Normal 2 4 8 2 3 2" xfId="21991" xr:uid="{8509F835-DDD6-4B56-95AB-1E44AC39F635}"/>
    <cellStyle name="Normal 2 4 8 2 3 3" xfId="13557" xr:uid="{A0949285-6B03-4FB6-ABE2-8E5789F32D4E}"/>
    <cellStyle name="Normal 2 4 8 2 4" xfId="17774" xr:uid="{A8E3002C-0769-4B13-822C-C6718FB0EDE2}"/>
    <cellStyle name="Normal 2 4 8 2 5" xfId="9340" xr:uid="{B1AC41A6-A940-44B0-95CA-3680195D778E}"/>
    <cellStyle name="Normal 2 4 8 3" xfId="1224" xr:uid="{00000000-0005-0000-0000-000002110000}"/>
    <cellStyle name="Normal 2 4 8 3 2" xfId="3454" xr:uid="{00000000-0005-0000-0000-000003110000}"/>
    <cellStyle name="Normal 2 4 8 3 2 2" xfId="7677" xr:uid="{00000000-0005-0000-0000-000004110000}"/>
    <cellStyle name="Normal 2 4 8 3 2 2 2" xfId="24549" xr:uid="{9619A9A7-DAF1-4EE3-932B-E9F5CF79E7F8}"/>
    <cellStyle name="Normal 2 4 8 3 2 2 3" xfId="16115" xr:uid="{3920A995-F071-4C4E-9DBF-245B4A5A9A5C}"/>
    <cellStyle name="Normal 2 4 8 3 2 3" xfId="20332" xr:uid="{AD34FC9A-8CEF-42E2-9946-CCF5628CCE43}"/>
    <cellStyle name="Normal 2 4 8 3 2 4" xfId="11898" xr:uid="{E0358113-6DAE-4612-942D-C1B113805FDF}"/>
    <cellStyle name="Normal 2 4 8 3 3" xfId="5532" xr:uid="{00000000-0005-0000-0000-000005110000}"/>
    <cellStyle name="Normal 2 4 8 3 3 2" xfId="22404" xr:uid="{D9B347E4-C947-4E1B-AEA2-90C665B5F554}"/>
    <cellStyle name="Normal 2 4 8 3 3 3" xfId="13970" xr:uid="{4051E201-7A9B-438B-B41B-71D828396BAD}"/>
    <cellStyle name="Normal 2 4 8 3 4" xfId="18187" xr:uid="{A039245D-E9C8-4F78-9874-E6183FDE1311}"/>
    <cellStyle name="Normal 2 4 8 3 5" xfId="9753" xr:uid="{7B5EDC78-EF59-4BBC-B8F2-F034CC30F766}"/>
    <cellStyle name="Normal 2 4 8 4" xfId="1637" xr:uid="{00000000-0005-0000-0000-000006110000}"/>
    <cellStyle name="Normal 2 4 8 4 2" xfId="3867" xr:uid="{00000000-0005-0000-0000-000007110000}"/>
    <cellStyle name="Normal 2 4 8 4 2 2" xfId="8090" xr:uid="{00000000-0005-0000-0000-000008110000}"/>
    <cellStyle name="Normal 2 4 8 4 2 2 2" xfId="24962" xr:uid="{BBCD9626-21A6-459B-AA36-596204654C88}"/>
    <cellStyle name="Normal 2 4 8 4 2 2 3" xfId="16528" xr:uid="{3C1D17F5-48E9-42B8-B52C-CBCBE11E754F}"/>
    <cellStyle name="Normal 2 4 8 4 2 3" xfId="20745" xr:uid="{5C65B8A0-18CC-4D17-9AEE-F47827F04BEB}"/>
    <cellStyle name="Normal 2 4 8 4 2 4" xfId="12311" xr:uid="{D4EC9058-8A77-408F-8189-E18FE7EDDC81}"/>
    <cellStyle name="Normal 2 4 8 4 3" xfId="5945" xr:uid="{00000000-0005-0000-0000-000009110000}"/>
    <cellStyle name="Normal 2 4 8 4 3 2" xfId="22817" xr:uid="{C7938977-9EB6-435B-AC84-68CC49FB512C}"/>
    <cellStyle name="Normal 2 4 8 4 3 3" xfId="14383" xr:uid="{6AA06436-C376-4DEE-B834-A34303ED3C77}"/>
    <cellStyle name="Normal 2 4 8 4 4" xfId="18600" xr:uid="{40DC3236-B311-45DC-AC3A-72647650C9EF}"/>
    <cellStyle name="Normal 2 4 8 4 5" xfId="10166" xr:uid="{DF6B561C-C676-4614-A051-4AB76C37D423}"/>
    <cellStyle name="Normal 2 4 8 5" xfId="2051" xr:uid="{00000000-0005-0000-0000-00000A110000}"/>
    <cellStyle name="Normal 2 4 8 5 2" xfId="4280" xr:uid="{00000000-0005-0000-0000-00000B110000}"/>
    <cellStyle name="Normal 2 4 8 5 2 2" xfId="8503" xr:uid="{00000000-0005-0000-0000-00000C110000}"/>
    <cellStyle name="Normal 2 4 8 5 2 2 2" xfId="25375" xr:uid="{752F1222-89F8-412F-B688-6B25B9D4A954}"/>
    <cellStyle name="Normal 2 4 8 5 2 2 3" xfId="16941" xr:uid="{D70C26F2-F9B0-45E4-9431-77B4142BA372}"/>
    <cellStyle name="Normal 2 4 8 5 2 3" xfId="21158" xr:uid="{433E34F0-5522-4A6B-B476-AC1D3BFEDB13}"/>
    <cellStyle name="Normal 2 4 8 5 2 4" xfId="12724" xr:uid="{768CB43E-39FD-4129-AE01-61EAC3400DF5}"/>
    <cellStyle name="Normal 2 4 8 5 3" xfId="6358" xr:uid="{00000000-0005-0000-0000-00000D110000}"/>
    <cellStyle name="Normal 2 4 8 5 3 2" xfId="23230" xr:uid="{B71E8098-7579-4185-9E89-91F7F947A76D}"/>
    <cellStyle name="Normal 2 4 8 5 3 3" xfId="14796" xr:uid="{0D252AF7-259C-493A-8940-2BD7E22AF32B}"/>
    <cellStyle name="Normal 2 4 8 5 4" xfId="19013" xr:uid="{A46649D5-9331-48CD-89FE-EC6A26E16E7E}"/>
    <cellStyle name="Normal 2 4 8 5 5" xfId="10579" xr:uid="{852436C8-3BC5-4C8C-A40C-8547656247FD}"/>
    <cellStyle name="Normal 2 4 8 6" xfId="2487" xr:uid="{00000000-0005-0000-0000-00000E110000}"/>
    <cellStyle name="Normal 2 4 8 6 2" xfId="6771" xr:uid="{00000000-0005-0000-0000-00000F110000}"/>
    <cellStyle name="Normal 2 4 8 6 2 2" xfId="23643" xr:uid="{5538377C-2430-4962-A926-53497752D167}"/>
    <cellStyle name="Normal 2 4 8 6 2 3" xfId="15209" xr:uid="{C755164B-0BAD-40D2-B741-5BD474F81DBD}"/>
    <cellStyle name="Normal 2 4 8 6 3" xfId="19426" xr:uid="{304D8BB8-5721-4D47-B0B5-44AE7B4A3C5F}"/>
    <cellStyle name="Normal 2 4 8 6 4" xfId="10992" xr:uid="{AB9BE889-8EA4-4750-8871-D9DBEEBF9AB6}"/>
    <cellStyle name="Normal 2 4 8 7" xfId="4705" xr:uid="{00000000-0005-0000-0000-000010110000}"/>
    <cellStyle name="Normal 2 4 8 7 2" xfId="21577" xr:uid="{209491BF-7DEA-419E-B7EC-9B322451EF5C}"/>
    <cellStyle name="Normal 2 4 8 7 3" xfId="13143" xr:uid="{EC47EF24-C6B1-4891-9DF4-10080A509833}"/>
    <cellStyle name="Normal 2 4 8 8" xfId="17360" xr:uid="{264090D6-6A96-42C5-B7ED-92D64AC673AD}"/>
    <cellStyle name="Normal 2 4 8 9" xfId="8926" xr:uid="{048E3413-FB17-4A23-9F54-FB925E9082D7}"/>
    <cellStyle name="Normal 2 5" xfId="315" xr:uid="{00000000-0005-0000-0000-000011110000}"/>
    <cellStyle name="Normal 2 5 10" xfId="4706" xr:uid="{00000000-0005-0000-0000-000012110000}"/>
    <cellStyle name="Normal 2 5 10 2" xfId="21578" xr:uid="{E5F9E577-63A3-45C8-A9A9-E246EE401D61}"/>
    <cellStyle name="Normal 2 5 10 3" xfId="13144" xr:uid="{E03BBF50-251F-471A-98CC-BC0502ADD427}"/>
    <cellStyle name="Normal 2 5 11" xfId="17361" xr:uid="{901DAE36-9085-4AA9-AE04-4AFF2941AEA9}"/>
    <cellStyle name="Normal 2 5 12" xfId="8927" xr:uid="{888C6134-2736-4F79-B8C5-86616B58F0C8}"/>
    <cellStyle name="Normal 2 5 2" xfId="316" xr:uid="{00000000-0005-0000-0000-000013110000}"/>
    <cellStyle name="Normal 2 5 3" xfId="317" xr:uid="{00000000-0005-0000-0000-000014110000}"/>
    <cellStyle name="Normal 2 5 4" xfId="318" xr:uid="{00000000-0005-0000-0000-000015110000}"/>
    <cellStyle name="Normal 2 5 4 10" xfId="17362" xr:uid="{3C554609-E73C-4231-ABB8-10535401C2B5}"/>
    <cellStyle name="Normal 2 5 4 11" xfId="8928" xr:uid="{9F1D39BC-E567-464F-AC45-05D437F2FE7B}"/>
    <cellStyle name="Normal 2 5 4 2" xfId="319" xr:uid="{00000000-0005-0000-0000-000016110000}"/>
    <cellStyle name="Normal 2 5 4 2 10" xfId="8929" xr:uid="{0BA87D0A-1433-471C-B1D8-1DF4730033C2}"/>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24140" xr:uid="{0C541DEE-A788-48BF-AEDD-03C624C969FE}"/>
    <cellStyle name="Normal 2 5 4 2 2 2 2 2 3" xfId="15706" xr:uid="{E56AD890-8B54-4C07-8B82-71A90179ECB7}"/>
    <cellStyle name="Normal 2 5 4 2 2 2 2 3" xfId="19923" xr:uid="{99B1DD72-B055-4C39-A43B-A955073F299E}"/>
    <cellStyle name="Normal 2 5 4 2 2 2 2 4" xfId="11489" xr:uid="{5899223D-9F1F-4014-BF3D-99AA104E046A}"/>
    <cellStyle name="Normal 2 5 4 2 2 2 3" xfId="5123" xr:uid="{00000000-0005-0000-0000-00001B110000}"/>
    <cellStyle name="Normal 2 5 4 2 2 2 3 2" xfId="21995" xr:uid="{AFF4FD1B-A1C3-44E2-AC31-FA33A5DB1101}"/>
    <cellStyle name="Normal 2 5 4 2 2 2 3 3" xfId="13561" xr:uid="{C876DA0C-5241-40FC-A926-6245F30C5E4A}"/>
    <cellStyle name="Normal 2 5 4 2 2 2 4" xfId="17778" xr:uid="{60D5DF0C-3EA7-485F-ADB4-EA93185F4D40}"/>
    <cellStyle name="Normal 2 5 4 2 2 2 5" xfId="9344" xr:uid="{5E9F3B25-633F-4C66-9F36-4F7275A7FE01}"/>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24553" xr:uid="{DFDF0B7D-7546-4B41-A41F-BDCE60B642AE}"/>
    <cellStyle name="Normal 2 5 4 2 2 3 2 2 3" xfId="16119" xr:uid="{B7B55F60-5166-447E-AD01-5CCF99DDEFC2}"/>
    <cellStyle name="Normal 2 5 4 2 2 3 2 3" xfId="20336" xr:uid="{DF501AC9-4EAB-48A1-AA29-5D81B3199280}"/>
    <cellStyle name="Normal 2 5 4 2 2 3 2 4" xfId="11902" xr:uid="{1B73E9E6-8140-4A9B-9283-4D8E83F5BB0F}"/>
    <cellStyle name="Normal 2 5 4 2 2 3 3" xfId="5536" xr:uid="{00000000-0005-0000-0000-00001F110000}"/>
    <cellStyle name="Normal 2 5 4 2 2 3 3 2" xfId="22408" xr:uid="{9A64B008-66DD-4C41-A88A-2DC48DD1D022}"/>
    <cellStyle name="Normal 2 5 4 2 2 3 3 3" xfId="13974" xr:uid="{42460329-B3B6-4893-A501-42A375282F43}"/>
    <cellStyle name="Normal 2 5 4 2 2 3 4" xfId="18191" xr:uid="{B072C5F3-8622-4170-8EAE-5004966934DD}"/>
    <cellStyle name="Normal 2 5 4 2 2 3 5" xfId="9757" xr:uid="{C6619DB1-7E22-463C-AD69-7EDEB6671662}"/>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24966" xr:uid="{F6DB6A84-51AC-4A3D-8651-B07CCE7BD26B}"/>
    <cellStyle name="Normal 2 5 4 2 2 4 2 2 3" xfId="16532" xr:uid="{09C861EB-66F2-4176-85A9-377B37562390}"/>
    <cellStyle name="Normal 2 5 4 2 2 4 2 3" xfId="20749" xr:uid="{FB933674-4B13-4C3D-B06F-DA3A7C4B99DA}"/>
    <cellStyle name="Normal 2 5 4 2 2 4 2 4" xfId="12315" xr:uid="{9E2C4010-0E6F-4139-929C-29C125B74E37}"/>
    <cellStyle name="Normal 2 5 4 2 2 4 3" xfId="5949" xr:uid="{00000000-0005-0000-0000-000023110000}"/>
    <cellStyle name="Normal 2 5 4 2 2 4 3 2" xfId="22821" xr:uid="{81083CEC-3AB9-4FE6-9C1F-470D6C60C92A}"/>
    <cellStyle name="Normal 2 5 4 2 2 4 3 3" xfId="14387" xr:uid="{4094F83E-DDFC-4A1E-96F1-420E8E8E1D0B}"/>
    <cellStyle name="Normal 2 5 4 2 2 4 4" xfId="18604" xr:uid="{D1D05355-E4CA-4757-A52D-85CEA54505AB}"/>
    <cellStyle name="Normal 2 5 4 2 2 4 5" xfId="10170" xr:uid="{7CC11414-BA31-4C4B-A655-D6685149F144}"/>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25379" xr:uid="{6CE063FC-D13E-4C01-8CEB-A8EED86D1D23}"/>
    <cellStyle name="Normal 2 5 4 2 2 5 2 2 3" xfId="16945" xr:uid="{0221C782-C13D-4C02-B288-B7474582A4AF}"/>
    <cellStyle name="Normal 2 5 4 2 2 5 2 3" xfId="21162" xr:uid="{01EB82B6-47DF-4DED-B74A-0DC7639171F6}"/>
    <cellStyle name="Normal 2 5 4 2 2 5 2 4" xfId="12728" xr:uid="{9175A598-9C29-45EC-A71F-265008DB4CA3}"/>
    <cellStyle name="Normal 2 5 4 2 2 5 3" xfId="6362" xr:uid="{00000000-0005-0000-0000-000027110000}"/>
    <cellStyle name="Normal 2 5 4 2 2 5 3 2" xfId="23234" xr:uid="{FD449448-E620-4229-96CA-038831954281}"/>
    <cellStyle name="Normal 2 5 4 2 2 5 3 3" xfId="14800" xr:uid="{02353DA3-63F7-4505-876B-DFF1B7AD711F}"/>
    <cellStyle name="Normal 2 5 4 2 2 5 4" xfId="19017" xr:uid="{0FFC7E29-5652-4D31-B0A1-5CEDF0B1C69B}"/>
    <cellStyle name="Normal 2 5 4 2 2 5 5" xfId="10583" xr:uid="{1E470C58-93D8-48F8-B223-149120D044FD}"/>
    <cellStyle name="Normal 2 5 4 2 2 6" xfId="2491" xr:uid="{00000000-0005-0000-0000-000028110000}"/>
    <cellStyle name="Normal 2 5 4 2 2 6 2" xfId="6775" xr:uid="{00000000-0005-0000-0000-000029110000}"/>
    <cellStyle name="Normal 2 5 4 2 2 6 2 2" xfId="23647" xr:uid="{5F790F99-14D1-4397-96BB-D0DB0504BFE7}"/>
    <cellStyle name="Normal 2 5 4 2 2 6 2 3" xfId="15213" xr:uid="{2A231C21-2CA9-4A10-A0FE-3D517B8A5C09}"/>
    <cellStyle name="Normal 2 5 4 2 2 6 3" xfId="19430" xr:uid="{645B3B7A-76AF-449F-8E01-ED49CDD8B3B4}"/>
    <cellStyle name="Normal 2 5 4 2 2 6 4" xfId="10996" xr:uid="{D9A1A4DA-1670-43F9-9084-30187BE7316B}"/>
    <cellStyle name="Normal 2 5 4 2 2 7" xfId="4709" xr:uid="{00000000-0005-0000-0000-00002A110000}"/>
    <cellStyle name="Normal 2 5 4 2 2 7 2" xfId="21581" xr:uid="{BFA840CA-4AE4-441F-A4B1-CEDA6E84DBB4}"/>
    <cellStyle name="Normal 2 5 4 2 2 7 3" xfId="13147" xr:uid="{4EFD521F-17F1-4EBF-BBD3-05D1D8877C94}"/>
    <cellStyle name="Normal 2 5 4 2 2 8" xfId="17364" xr:uid="{32E1044C-1C1B-429D-BEEA-8FCA5142BB38}"/>
    <cellStyle name="Normal 2 5 4 2 2 9" xfId="8930" xr:uid="{972C56E7-1DF9-4A91-837D-193B47343092}"/>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24139" xr:uid="{D80B93E9-C98D-41BC-AA9B-58605202C170}"/>
    <cellStyle name="Normal 2 5 4 2 3 2 2 3" xfId="15705" xr:uid="{D2AFB74E-AE8C-4378-A441-1A36B4A1DACD}"/>
    <cellStyle name="Normal 2 5 4 2 3 2 3" xfId="19922" xr:uid="{6A40F604-2E2D-41A6-8737-6B935AAFBCBE}"/>
    <cellStyle name="Normal 2 5 4 2 3 2 4" xfId="11488" xr:uid="{17B3C08A-787C-4BA2-9B92-DACA6705F6B7}"/>
    <cellStyle name="Normal 2 5 4 2 3 3" xfId="5122" xr:uid="{00000000-0005-0000-0000-00002E110000}"/>
    <cellStyle name="Normal 2 5 4 2 3 3 2" xfId="21994" xr:uid="{A0769EBD-FEE1-45C1-9DA1-EA1693043CE0}"/>
    <cellStyle name="Normal 2 5 4 2 3 3 3" xfId="13560" xr:uid="{25898C90-64F8-4C8D-99E7-CDF27DBAC234}"/>
    <cellStyle name="Normal 2 5 4 2 3 4" xfId="17777" xr:uid="{A1BA6A26-6A14-4840-BC3E-F43350FDA77D}"/>
    <cellStyle name="Normal 2 5 4 2 3 5" xfId="9343" xr:uid="{BA6DD20B-D174-46EB-B70D-EB0D3B447A46}"/>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24552" xr:uid="{E39D548F-01E8-4E7F-B747-1FA892523B2A}"/>
    <cellStyle name="Normal 2 5 4 2 4 2 2 3" xfId="16118" xr:uid="{81DCD516-67B3-4A5E-B9B0-2B8BEB1D6105}"/>
    <cellStyle name="Normal 2 5 4 2 4 2 3" xfId="20335" xr:uid="{0C7A11AE-77AE-4A44-BCEE-1AD474EC75D6}"/>
    <cellStyle name="Normal 2 5 4 2 4 2 4" xfId="11901" xr:uid="{4D338ACC-71B7-4021-BDB6-714B10272CF0}"/>
    <cellStyle name="Normal 2 5 4 2 4 3" xfId="5535" xr:uid="{00000000-0005-0000-0000-000032110000}"/>
    <cellStyle name="Normal 2 5 4 2 4 3 2" xfId="22407" xr:uid="{7DF62F0E-427B-4738-BC5A-AA0A7CB3463C}"/>
    <cellStyle name="Normal 2 5 4 2 4 3 3" xfId="13973" xr:uid="{F8056978-15CE-4081-AB38-4F8B641A6DAB}"/>
    <cellStyle name="Normal 2 5 4 2 4 4" xfId="18190" xr:uid="{151AD987-1DFD-4B07-AFF3-F9F9A991144A}"/>
    <cellStyle name="Normal 2 5 4 2 4 5" xfId="9756" xr:uid="{8664B518-5959-49EF-AFC4-F20318EED64F}"/>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24965" xr:uid="{5BBF7116-71D6-4CB3-A8C5-2D6E26D6C7FF}"/>
    <cellStyle name="Normal 2 5 4 2 5 2 2 3" xfId="16531" xr:uid="{0CED7ADE-12B8-40B4-831C-CAD14BD2A1E0}"/>
    <cellStyle name="Normal 2 5 4 2 5 2 3" xfId="20748" xr:uid="{EBC22BB3-1DF9-4186-A867-FB2C719BAE7B}"/>
    <cellStyle name="Normal 2 5 4 2 5 2 4" xfId="12314" xr:uid="{3EE9223E-C041-4DE0-AC34-384D9DA62641}"/>
    <cellStyle name="Normal 2 5 4 2 5 3" xfId="5948" xr:uid="{00000000-0005-0000-0000-000036110000}"/>
    <cellStyle name="Normal 2 5 4 2 5 3 2" xfId="22820" xr:uid="{07F5DB81-4D2D-4559-B6B7-EE8D928224C4}"/>
    <cellStyle name="Normal 2 5 4 2 5 3 3" xfId="14386" xr:uid="{DE1451C4-EC30-4D5B-A414-B5C07B17627F}"/>
    <cellStyle name="Normal 2 5 4 2 5 4" xfId="18603" xr:uid="{AA383617-9919-4585-865B-3AE63BFF2736}"/>
    <cellStyle name="Normal 2 5 4 2 5 5" xfId="10169" xr:uid="{3EE862E9-8A72-4CD3-B271-4004D1F7EF06}"/>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25378" xr:uid="{F0CB9270-FB18-449E-9655-D8B84A5567DD}"/>
    <cellStyle name="Normal 2 5 4 2 6 2 2 3" xfId="16944" xr:uid="{48662269-908D-460B-A299-A63F9929AA3C}"/>
    <cellStyle name="Normal 2 5 4 2 6 2 3" xfId="21161" xr:uid="{9E20ABA2-2EA8-4B4D-8EC3-5CC4D7712B75}"/>
    <cellStyle name="Normal 2 5 4 2 6 2 4" xfId="12727" xr:uid="{2445791C-02C9-4E37-ACF9-0DC8A6B446C6}"/>
    <cellStyle name="Normal 2 5 4 2 6 3" xfId="6361" xr:uid="{00000000-0005-0000-0000-00003A110000}"/>
    <cellStyle name="Normal 2 5 4 2 6 3 2" xfId="23233" xr:uid="{3E79AFDE-5254-4344-95EE-0EAE35DAE68B}"/>
    <cellStyle name="Normal 2 5 4 2 6 3 3" xfId="14799" xr:uid="{B3904826-227A-4F13-81BF-CEBA561A3E6D}"/>
    <cellStyle name="Normal 2 5 4 2 6 4" xfId="19016" xr:uid="{B2FF239F-602B-4442-B368-4A438E03BAA5}"/>
    <cellStyle name="Normal 2 5 4 2 6 5" xfId="10582" xr:uid="{66A7AD18-2686-455E-B1A6-6FFFE4A302CC}"/>
    <cellStyle name="Normal 2 5 4 2 7" xfId="2490" xr:uid="{00000000-0005-0000-0000-00003B110000}"/>
    <cellStyle name="Normal 2 5 4 2 7 2" xfId="6774" xr:uid="{00000000-0005-0000-0000-00003C110000}"/>
    <cellStyle name="Normal 2 5 4 2 7 2 2" xfId="23646" xr:uid="{6796E864-5420-411C-8D9B-FB9DAED459C1}"/>
    <cellStyle name="Normal 2 5 4 2 7 2 3" xfId="15212" xr:uid="{F65C67F0-92C0-4B62-B017-18BE31C50F04}"/>
    <cellStyle name="Normal 2 5 4 2 7 3" xfId="19429" xr:uid="{A8DAFB14-8696-404D-A1C7-0DD713F8B60E}"/>
    <cellStyle name="Normal 2 5 4 2 7 4" xfId="10995" xr:uid="{4018A6ED-E9F2-460D-B5ED-E75B96D868F1}"/>
    <cellStyle name="Normal 2 5 4 2 8" xfId="4708" xr:uid="{00000000-0005-0000-0000-00003D110000}"/>
    <cellStyle name="Normal 2 5 4 2 8 2" xfId="21580" xr:uid="{F5A2CE8E-4AE9-4005-ACAD-8A13B8DD0B99}"/>
    <cellStyle name="Normal 2 5 4 2 8 3" xfId="13146" xr:uid="{4BA3D432-8A98-470F-B374-CD73E0193FFC}"/>
    <cellStyle name="Normal 2 5 4 2 9" xfId="17363" xr:uid="{8047A452-CBBA-4081-AA00-86A57DE59E5A}"/>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24141" xr:uid="{1C74A95D-00A2-46B1-8EDA-5610061CE257}"/>
    <cellStyle name="Normal 2 5 4 3 2 2 2 3" xfId="15707" xr:uid="{5D43E876-768A-44D8-BE3E-7BFA4B9983DF}"/>
    <cellStyle name="Normal 2 5 4 3 2 2 3" xfId="19924" xr:uid="{D321D3B2-5D64-4DA6-B3CD-A6EC465CB3CF}"/>
    <cellStyle name="Normal 2 5 4 3 2 2 4" xfId="11490" xr:uid="{60FD4C92-310C-47BA-BEAE-820F63E1DAC8}"/>
    <cellStyle name="Normal 2 5 4 3 2 3" xfId="5124" xr:uid="{00000000-0005-0000-0000-000042110000}"/>
    <cellStyle name="Normal 2 5 4 3 2 3 2" xfId="21996" xr:uid="{F04DF5FC-3B1C-4977-A13B-77DDCF6B57A1}"/>
    <cellStyle name="Normal 2 5 4 3 2 3 3" xfId="13562" xr:uid="{54825F49-DD40-4BC6-8CEE-8818662C7B9E}"/>
    <cellStyle name="Normal 2 5 4 3 2 4" xfId="17779" xr:uid="{36F260FB-673B-4B27-AF0D-392DBD8522A5}"/>
    <cellStyle name="Normal 2 5 4 3 2 5" xfId="9345" xr:uid="{C28BC892-339C-4596-8C26-2574A10A9C8C}"/>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24554" xr:uid="{538ACF92-86DD-4802-9CA5-C354BCCBE030}"/>
    <cellStyle name="Normal 2 5 4 3 3 2 2 3" xfId="16120" xr:uid="{730DDD64-D3F4-44EC-B0AE-014D6388223D}"/>
    <cellStyle name="Normal 2 5 4 3 3 2 3" xfId="20337" xr:uid="{2EE83B2B-4DC2-4D77-80FD-4FE92D39D537}"/>
    <cellStyle name="Normal 2 5 4 3 3 2 4" xfId="11903" xr:uid="{6370366B-4AED-4926-ADC0-589FAEDB0DAC}"/>
    <cellStyle name="Normal 2 5 4 3 3 3" xfId="5537" xr:uid="{00000000-0005-0000-0000-000046110000}"/>
    <cellStyle name="Normal 2 5 4 3 3 3 2" xfId="22409" xr:uid="{52A7E85E-F3EA-461C-B797-9EBECA915412}"/>
    <cellStyle name="Normal 2 5 4 3 3 3 3" xfId="13975" xr:uid="{6A052430-510C-4663-9B9C-834FAE9E8AFB}"/>
    <cellStyle name="Normal 2 5 4 3 3 4" xfId="18192" xr:uid="{3AC9DDA3-DFB9-48B4-8D52-566A729F8E30}"/>
    <cellStyle name="Normal 2 5 4 3 3 5" xfId="9758" xr:uid="{DFC332B4-DF7D-4930-B954-9F674FBBBA42}"/>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24967" xr:uid="{05BBE437-1BE4-4B72-B9D5-0DC061C54FB0}"/>
    <cellStyle name="Normal 2 5 4 3 4 2 2 3" xfId="16533" xr:uid="{47275316-FBD9-4DC4-80B7-27EF94B470FD}"/>
    <cellStyle name="Normal 2 5 4 3 4 2 3" xfId="20750" xr:uid="{00E89978-C982-48A3-A6AE-C9057E9CE2DF}"/>
    <cellStyle name="Normal 2 5 4 3 4 2 4" xfId="12316" xr:uid="{D8F6D606-3C06-4D2D-B26F-D3FAD16D1D2C}"/>
    <cellStyle name="Normal 2 5 4 3 4 3" xfId="5950" xr:uid="{00000000-0005-0000-0000-00004A110000}"/>
    <cellStyle name="Normal 2 5 4 3 4 3 2" xfId="22822" xr:uid="{D2972BB4-31C4-4B9C-8C1B-87AEBE05D5FF}"/>
    <cellStyle name="Normal 2 5 4 3 4 3 3" xfId="14388" xr:uid="{5565B076-0094-4797-933E-C4D7693FBDA9}"/>
    <cellStyle name="Normal 2 5 4 3 4 4" xfId="18605" xr:uid="{31B1A951-E13F-404E-88F9-5D1962E64A7C}"/>
    <cellStyle name="Normal 2 5 4 3 4 5" xfId="10171" xr:uid="{42F19540-EAB9-4A9A-AC65-3DBCDF78AF6A}"/>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25380" xr:uid="{5377A098-61B8-4C6F-A1BE-245B2FDE0A5B}"/>
    <cellStyle name="Normal 2 5 4 3 5 2 2 3" xfId="16946" xr:uid="{743CB008-1247-4923-985F-7F5ABDF5C56C}"/>
    <cellStyle name="Normal 2 5 4 3 5 2 3" xfId="21163" xr:uid="{DDB65096-3E3F-47DA-B18F-AB0892D0065D}"/>
    <cellStyle name="Normal 2 5 4 3 5 2 4" xfId="12729" xr:uid="{73BFC990-5470-4C37-B08D-1900900BD3A4}"/>
    <cellStyle name="Normal 2 5 4 3 5 3" xfId="6363" xr:uid="{00000000-0005-0000-0000-00004E110000}"/>
    <cellStyle name="Normal 2 5 4 3 5 3 2" xfId="23235" xr:uid="{33E7063D-57D0-41BA-9CC5-827D4047CB1A}"/>
    <cellStyle name="Normal 2 5 4 3 5 3 3" xfId="14801" xr:uid="{06402530-FCF2-4F05-B51D-1FA85752D9DC}"/>
    <cellStyle name="Normal 2 5 4 3 5 4" xfId="19018" xr:uid="{336B8FFD-95CE-4E1E-A93C-0D2B992B4578}"/>
    <cellStyle name="Normal 2 5 4 3 5 5" xfId="10584" xr:uid="{FFC00F8A-10E7-4ECA-A212-6F7EE3A206E4}"/>
    <cellStyle name="Normal 2 5 4 3 6" xfId="2492" xr:uid="{00000000-0005-0000-0000-00004F110000}"/>
    <cellStyle name="Normal 2 5 4 3 6 2" xfId="6776" xr:uid="{00000000-0005-0000-0000-000050110000}"/>
    <cellStyle name="Normal 2 5 4 3 6 2 2" xfId="23648" xr:uid="{054EA5FC-EA05-470C-B961-1F32CF2BB4EE}"/>
    <cellStyle name="Normal 2 5 4 3 6 2 3" xfId="15214" xr:uid="{8C0D3C4A-1DD7-4A91-88EB-BCFB4074B4AD}"/>
    <cellStyle name="Normal 2 5 4 3 6 3" xfId="19431" xr:uid="{AE2BB109-D2FB-4D98-9746-15AC152803E9}"/>
    <cellStyle name="Normal 2 5 4 3 6 4" xfId="10997" xr:uid="{FCA334E2-8FBC-49F2-A131-2F2649A950E3}"/>
    <cellStyle name="Normal 2 5 4 3 7" xfId="4710" xr:uid="{00000000-0005-0000-0000-000051110000}"/>
    <cellStyle name="Normal 2 5 4 3 7 2" xfId="21582" xr:uid="{6B99AB2A-1D64-4756-B84C-8CA37B0843E9}"/>
    <cellStyle name="Normal 2 5 4 3 7 3" xfId="13148" xr:uid="{1F86D6A2-9E98-4996-83B1-9CC2B7B0E247}"/>
    <cellStyle name="Normal 2 5 4 3 8" xfId="17365" xr:uid="{E9B3F807-2E00-42A4-AF4A-66D35A919102}"/>
    <cellStyle name="Normal 2 5 4 3 9" xfId="8931" xr:uid="{6DB6533C-E0D7-4BC6-8BDA-8C2F48814DC0}"/>
    <cellStyle name="Normal 2 5 4 4" xfId="804" xr:uid="{00000000-0005-0000-0000-000052110000}"/>
    <cellStyle name="Normal 2 5 4 4 2" xfId="3043" xr:uid="{00000000-0005-0000-0000-000053110000}"/>
    <cellStyle name="Normal 2 5 4 4 2 2" xfId="7266" xr:uid="{00000000-0005-0000-0000-000054110000}"/>
    <cellStyle name="Normal 2 5 4 4 2 2 2" xfId="24138" xr:uid="{1948DE8F-5C06-4939-9B88-270689BEC901}"/>
    <cellStyle name="Normal 2 5 4 4 2 2 3" xfId="15704" xr:uid="{9CDE9CC2-C5A4-415D-B9AB-DEF09AB35CED}"/>
    <cellStyle name="Normal 2 5 4 4 2 3" xfId="19921" xr:uid="{B045D65E-530A-4483-9E15-4DE8296A48AF}"/>
    <cellStyle name="Normal 2 5 4 4 2 4" xfId="11487" xr:uid="{8F8FC083-80F4-4B13-B96B-7B582FDC3907}"/>
    <cellStyle name="Normal 2 5 4 4 3" xfId="5121" xr:uid="{00000000-0005-0000-0000-000055110000}"/>
    <cellStyle name="Normal 2 5 4 4 3 2" xfId="21993" xr:uid="{116D3F07-21D5-4199-B0DA-42226849E20D}"/>
    <cellStyle name="Normal 2 5 4 4 3 3" xfId="13559" xr:uid="{25967886-80E8-4C79-A70D-92AC0668753D}"/>
    <cellStyle name="Normal 2 5 4 4 4" xfId="17776" xr:uid="{28BF9B51-91F1-4182-8BA1-4C9A879ADD32}"/>
    <cellStyle name="Normal 2 5 4 4 5" xfId="9342" xr:uid="{E0DD0CA6-5AE3-4518-B9E3-FAA7A93B6D10}"/>
    <cellStyle name="Normal 2 5 4 5" xfId="1226" xr:uid="{00000000-0005-0000-0000-000056110000}"/>
    <cellStyle name="Normal 2 5 4 5 2" xfId="3456" xr:uid="{00000000-0005-0000-0000-000057110000}"/>
    <cellStyle name="Normal 2 5 4 5 2 2" xfId="7679" xr:uid="{00000000-0005-0000-0000-000058110000}"/>
    <cellStyle name="Normal 2 5 4 5 2 2 2" xfId="24551" xr:uid="{56D36413-B52B-485B-A8DD-20403AA6BE58}"/>
    <cellStyle name="Normal 2 5 4 5 2 2 3" xfId="16117" xr:uid="{899FB8F0-DFE8-4615-B496-E0F6B2BD6E3F}"/>
    <cellStyle name="Normal 2 5 4 5 2 3" xfId="20334" xr:uid="{6C2B27D9-46C0-4293-8449-2C09EC1CCF61}"/>
    <cellStyle name="Normal 2 5 4 5 2 4" xfId="11900" xr:uid="{98A6656D-AB91-473E-A264-87964C2D11C1}"/>
    <cellStyle name="Normal 2 5 4 5 3" xfId="5534" xr:uid="{00000000-0005-0000-0000-000059110000}"/>
    <cellStyle name="Normal 2 5 4 5 3 2" xfId="22406" xr:uid="{6FD2D5AE-628D-4E38-9DC7-791E1D9C9C1F}"/>
    <cellStyle name="Normal 2 5 4 5 3 3" xfId="13972" xr:uid="{64858826-FF30-49AF-B2C3-7EDD02588655}"/>
    <cellStyle name="Normal 2 5 4 5 4" xfId="18189" xr:uid="{34A73FE0-3F57-411F-A6D0-D927062E55DA}"/>
    <cellStyle name="Normal 2 5 4 5 5" xfId="9755" xr:uid="{AF8D4795-D45F-48B6-8BB2-34F4D5A944ED}"/>
    <cellStyle name="Normal 2 5 4 6" xfId="1639" xr:uid="{00000000-0005-0000-0000-00005A110000}"/>
    <cellStyle name="Normal 2 5 4 6 2" xfId="3869" xr:uid="{00000000-0005-0000-0000-00005B110000}"/>
    <cellStyle name="Normal 2 5 4 6 2 2" xfId="8092" xr:uid="{00000000-0005-0000-0000-00005C110000}"/>
    <cellStyle name="Normal 2 5 4 6 2 2 2" xfId="24964" xr:uid="{06DC6E1F-B948-4766-96DF-F305F78D1DF1}"/>
    <cellStyle name="Normal 2 5 4 6 2 2 3" xfId="16530" xr:uid="{EBA71C4E-B0F8-4A45-9523-57CE9B685E71}"/>
    <cellStyle name="Normal 2 5 4 6 2 3" xfId="20747" xr:uid="{0B73CA80-C2C9-4D46-9BDC-6501A6ED4BCC}"/>
    <cellStyle name="Normal 2 5 4 6 2 4" xfId="12313" xr:uid="{ED8D7EDA-68E4-41CB-8B78-24BBC801F1C5}"/>
    <cellStyle name="Normal 2 5 4 6 3" xfId="5947" xr:uid="{00000000-0005-0000-0000-00005D110000}"/>
    <cellStyle name="Normal 2 5 4 6 3 2" xfId="22819" xr:uid="{1A2497C1-77F0-405B-A699-672F81916FA4}"/>
    <cellStyle name="Normal 2 5 4 6 3 3" xfId="14385" xr:uid="{253650E5-8B47-4C0C-A5D6-C7C0B326B423}"/>
    <cellStyle name="Normal 2 5 4 6 4" xfId="18602" xr:uid="{3682E19E-0ADF-42C8-B254-5AAD74DB2E16}"/>
    <cellStyle name="Normal 2 5 4 6 5" xfId="10168" xr:uid="{E2A38D8C-1E48-4B87-ABB4-DEF7157F5917}"/>
    <cellStyle name="Normal 2 5 4 7" xfId="2053" xr:uid="{00000000-0005-0000-0000-00005E110000}"/>
    <cellStyle name="Normal 2 5 4 7 2" xfId="4282" xr:uid="{00000000-0005-0000-0000-00005F110000}"/>
    <cellStyle name="Normal 2 5 4 7 2 2" xfId="8505" xr:uid="{00000000-0005-0000-0000-000060110000}"/>
    <cellStyle name="Normal 2 5 4 7 2 2 2" xfId="25377" xr:uid="{D46E4E83-E31A-45A7-B002-8DB70EA173AB}"/>
    <cellStyle name="Normal 2 5 4 7 2 2 3" xfId="16943" xr:uid="{A90C44D0-B90A-4294-9021-EC8989E0C836}"/>
    <cellStyle name="Normal 2 5 4 7 2 3" xfId="21160" xr:uid="{10C50A9F-3440-4783-B11F-169FE70077F6}"/>
    <cellStyle name="Normal 2 5 4 7 2 4" xfId="12726" xr:uid="{0CC1DF63-0738-4D0B-8333-F050E1E22950}"/>
    <cellStyle name="Normal 2 5 4 7 3" xfId="6360" xr:uid="{00000000-0005-0000-0000-000061110000}"/>
    <cellStyle name="Normal 2 5 4 7 3 2" xfId="23232" xr:uid="{A7751169-EDE8-4EB0-A407-2EF398F10CCC}"/>
    <cellStyle name="Normal 2 5 4 7 3 3" xfId="14798" xr:uid="{C0F016BA-3A7F-46AA-8B29-A0A358BFF61C}"/>
    <cellStyle name="Normal 2 5 4 7 4" xfId="19015" xr:uid="{648A7794-1C9B-408B-825F-9FC96AC0681F}"/>
    <cellStyle name="Normal 2 5 4 7 5" xfId="10581" xr:uid="{92AB8514-81FA-4EDA-9293-6AA2118AF286}"/>
    <cellStyle name="Normal 2 5 4 8" xfId="2489" xr:uid="{00000000-0005-0000-0000-000062110000}"/>
    <cellStyle name="Normal 2 5 4 8 2" xfId="6773" xr:uid="{00000000-0005-0000-0000-000063110000}"/>
    <cellStyle name="Normal 2 5 4 8 2 2" xfId="23645" xr:uid="{2945DFAC-8EB6-45F1-B903-FEE5D379F93B}"/>
    <cellStyle name="Normal 2 5 4 8 2 3" xfId="15211" xr:uid="{962AF0E3-B92A-47E0-B035-499BC53FFEE9}"/>
    <cellStyle name="Normal 2 5 4 8 3" xfId="19428" xr:uid="{BB48A68A-3B5A-43E7-BB01-4D5947EBCF4B}"/>
    <cellStyle name="Normal 2 5 4 8 4" xfId="10994" xr:uid="{F38EB5ED-C48E-447B-BCE3-C0B8AC507345}"/>
    <cellStyle name="Normal 2 5 4 9" xfId="4707" xr:uid="{00000000-0005-0000-0000-000064110000}"/>
    <cellStyle name="Normal 2 5 4 9 2" xfId="21579" xr:uid="{3E918E9F-D28F-4D7B-83DE-D3B55169ED95}"/>
    <cellStyle name="Normal 2 5 4 9 3" xfId="13145" xr:uid="{28323D5F-E25A-433B-8F07-BFEA670CBB40}"/>
    <cellStyle name="Normal 2 5 5" xfId="803" xr:uid="{00000000-0005-0000-0000-000065110000}"/>
    <cellStyle name="Normal 2 5 5 2" xfId="3042" xr:uid="{00000000-0005-0000-0000-000066110000}"/>
    <cellStyle name="Normal 2 5 5 2 2" xfId="7265" xr:uid="{00000000-0005-0000-0000-000067110000}"/>
    <cellStyle name="Normal 2 5 5 2 2 2" xfId="24137" xr:uid="{F2785D04-8B9E-453A-A8CA-44F1C41D69FA}"/>
    <cellStyle name="Normal 2 5 5 2 2 3" xfId="15703" xr:uid="{2BB34375-2700-4DA8-A80F-FFE0B15D1AB2}"/>
    <cellStyle name="Normal 2 5 5 2 3" xfId="19920" xr:uid="{99C1E53A-DDDE-4479-8CC8-AEF87A3B6428}"/>
    <cellStyle name="Normal 2 5 5 2 4" xfId="11486" xr:uid="{B0C26634-D394-4F0C-963E-18150AEBBC7A}"/>
    <cellStyle name="Normal 2 5 5 3" xfId="5120" xr:uid="{00000000-0005-0000-0000-000068110000}"/>
    <cellStyle name="Normal 2 5 5 3 2" xfId="21992" xr:uid="{7F92555F-B219-4984-AE40-00C82C5DEAC6}"/>
    <cellStyle name="Normal 2 5 5 3 3" xfId="13558" xr:uid="{6B614EAD-468C-49B8-B507-1D47BF3FE616}"/>
    <cellStyle name="Normal 2 5 5 4" xfId="17775" xr:uid="{FA2A7F51-D764-4C76-B241-3F94E01F4EB9}"/>
    <cellStyle name="Normal 2 5 5 5" xfId="9341" xr:uid="{7AC19955-6499-4037-83D8-332F4E0FA23B}"/>
    <cellStyle name="Normal 2 5 6" xfId="1225" xr:uid="{00000000-0005-0000-0000-000069110000}"/>
    <cellStyle name="Normal 2 5 6 2" xfId="3455" xr:uid="{00000000-0005-0000-0000-00006A110000}"/>
    <cellStyle name="Normal 2 5 6 2 2" xfId="7678" xr:uid="{00000000-0005-0000-0000-00006B110000}"/>
    <cellStyle name="Normal 2 5 6 2 2 2" xfId="24550" xr:uid="{86884D70-FA7B-49EE-83B8-9963F7E86088}"/>
    <cellStyle name="Normal 2 5 6 2 2 3" xfId="16116" xr:uid="{6C2E2820-8618-430E-B31D-EAC75C22A3AF}"/>
    <cellStyle name="Normal 2 5 6 2 3" xfId="20333" xr:uid="{DFD3324A-59A6-481E-B738-BD7E834C3B4F}"/>
    <cellStyle name="Normal 2 5 6 2 4" xfId="11899" xr:uid="{C11F46AB-6FDA-4493-A5B6-BDA04DC1ADA1}"/>
    <cellStyle name="Normal 2 5 6 3" xfId="5533" xr:uid="{00000000-0005-0000-0000-00006C110000}"/>
    <cellStyle name="Normal 2 5 6 3 2" xfId="22405" xr:uid="{E7D0C1D1-47D1-49B9-9543-84732A9F0417}"/>
    <cellStyle name="Normal 2 5 6 3 3" xfId="13971" xr:uid="{57C30CCB-2E35-4214-9C58-F555FCBB3E02}"/>
    <cellStyle name="Normal 2 5 6 4" xfId="18188" xr:uid="{F655709B-4EA7-4B75-856C-391B8899DD7F}"/>
    <cellStyle name="Normal 2 5 6 5" xfId="9754" xr:uid="{27247CDC-62B1-4C2A-91DD-2668FEA82B6E}"/>
    <cellStyle name="Normal 2 5 7" xfId="1638" xr:uid="{00000000-0005-0000-0000-00006D110000}"/>
    <cellStyle name="Normal 2 5 7 2" xfId="3868" xr:uid="{00000000-0005-0000-0000-00006E110000}"/>
    <cellStyle name="Normal 2 5 7 2 2" xfId="8091" xr:uid="{00000000-0005-0000-0000-00006F110000}"/>
    <cellStyle name="Normal 2 5 7 2 2 2" xfId="24963" xr:uid="{0AFA508E-E3D4-4A36-AC81-7195DE79EC6C}"/>
    <cellStyle name="Normal 2 5 7 2 2 3" xfId="16529" xr:uid="{C4CF4670-A4AE-4241-B455-36790B115CDC}"/>
    <cellStyle name="Normal 2 5 7 2 3" xfId="20746" xr:uid="{F2C1DA48-3BDF-4C0A-A9CC-9300D21D10F2}"/>
    <cellStyle name="Normal 2 5 7 2 4" xfId="12312" xr:uid="{A1239D51-5E86-4B12-84FD-60E25859E542}"/>
    <cellStyle name="Normal 2 5 7 3" xfId="5946" xr:uid="{00000000-0005-0000-0000-000070110000}"/>
    <cellStyle name="Normal 2 5 7 3 2" xfId="22818" xr:uid="{77F84352-921F-40CD-967E-9A0B1A64F18B}"/>
    <cellStyle name="Normal 2 5 7 3 3" xfId="14384" xr:uid="{A9683BEA-1226-43C2-8FF1-82867F046C4B}"/>
    <cellStyle name="Normal 2 5 7 4" xfId="18601" xr:uid="{59DDC34C-C1EC-445A-BD3D-1FF31F7CEB5F}"/>
    <cellStyle name="Normal 2 5 7 5" xfId="10167" xr:uid="{84EF4442-2BB9-4AAD-9323-50493F2588D2}"/>
    <cellStyle name="Normal 2 5 8" xfId="2052" xr:uid="{00000000-0005-0000-0000-000071110000}"/>
    <cellStyle name="Normal 2 5 8 2" xfId="4281" xr:uid="{00000000-0005-0000-0000-000072110000}"/>
    <cellStyle name="Normal 2 5 8 2 2" xfId="8504" xr:uid="{00000000-0005-0000-0000-000073110000}"/>
    <cellStyle name="Normal 2 5 8 2 2 2" xfId="25376" xr:uid="{EDDC3CB2-D615-4F9C-967F-65FCAE03B93D}"/>
    <cellStyle name="Normal 2 5 8 2 2 3" xfId="16942" xr:uid="{4A769AAD-23C3-4CC5-858D-F5CC994A280E}"/>
    <cellStyle name="Normal 2 5 8 2 3" xfId="21159" xr:uid="{0A1CE703-EA2B-46C3-B06B-68F60F6B5731}"/>
    <cellStyle name="Normal 2 5 8 2 4" xfId="12725" xr:uid="{D82C3BF1-8E3A-49A4-B8E1-1396BFE1F068}"/>
    <cellStyle name="Normal 2 5 8 3" xfId="6359" xr:uid="{00000000-0005-0000-0000-000074110000}"/>
    <cellStyle name="Normal 2 5 8 3 2" xfId="23231" xr:uid="{81DA90A4-3AB3-4925-9F39-B6B43BA0BB57}"/>
    <cellStyle name="Normal 2 5 8 3 3" xfId="14797" xr:uid="{8A459140-19E6-43F9-86EE-7CCC8AE3A533}"/>
    <cellStyle name="Normal 2 5 8 4" xfId="19014" xr:uid="{5998519A-583D-423E-8C01-058BF175AC7B}"/>
    <cellStyle name="Normal 2 5 8 5" xfId="10580" xr:uid="{B0834B42-9293-4247-9A68-150C11FAD142}"/>
    <cellStyle name="Normal 2 5 9" xfId="2488" xr:uid="{00000000-0005-0000-0000-000075110000}"/>
    <cellStyle name="Normal 2 5 9 2" xfId="6772" xr:uid="{00000000-0005-0000-0000-000076110000}"/>
    <cellStyle name="Normal 2 5 9 2 2" xfId="23644" xr:uid="{5DB36044-9C7F-4B97-B38A-25D76383B896}"/>
    <cellStyle name="Normal 2 5 9 2 3" xfId="15210" xr:uid="{B1A0E5FE-2DAF-4D3A-AF4B-3C9E040CC12D}"/>
    <cellStyle name="Normal 2 5 9 3" xfId="19427" xr:uid="{3D7E028E-7AA9-4B98-BD7E-208BFA6CCCBC}"/>
    <cellStyle name="Normal 2 5 9 4" xfId="10993" xr:uid="{DCE35E4A-A778-4578-8D00-5C8A6155E75C}"/>
    <cellStyle name="Normal 2 6" xfId="322" xr:uid="{00000000-0005-0000-0000-000077110000}"/>
    <cellStyle name="Normal 2 7" xfId="769" xr:uid="{00000000-0005-0000-0000-000078110000}"/>
    <cellStyle name="Normal 2 8" xfId="4495" xr:uid="{00000000-0005-0000-0000-000079110000}"/>
    <cellStyle name="Normal 2 8 2" xfId="8722" xr:uid="{2242429A-AF78-4CB3-88C0-EA0E1CE2B64B}"/>
    <cellStyle name="Normal 3" xfId="323" xr:uid="{00000000-0005-0000-0000-00007A110000}"/>
    <cellStyle name="Normal 3 2" xfId="324" xr:uid="{00000000-0005-0000-0000-00007B110000}"/>
    <cellStyle name="Normal 3 2 10" xfId="17366" xr:uid="{954DB064-59D2-4894-9D24-04C2E8AF7748}"/>
    <cellStyle name="Normal 3 2 11" xfId="8932" xr:uid="{E03EE4F3-977D-4848-9EC7-89E6B77D3EC2}"/>
    <cellStyle name="Normal 3 2 2" xfId="325" xr:uid="{00000000-0005-0000-0000-00007C110000}"/>
    <cellStyle name="Normal 3 2 2 2" xfId="810" xr:uid="{00000000-0005-0000-0000-00007D110000}"/>
    <cellStyle name="Normal 3 2 3" xfId="326" xr:uid="{00000000-0005-0000-0000-00007E110000}"/>
    <cellStyle name="Normal 3 2 3 10" xfId="17367" xr:uid="{6BAE488E-BD7F-497C-ABF0-081F554BCF6B}"/>
    <cellStyle name="Normal 3 2 3 11" xfId="8933" xr:uid="{0AD17E16-2C10-4B23-8FA5-278F9C1340A8}"/>
    <cellStyle name="Normal 3 2 3 2" xfId="327" xr:uid="{00000000-0005-0000-0000-00007F110000}"/>
    <cellStyle name="Normal 3 2 3 2 10" xfId="8934" xr:uid="{D7835C34-ABFD-47F0-9860-10E65636C93D}"/>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24145" xr:uid="{6F80BEB2-44DC-4E4C-8971-298C0D734D25}"/>
    <cellStyle name="Normal 3 2 3 2 2 2 2 2 3" xfId="15711" xr:uid="{CE732310-C6C2-4F48-BFD6-8D711F3CF24C}"/>
    <cellStyle name="Normal 3 2 3 2 2 2 2 3" xfId="19928" xr:uid="{6B2DCFB4-1499-40F5-ACD6-797E5EA665C1}"/>
    <cellStyle name="Normal 3 2 3 2 2 2 2 4" xfId="11494" xr:uid="{0971EB71-9215-47EA-8AF3-7E509BA84C36}"/>
    <cellStyle name="Normal 3 2 3 2 2 2 3" xfId="5128" xr:uid="{00000000-0005-0000-0000-000084110000}"/>
    <cellStyle name="Normal 3 2 3 2 2 2 3 2" xfId="22000" xr:uid="{DDBFD7CD-53BB-42F1-9094-4D259E31C1E5}"/>
    <cellStyle name="Normal 3 2 3 2 2 2 3 3" xfId="13566" xr:uid="{2C33BBFD-35B0-40F4-9AF8-48F13BCC7049}"/>
    <cellStyle name="Normal 3 2 3 2 2 2 4" xfId="17783" xr:uid="{5D4294C5-6335-4617-BFDA-FF4967788E1F}"/>
    <cellStyle name="Normal 3 2 3 2 2 2 5" xfId="9349" xr:uid="{07862849-71F2-4596-98D9-0797C394242F}"/>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24558" xr:uid="{358891ED-CC4C-40D5-99F7-417666E9528C}"/>
    <cellStyle name="Normal 3 2 3 2 2 3 2 2 3" xfId="16124" xr:uid="{30733285-E9C0-48F0-B4A8-83196819475F}"/>
    <cellStyle name="Normal 3 2 3 2 2 3 2 3" xfId="20341" xr:uid="{E016982C-95A6-4880-9DF6-9910DBAFE41A}"/>
    <cellStyle name="Normal 3 2 3 2 2 3 2 4" xfId="11907" xr:uid="{FB38A589-5752-4838-B6F5-629868706E2C}"/>
    <cellStyle name="Normal 3 2 3 2 2 3 3" xfId="5541" xr:uid="{00000000-0005-0000-0000-000088110000}"/>
    <cellStyle name="Normal 3 2 3 2 2 3 3 2" xfId="22413" xr:uid="{5A4282C6-92A9-4937-A723-3C4065235C85}"/>
    <cellStyle name="Normal 3 2 3 2 2 3 3 3" xfId="13979" xr:uid="{AB887B0E-6428-4A73-9EA8-9CE76F809E94}"/>
    <cellStyle name="Normal 3 2 3 2 2 3 4" xfId="18196" xr:uid="{DCDF8DEF-EB15-4A9A-8FBB-7F3E6E91B005}"/>
    <cellStyle name="Normal 3 2 3 2 2 3 5" xfId="9762" xr:uid="{4172022A-98D4-42EC-ABF2-42093FA82C34}"/>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24971" xr:uid="{CFFBEC9F-C34B-4F7E-9DE5-FCD97F1F673D}"/>
    <cellStyle name="Normal 3 2 3 2 2 4 2 2 3" xfId="16537" xr:uid="{901868E4-79FC-4C2B-ADDF-521AA54D1B90}"/>
    <cellStyle name="Normal 3 2 3 2 2 4 2 3" xfId="20754" xr:uid="{5C627347-6493-4B1B-9D07-5B68B1D5F4F2}"/>
    <cellStyle name="Normal 3 2 3 2 2 4 2 4" xfId="12320" xr:uid="{D66CE72C-5782-449A-B40D-669441C5311E}"/>
    <cellStyle name="Normal 3 2 3 2 2 4 3" xfId="5954" xr:uid="{00000000-0005-0000-0000-00008C110000}"/>
    <cellStyle name="Normal 3 2 3 2 2 4 3 2" xfId="22826" xr:uid="{0E810945-9334-469D-AC93-FE64510AB86B}"/>
    <cellStyle name="Normal 3 2 3 2 2 4 3 3" xfId="14392" xr:uid="{C3F1437C-7AEC-4CB0-8FBB-2F899678227E}"/>
    <cellStyle name="Normal 3 2 3 2 2 4 4" xfId="18609" xr:uid="{9713BEE9-9EC9-46F4-ACB6-493348422C8A}"/>
    <cellStyle name="Normal 3 2 3 2 2 4 5" xfId="10175" xr:uid="{84EAF83B-6E88-427D-A343-1288C512EF61}"/>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25384" xr:uid="{FE0EB8D1-20EA-4241-8318-014B8E63FBD4}"/>
    <cellStyle name="Normal 3 2 3 2 2 5 2 2 3" xfId="16950" xr:uid="{1153274A-0000-4F78-9F10-6547B9C02AD7}"/>
    <cellStyle name="Normal 3 2 3 2 2 5 2 3" xfId="21167" xr:uid="{80B558B5-03E3-4FFD-88A0-B97E63EA1504}"/>
    <cellStyle name="Normal 3 2 3 2 2 5 2 4" xfId="12733" xr:uid="{24262F88-FCA3-4D1B-B401-80DEBE25AE3E}"/>
    <cellStyle name="Normal 3 2 3 2 2 5 3" xfId="6367" xr:uid="{00000000-0005-0000-0000-000090110000}"/>
    <cellStyle name="Normal 3 2 3 2 2 5 3 2" xfId="23239" xr:uid="{48C7B1B1-1BF4-4ABA-B3BC-15A9918FE77A}"/>
    <cellStyle name="Normal 3 2 3 2 2 5 3 3" xfId="14805" xr:uid="{3C15EC92-4737-4685-9C8F-CD3DA336EAA7}"/>
    <cellStyle name="Normal 3 2 3 2 2 5 4" xfId="19022" xr:uid="{0A046052-EB4C-428C-9BA2-45272DB59E8E}"/>
    <cellStyle name="Normal 3 2 3 2 2 5 5" xfId="10588" xr:uid="{7D773B0F-84AD-4B0E-9748-F8428DAF2AB9}"/>
    <cellStyle name="Normal 3 2 3 2 2 6" xfId="2496" xr:uid="{00000000-0005-0000-0000-000091110000}"/>
    <cellStyle name="Normal 3 2 3 2 2 6 2" xfId="6780" xr:uid="{00000000-0005-0000-0000-000092110000}"/>
    <cellStyle name="Normal 3 2 3 2 2 6 2 2" xfId="23652" xr:uid="{07C534EA-2746-4210-B3EE-57D6E390EB96}"/>
    <cellStyle name="Normal 3 2 3 2 2 6 2 3" xfId="15218" xr:uid="{473BAF9B-C1D3-4A34-B4A6-7BFA1C46564E}"/>
    <cellStyle name="Normal 3 2 3 2 2 6 3" xfId="19435" xr:uid="{2AA0E6A4-FA32-4FF0-A746-F1F8271A5D94}"/>
    <cellStyle name="Normal 3 2 3 2 2 6 4" xfId="11001" xr:uid="{723FEF75-FAFF-4483-9761-CF12183C44CF}"/>
    <cellStyle name="Normal 3 2 3 2 2 7" xfId="4714" xr:uid="{00000000-0005-0000-0000-000093110000}"/>
    <cellStyle name="Normal 3 2 3 2 2 7 2" xfId="21586" xr:uid="{CEFE7E0C-FAC1-44BE-8762-221EE3F76AB9}"/>
    <cellStyle name="Normal 3 2 3 2 2 7 3" xfId="13152" xr:uid="{364E924D-998F-4E45-8554-B645ECBB6A98}"/>
    <cellStyle name="Normal 3 2 3 2 2 8" xfId="17369" xr:uid="{AFB9EC5E-FB6A-4C2E-9C4A-84553BACF8C3}"/>
    <cellStyle name="Normal 3 2 3 2 2 9" xfId="8935" xr:uid="{146842C2-5FEF-4012-BA70-538923A271B4}"/>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24144" xr:uid="{DA9E9483-7964-4011-8837-2CCC80E00F92}"/>
    <cellStyle name="Normal 3 2 3 2 3 2 2 3" xfId="15710" xr:uid="{F76F462A-A12B-42B1-A72C-9998F53CE053}"/>
    <cellStyle name="Normal 3 2 3 2 3 2 3" xfId="19927" xr:uid="{FF782C70-BA62-494B-88A2-E4A4D629E925}"/>
    <cellStyle name="Normal 3 2 3 2 3 2 4" xfId="11493" xr:uid="{393785EC-DD9B-46C5-99D7-5397943F9586}"/>
    <cellStyle name="Normal 3 2 3 2 3 3" xfId="5127" xr:uid="{00000000-0005-0000-0000-000097110000}"/>
    <cellStyle name="Normal 3 2 3 2 3 3 2" xfId="21999" xr:uid="{BC23DCDB-9738-4988-8931-FCCC807C26C8}"/>
    <cellStyle name="Normal 3 2 3 2 3 3 3" xfId="13565" xr:uid="{315CF964-A697-4E17-B3D7-7A981C41FA41}"/>
    <cellStyle name="Normal 3 2 3 2 3 4" xfId="17782" xr:uid="{2F865F2E-8ADB-4412-A888-B6558A08186D}"/>
    <cellStyle name="Normal 3 2 3 2 3 5" xfId="9348" xr:uid="{232F5A2C-E3FD-4C57-AB21-D5D39F7EBA27}"/>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24557" xr:uid="{64D19E6F-E823-417D-94F3-3A296FFD8062}"/>
    <cellStyle name="Normal 3 2 3 2 4 2 2 3" xfId="16123" xr:uid="{8E4BDE37-8232-4F2D-9DB7-E1ED4823C83B}"/>
    <cellStyle name="Normal 3 2 3 2 4 2 3" xfId="20340" xr:uid="{6EA9743E-40E2-492D-A07C-29201E5DCA61}"/>
    <cellStyle name="Normal 3 2 3 2 4 2 4" xfId="11906" xr:uid="{1F34EEB6-EE7D-483E-BB7B-6A0BCDEE9002}"/>
    <cellStyle name="Normal 3 2 3 2 4 3" xfId="5540" xr:uid="{00000000-0005-0000-0000-00009B110000}"/>
    <cellStyle name="Normal 3 2 3 2 4 3 2" xfId="22412" xr:uid="{68AE1976-CD07-4CC1-A3E5-5A20AA8ED256}"/>
    <cellStyle name="Normal 3 2 3 2 4 3 3" xfId="13978" xr:uid="{D09C569D-F191-488F-883C-018A1805B15F}"/>
    <cellStyle name="Normal 3 2 3 2 4 4" xfId="18195" xr:uid="{D4815CEC-E4BB-4769-AF13-3C1ED211B794}"/>
    <cellStyle name="Normal 3 2 3 2 4 5" xfId="9761" xr:uid="{DA975526-20C8-4C42-A8CB-32D5BFA9CEC8}"/>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24970" xr:uid="{29997729-CFBF-428C-A649-37368F53764E}"/>
    <cellStyle name="Normal 3 2 3 2 5 2 2 3" xfId="16536" xr:uid="{C34B6B2B-575B-4718-A8AF-AC53CA2E3F99}"/>
    <cellStyle name="Normal 3 2 3 2 5 2 3" xfId="20753" xr:uid="{2E75C201-6C78-4372-BB6B-6390A70268DD}"/>
    <cellStyle name="Normal 3 2 3 2 5 2 4" xfId="12319" xr:uid="{B94AF8A1-8890-4C28-A209-CF791A582871}"/>
    <cellStyle name="Normal 3 2 3 2 5 3" xfId="5953" xr:uid="{00000000-0005-0000-0000-00009F110000}"/>
    <cellStyle name="Normal 3 2 3 2 5 3 2" xfId="22825" xr:uid="{33BD7E3C-BDE4-4CC0-A3DF-E25BD0C96665}"/>
    <cellStyle name="Normal 3 2 3 2 5 3 3" xfId="14391" xr:uid="{72F1D2EF-507D-4AA2-AE0C-E02B7CDE3BB8}"/>
    <cellStyle name="Normal 3 2 3 2 5 4" xfId="18608" xr:uid="{B8109676-0960-4EC5-B7E6-861CBD7E5C77}"/>
    <cellStyle name="Normal 3 2 3 2 5 5" xfId="10174" xr:uid="{C4B6905D-B4A7-4C89-9ABC-1817D82EC604}"/>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25383" xr:uid="{1B648F10-FF6C-49E9-9F2B-2317DF753B31}"/>
    <cellStyle name="Normal 3 2 3 2 6 2 2 3" xfId="16949" xr:uid="{ABB54C21-90F6-46CC-B481-A17A7B924D28}"/>
    <cellStyle name="Normal 3 2 3 2 6 2 3" xfId="21166" xr:uid="{106AA311-666C-4B1F-B83A-78D473D93EBA}"/>
    <cellStyle name="Normal 3 2 3 2 6 2 4" xfId="12732" xr:uid="{2CC9EC63-89F6-47B4-83E0-C7EFA2BA03D5}"/>
    <cellStyle name="Normal 3 2 3 2 6 3" xfId="6366" xr:uid="{00000000-0005-0000-0000-0000A3110000}"/>
    <cellStyle name="Normal 3 2 3 2 6 3 2" xfId="23238" xr:uid="{D51B6EAD-74C5-4908-95B5-EDEFBAE63A04}"/>
    <cellStyle name="Normal 3 2 3 2 6 3 3" xfId="14804" xr:uid="{C0B9BC2F-B2A1-47BF-A49B-35D5AEF297E9}"/>
    <cellStyle name="Normal 3 2 3 2 6 4" xfId="19021" xr:uid="{A69F771E-1EFE-4C1D-9913-2170BC2AC576}"/>
    <cellStyle name="Normal 3 2 3 2 6 5" xfId="10587" xr:uid="{9BB19FEF-7111-4714-B763-E3E09558DF59}"/>
    <cellStyle name="Normal 3 2 3 2 7" xfId="2495" xr:uid="{00000000-0005-0000-0000-0000A4110000}"/>
    <cellStyle name="Normal 3 2 3 2 7 2" xfId="6779" xr:uid="{00000000-0005-0000-0000-0000A5110000}"/>
    <cellStyle name="Normal 3 2 3 2 7 2 2" xfId="23651" xr:uid="{7D04CC7E-9280-4B2C-BD5A-12FF1578F065}"/>
    <cellStyle name="Normal 3 2 3 2 7 2 3" xfId="15217" xr:uid="{B46BC3B0-5565-4F9C-B0CA-4C7B022F08DE}"/>
    <cellStyle name="Normal 3 2 3 2 7 3" xfId="19434" xr:uid="{C9E6D460-0A9A-44E0-A81F-DC3AAE94519A}"/>
    <cellStyle name="Normal 3 2 3 2 7 4" xfId="11000" xr:uid="{A4F8EDFB-29F0-4156-8D1A-20D6A77B7EA6}"/>
    <cellStyle name="Normal 3 2 3 2 8" xfId="4713" xr:uid="{00000000-0005-0000-0000-0000A6110000}"/>
    <cellStyle name="Normal 3 2 3 2 8 2" xfId="21585" xr:uid="{3D158CF5-A2D6-407F-9C4C-013D1F82C24F}"/>
    <cellStyle name="Normal 3 2 3 2 8 3" xfId="13151" xr:uid="{23DA159D-ED69-47E5-A7F6-A558A3101D46}"/>
    <cellStyle name="Normal 3 2 3 2 9" xfId="17368" xr:uid="{7BBD3BF2-E4BC-4F64-ADEC-C543DF681DE5}"/>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24146" xr:uid="{81721F39-7DC4-43A3-9B67-2ED00B554749}"/>
    <cellStyle name="Normal 3 2 3 3 2 2 2 3" xfId="15712" xr:uid="{5E795221-BE70-4E47-A627-A4322AD5E88A}"/>
    <cellStyle name="Normal 3 2 3 3 2 2 3" xfId="19929" xr:uid="{7F3B6085-1965-47C6-B7CA-40BE62AC1C58}"/>
    <cellStyle name="Normal 3 2 3 3 2 2 4" xfId="11495" xr:uid="{B0D7A187-A428-4459-A96F-C52E76176065}"/>
    <cellStyle name="Normal 3 2 3 3 2 3" xfId="5129" xr:uid="{00000000-0005-0000-0000-0000AB110000}"/>
    <cellStyle name="Normal 3 2 3 3 2 3 2" xfId="22001" xr:uid="{C201C20A-11C5-4463-94C3-6911B28A18DC}"/>
    <cellStyle name="Normal 3 2 3 3 2 3 3" xfId="13567" xr:uid="{C0827BAD-30BB-4BCA-9CD1-7AFEB3C266CE}"/>
    <cellStyle name="Normal 3 2 3 3 2 4" xfId="17784" xr:uid="{10497D32-B671-4A5C-92C4-188366C3D85D}"/>
    <cellStyle name="Normal 3 2 3 3 2 5" xfId="9350" xr:uid="{97F75C5D-59A9-4207-8921-BBC3C94C7E85}"/>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24559" xr:uid="{02A9237C-A4BE-4050-A06F-155F155E8E5F}"/>
    <cellStyle name="Normal 3 2 3 3 3 2 2 3" xfId="16125" xr:uid="{6E95EA5B-D9DE-456C-991C-CB73ECB5C085}"/>
    <cellStyle name="Normal 3 2 3 3 3 2 3" xfId="20342" xr:uid="{77D958CC-763F-4B1E-9624-72D6F8491B6D}"/>
    <cellStyle name="Normal 3 2 3 3 3 2 4" xfId="11908" xr:uid="{EE308358-2D33-4E26-AE9F-88A839896916}"/>
    <cellStyle name="Normal 3 2 3 3 3 3" xfId="5542" xr:uid="{00000000-0005-0000-0000-0000AF110000}"/>
    <cellStyle name="Normal 3 2 3 3 3 3 2" xfId="22414" xr:uid="{CE95288F-0D98-40DB-9D7D-80D46E7D1453}"/>
    <cellStyle name="Normal 3 2 3 3 3 3 3" xfId="13980" xr:uid="{2D9F1413-D530-4C0B-BCB4-44A3B978CD67}"/>
    <cellStyle name="Normal 3 2 3 3 3 4" xfId="18197" xr:uid="{5B127247-E7F2-4CB1-A6DA-18712ED56ACB}"/>
    <cellStyle name="Normal 3 2 3 3 3 5" xfId="9763" xr:uid="{01B87DA2-67C3-4E94-8856-6B976132AC04}"/>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24972" xr:uid="{BA50E9A4-60AF-4C00-9125-E6EC2189D062}"/>
    <cellStyle name="Normal 3 2 3 3 4 2 2 3" xfId="16538" xr:uid="{A783AA94-0479-4A05-B3BF-35AB2379069C}"/>
    <cellStyle name="Normal 3 2 3 3 4 2 3" xfId="20755" xr:uid="{A40087AF-D7D3-4246-80AF-29BA2D5CAA6D}"/>
    <cellStyle name="Normal 3 2 3 3 4 2 4" xfId="12321" xr:uid="{78E1081F-4A50-4FB9-93A9-DC55DDDA9F85}"/>
    <cellStyle name="Normal 3 2 3 3 4 3" xfId="5955" xr:uid="{00000000-0005-0000-0000-0000B3110000}"/>
    <cellStyle name="Normal 3 2 3 3 4 3 2" xfId="22827" xr:uid="{254D065B-4126-428E-BB13-45781B56542F}"/>
    <cellStyle name="Normal 3 2 3 3 4 3 3" xfId="14393" xr:uid="{01735C44-DDD4-448F-8834-A9B2854697FF}"/>
    <cellStyle name="Normal 3 2 3 3 4 4" xfId="18610" xr:uid="{3BEDBADA-CBCD-4FE1-9B3E-9005A7F9086D}"/>
    <cellStyle name="Normal 3 2 3 3 4 5" xfId="10176" xr:uid="{E859CFE3-4790-4B97-8CAF-2E06744E1B31}"/>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25385" xr:uid="{2CB72981-C3CD-4527-AE30-E1EF80983575}"/>
    <cellStyle name="Normal 3 2 3 3 5 2 2 3" xfId="16951" xr:uid="{3EAD207A-CE8A-4D67-9059-79686233B431}"/>
    <cellStyle name="Normal 3 2 3 3 5 2 3" xfId="21168" xr:uid="{B6CD457D-356D-4764-B94F-033E6DAE727D}"/>
    <cellStyle name="Normal 3 2 3 3 5 2 4" xfId="12734" xr:uid="{6108192B-06ED-4AF5-9531-9BF0720EF78C}"/>
    <cellStyle name="Normal 3 2 3 3 5 3" xfId="6368" xr:uid="{00000000-0005-0000-0000-0000B7110000}"/>
    <cellStyle name="Normal 3 2 3 3 5 3 2" xfId="23240" xr:uid="{7C3183AE-A461-45DF-92B9-8B55E9032057}"/>
    <cellStyle name="Normal 3 2 3 3 5 3 3" xfId="14806" xr:uid="{D1032144-F81B-4CD4-9408-0EF0A7E57781}"/>
    <cellStyle name="Normal 3 2 3 3 5 4" xfId="19023" xr:uid="{E8BDC62D-3B58-4D78-8C71-D987E2F510A6}"/>
    <cellStyle name="Normal 3 2 3 3 5 5" xfId="10589" xr:uid="{667F35E1-7005-4FAB-B409-60CDEC46A9E9}"/>
    <cellStyle name="Normal 3 2 3 3 6" xfId="2497" xr:uid="{00000000-0005-0000-0000-0000B8110000}"/>
    <cellStyle name="Normal 3 2 3 3 6 2" xfId="6781" xr:uid="{00000000-0005-0000-0000-0000B9110000}"/>
    <cellStyle name="Normal 3 2 3 3 6 2 2" xfId="23653" xr:uid="{085C13F7-26FA-4153-8744-C23E06100742}"/>
    <cellStyle name="Normal 3 2 3 3 6 2 3" xfId="15219" xr:uid="{7DF4C3C4-6E63-4F6A-9FB8-385F1C616368}"/>
    <cellStyle name="Normal 3 2 3 3 6 3" xfId="19436" xr:uid="{6837FECB-B2D1-4DF8-8B1B-6E18E7326CBC}"/>
    <cellStyle name="Normal 3 2 3 3 6 4" xfId="11002" xr:uid="{1E72CA8E-11F8-4775-8494-9E443016514D}"/>
    <cellStyle name="Normal 3 2 3 3 7" xfId="4715" xr:uid="{00000000-0005-0000-0000-0000BA110000}"/>
    <cellStyle name="Normal 3 2 3 3 7 2" xfId="21587" xr:uid="{746F9639-98CD-476A-8EEB-0258834AA529}"/>
    <cellStyle name="Normal 3 2 3 3 7 3" xfId="13153" xr:uid="{3B73490C-FD72-4BDC-9232-D19935655328}"/>
    <cellStyle name="Normal 3 2 3 3 8" xfId="17370" xr:uid="{7BECBA4C-C20C-40A6-B7DB-C9249C6F09A5}"/>
    <cellStyle name="Normal 3 2 3 3 9" xfId="8936" xr:uid="{9466EB44-4793-43A5-A0F4-5ED39FDA50A1}"/>
    <cellStyle name="Normal 3 2 3 4" xfId="811" xr:uid="{00000000-0005-0000-0000-0000BB110000}"/>
    <cellStyle name="Normal 3 2 3 4 2" xfId="3048" xr:uid="{00000000-0005-0000-0000-0000BC110000}"/>
    <cellStyle name="Normal 3 2 3 4 2 2" xfId="7271" xr:uid="{00000000-0005-0000-0000-0000BD110000}"/>
    <cellStyle name="Normal 3 2 3 4 2 2 2" xfId="24143" xr:uid="{6DC0FC30-6588-43B2-AECC-BFDC3CF24114}"/>
    <cellStyle name="Normal 3 2 3 4 2 2 3" xfId="15709" xr:uid="{D11E0137-3E3E-4F41-B228-DFAE9C27E8B4}"/>
    <cellStyle name="Normal 3 2 3 4 2 3" xfId="19926" xr:uid="{7B86CFEC-33A9-4BC4-A8F3-F37754ED0C27}"/>
    <cellStyle name="Normal 3 2 3 4 2 4" xfId="11492" xr:uid="{116ED360-BF04-4532-99CC-712C989594E8}"/>
    <cellStyle name="Normal 3 2 3 4 3" xfId="5126" xr:uid="{00000000-0005-0000-0000-0000BE110000}"/>
    <cellStyle name="Normal 3 2 3 4 3 2" xfId="21998" xr:uid="{52755DCC-1EB5-48F7-BFAE-1B5F0135896F}"/>
    <cellStyle name="Normal 3 2 3 4 3 3" xfId="13564" xr:uid="{1EF10748-3411-4923-BD20-4BED9402F85D}"/>
    <cellStyle name="Normal 3 2 3 4 4" xfId="17781" xr:uid="{B12794BD-386D-412A-AB14-7BB529227150}"/>
    <cellStyle name="Normal 3 2 3 4 5" xfId="9347" xr:uid="{BFA2421F-C439-4348-929A-87B7228D7C8A}"/>
    <cellStyle name="Normal 3 2 3 5" xfId="1231" xr:uid="{00000000-0005-0000-0000-0000BF110000}"/>
    <cellStyle name="Normal 3 2 3 5 2" xfId="3461" xr:uid="{00000000-0005-0000-0000-0000C0110000}"/>
    <cellStyle name="Normal 3 2 3 5 2 2" xfId="7684" xr:uid="{00000000-0005-0000-0000-0000C1110000}"/>
    <cellStyle name="Normal 3 2 3 5 2 2 2" xfId="24556" xr:uid="{A48CA766-DD6C-469D-9146-29D9F9DA862D}"/>
    <cellStyle name="Normal 3 2 3 5 2 2 3" xfId="16122" xr:uid="{82C3A9B9-4E04-4467-BFA1-5EE6B26C614B}"/>
    <cellStyle name="Normal 3 2 3 5 2 3" xfId="20339" xr:uid="{4C1A9FD0-2D8E-4CBC-B165-7429FD27F1DC}"/>
    <cellStyle name="Normal 3 2 3 5 2 4" xfId="11905" xr:uid="{73487F8B-2A1F-4CB9-ACD1-FD341494C1AF}"/>
    <cellStyle name="Normal 3 2 3 5 3" xfId="5539" xr:uid="{00000000-0005-0000-0000-0000C2110000}"/>
    <cellStyle name="Normal 3 2 3 5 3 2" xfId="22411" xr:uid="{AB9024F0-0EE9-46E2-9971-71FC3D3EEFBF}"/>
    <cellStyle name="Normal 3 2 3 5 3 3" xfId="13977" xr:uid="{006A090E-23B5-436B-8789-31870AD8DE54}"/>
    <cellStyle name="Normal 3 2 3 5 4" xfId="18194" xr:uid="{3A7F33A6-E38F-42FD-8E82-1DA59B2837E1}"/>
    <cellStyle name="Normal 3 2 3 5 5" xfId="9760" xr:uid="{E84B31F0-BDCA-49CC-A227-1F6D62B74184}"/>
    <cellStyle name="Normal 3 2 3 6" xfId="1644" xr:uid="{00000000-0005-0000-0000-0000C3110000}"/>
    <cellStyle name="Normal 3 2 3 6 2" xfId="3874" xr:uid="{00000000-0005-0000-0000-0000C4110000}"/>
    <cellStyle name="Normal 3 2 3 6 2 2" xfId="8097" xr:uid="{00000000-0005-0000-0000-0000C5110000}"/>
    <cellStyle name="Normal 3 2 3 6 2 2 2" xfId="24969" xr:uid="{A8D85AE9-6364-4167-927D-7EBF9F929B0A}"/>
    <cellStyle name="Normal 3 2 3 6 2 2 3" xfId="16535" xr:uid="{6498D105-EFF8-416A-A010-099A78980805}"/>
    <cellStyle name="Normal 3 2 3 6 2 3" xfId="20752" xr:uid="{C0662A69-B433-4FCB-88ED-4764577D03A2}"/>
    <cellStyle name="Normal 3 2 3 6 2 4" xfId="12318" xr:uid="{2ED255C6-CEC9-476D-B62C-8D06D340B5B6}"/>
    <cellStyle name="Normal 3 2 3 6 3" xfId="5952" xr:uid="{00000000-0005-0000-0000-0000C6110000}"/>
    <cellStyle name="Normal 3 2 3 6 3 2" xfId="22824" xr:uid="{0CB06DCD-466E-4FA6-B716-F5B15FC0F549}"/>
    <cellStyle name="Normal 3 2 3 6 3 3" xfId="14390" xr:uid="{7D9B9DC2-B334-4AFB-83F6-1DBFB60C7678}"/>
    <cellStyle name="Normal 3 2 3 6 4" xfId="18607" xr:uid="{9A3BB15E-AB81-4DEA-8BF3-FAADFF1DF613}"/>
    <cellStyle name="Normal 3 2 3 6 5" xfId="10173" xr:uid="{87BA7E3F-B708-4E3B-976D-894E9182779C}"/>
    <cellStyle name="Normal 3 2 3 7" xfId="2058" xr:uid="{00000000-0005-0000-0000-0000C7110000}"/>
    <cellStyle name="Normal 3 2 3 7 2" xfId="4287" xr:uid="{00000000-0005-0000-0000-0000C8110000}"/>
    <cellStyle name="Normal 3 2 3 7 2 2" xfId="8510" xr:uid="{00000000-0005-0000-0000-0000C9110000}"/>
    <cellStyle name="Normal 3 2 3 7 2 2 2" xfId="25382" xr:uid="{C038558B-97FF-4929-812F-9AD95B98395C}"/>
    <cellStyle name="Normal 3 2 3 7 2 2 3" xfId="16948" xr:uid="{DB59E3D1-542D-4803-8409-3F7482406D22}"/>
    <cellStyle name="Normal 3 2 3 7 2 3" xfId="21165" xr:uid="{34177B6B-B8FF-4DDE-BA5E-AFEEF05EC27D}"/>
    <cellStyle name="Normal 3 2 3 7 2 4" xfId="12731" xr:uid="{7F279C62-4A66-41D5-BC12-99CAD3F66A46}"/>
    <cellStyle name="Normal 3 2 3 7 3" xfId="6365" xr:uid="{00000000-0005-0000-0000-0000CA110000}"/>
    <cellStyle name="Normal 3 2 3 7 3 2" xfId="23237" xr:uid="{BC6031AE-654A-4711-8034-282DE5856AC4}"/>
    <cellStyle name="Normal 3 2 3 7 3 3" xfId="14803" xr:uid="{EB9F6F0E-1A71-4CD2-B043-F9D1A86D4F5C}"/>
    <cellStyle name="Normal 3 2 3 7 4" xfId="19020" xr:uid="{5A864CF5-1886-493B-9C05-EA2F373600E9}"/>
    <cellStyle name="Normal 3 2 3 7 5" xfId="10586" xr:uid="{203A2E24-4208-4AEC-A8B5-763487979051}"/>
    <cellStyle name="Normal 3 2 3 8" xfId="2494" xr:uid="{00000000-0005-0000-0000-0000CB110000}"/>
    <cellStyle name="Normal 3 2 3 8 2" xfId="6778" xr:uid="{00000000-0005-0000-0000-0000CC110000}"/>
    <cellStyle name="Normal 3 2 3 8 2 2" xfId="23650" xr:uid="{EB329E10-EE2F-4530-A618-87DA5D89349B}"/>
    <cellStyle name="Normal 3 2 3 8 2 3" xfId="15216" xr:uid="{99F740CC-3BD6-4984-BDBC-B70D8701A994}"/>
    <cellStyle name="Normal 3 2 3 8 3" xfId="19433" xr:uid="{AAB0F98A-CC7D-4609-A7C9-F7979D70C763}"/>
    <cellStyle name="Normal 3 2 3 8 4" xfId="10999" xr:uid="{6F7B19C3-2553-4723-9761-00541BA4119F}"/>
    <cellStyle name="Normal 3 2 3 9" xfId="4712" xr:uid="{00000000-0005-0000-0000-0000CD110000}"/>
    <cellStyle name="Normal 3 2 3 9 2" xfId="21584" xr:uid="{A06C55D4-6306-4E02-8A9C-984F7D7345C3}"/>
    <cellStyle name="Normal 3 2 3 9 3" xfId="13150" xr:uid="{1D526575-2CC0-401B-BE95-64FDFE268EA2}"/>
    <cellStyle name="Normal 3 2 4" xfId="809" xr:uid="{00000000-0005-0000-0000-0000CE110000}"/>
    <cellStyle name="Normal 3 2 4 2" xfId="3047" xr:uid="{00000000-0005-0000-0000-0000CF110000}"/>
    <cellStyle name="Normal 3 2 4 2 2" xfId="7270" xr:uid="{00000000-0005-0000-0000-0000D0110000}"/>
    <cellStyle name="Normal 3 2 4 2 2 2" xfId="24142" xr:uid="{EB0B1C39-3839-45C9-9F4D-EDB5DD569880}"/>
    <cellStyle name="Normal 3 2 4 2 2 3" xfId="15708" xr:uid="{08400739-9792-4F15-BD9D-B2CA99D09D16}"/>
    <cellStyle name="Normal 3 2 4 2 3" xfId="19925" xr:uid="{0A243763-7547-49FF-BDC6-BBFB0CDF6901}"/>
    <cellStyle name="Normal 3 2 4 2 4" xfId="11491" xr:uid="{0603C475-8FF4-4720-A005-048DF7146E40}"/>
    <cellStyle name="Normal 3 2 4 3" xfId="5125" xr:uid="{00000000-0005-0000-0000-0000D1110000}"/>
    <cellStyle name="Normal 3 2 4 3 2" xfId="21997" xr:uid="{4BF35CD3-A759-4125-9617-654B3325975A}"/>
    <cellStyle name="Normal 3 2 4 3 3" xfId="13563" xr:uid="{576DE8DF-036A-4234-8B98-75C5A78F2306}"/>
    <cellStyle name="Normal 3 2 4 4" xfId="17780" xr:uid="{A977FBA0-CBB1-4F4C-A844-929E5D62E0DC}"/>
    <cellStyle name="Normal 3 2 4 5" xfId="9346" xr:uid="{5E08C9A6-FD3C-4C50-A21F-C8D78FA2E8D9}"/>
    <cellStyle name="Normal 3 2 5" xfId="1230" xr:uid="{00000000-0005-0000-0000-0000D2110000}"/>
    <cellStyle name="Normal 3 2 5 2" xfId="3460" xr:uid="{00000000-0005-0000-0000-0000D3110000}"/>
    <cellStyle name="Normal 3 2 5 2 2" xfId="7683" xr:uid="{00000000-0005-0000-0000-0000D4110000}"/>
    <cellStyle name="Normal 3 2 5 2 2 2" xfId="24555" xr:uid="{9A334B4C-DAA1-4C9F-95A1-E65A20C6F816}"/>
    <cellStyle name="Normal 3 2 5 2 2 3" xfId="16121" xr:uid="{A18EFF13-6F7F-4F21-A93B-9534F49E650A}"/>
    <cellStyle name="Normal 3 2 5 2 3" xfId="20338" xr:uid="{4B736ABC-F8F1-40A5-AE18-4B3032F0D8CE}"/>
    <cellStyle name="Normal 3 2 5 2 4" xfId="11904" xr:uid="{FCAA9866-5E00-473D-AAC5-343800C3D46E}"/>
    <cellStyle name="Normal 3 2 5 3" xfId="5538" xr:uid="{00000000-0005-0000-0000-0000D5110000}"/>
    <cellStyle name="Normal 3 2 5 3 2" xfId="22410" xr:uid="{542A2068-C6AB-41BA-A48B-76CDE5E520F1}"/>
    <cellStyle name="Normal 3 2 5 3 3" xfId="13976" xr:uid="{ECF90EAF-198E-4FC3-AD93-A22B3A08AB3C}"/>
    <cellStyle name="Normal 3 2 5 4" xfId="18193" xr:uid="{C33A7891-1AAD-4BE6-AA1E-19C7DD2C0B1B}"/>
    <cellStyle name="Normal 3 2 5 5" xfId="9759" xr:uid="{E2CD4D46-A8B3-4229-955F-2D6F04339622}"/>
    <cellStyle name="Normal 3 2 6" xfId="1643" xr:uid="{00000000-0005-0000-0000-0000D6110000}"/>
    <cellStyle name="Normal 3 2 6 2" xfId="3873" xr:uid="{00000000-0005-0000-0000-0000D7110000}"/>
    <cellStyle name="Normal 3 2 6 2 2" xfId="8096" xr:uid="{00000000-0005-0000-0000-0000D8110000}"/>
    <cellStyle name="Normal 3 2 6 2 2 2" xfId="24968" xr:uid="{F3C92343-08D6-434E-8838-B8701432E125}"/>
    <cellStyle name="Normal 3 2 6 2 2 3" xfId="16534" xr:uid="{A2B5E197-B6F8-4426-9EFA-A8F839B10E5F}"/>
    <cellStyle name="Normal 3 2 6 2 3" xfId="20751" xr:uid="{D3213411-1C41-4F36-8EC8-593EA844CCE6}"/>
    <cellStyle name="Normal 3 2 6 2 4" xfId="12317" xr:uid="{B8D81549-51DF-4D87-B878-CA37915E81ED}"/>
    <cellStyle name="Normal 3 2 6 3" xfId="5951" xr:uid="{00000000-0005-0000-0000-0000D9110000}"/>
    <cellStyle name="Normal 3 2 6 3 2" xfId="22823" xr:uid="{4497D324-608B-40A6-80E2-B4F2D14518DA}"/>
    <cellStyle name="Normal 3 2 6 3 3" xfId="14389" xr:uid="{BEA3558C-57AD-46A4-9342-5A20D099321F}"/>
    <cellStyle name="Normal 3 2 6 4" xfId="18606" xr:uid="{B593FB93-AA36-450D-BBDA-FB1ECD0196CB}"/>
    <cellStyle name="Normal 3 2 6 5" xfId="10172" xr:uid="{A5F7FA18-9938-471F-9D41-298146747F47}"/>
    <cellStyle name="Normal 3 2 7" xfId="2057" xr:uid="{00000000-0005-0000-0000-0000DA110000}"/>
    <cellStyle name="Normal 3 2 7 2" xfId="4286" xr:uid="{00000000-0005-0000-0000-0000DB110000}"/>
    <cellStyle name="Normal 3 2 7 2 2" xfId="8509" xr:uid="{00000000-0005-0000-0000-0000DC110000}"/>
    <cellStyle name="Normal 3 2 7 2 2 2" xfId="25381" xr:uid="{D0424DA6-37BB-4904-8F53-04CA1F74D19C}"/>
    <cellStyle name="Normal 3 2 7 2 2 3" xfId="16947" xr:uid="{80267D48-BCA5-472D-84F7-BD35A6DB5C3D}"/>
    <cellStyle name="Normal 3 2 7 2 3" xfId="21164" xr:uid="{6003D9E8-1CF4-4E7D-934C-99FFC9BCBC71}"/>
    <cellStyle name="Normal 3 2 7 2 4" xfId="12730" xr:uid="{ADF2FDCE-CD03-4709-8C70-95F75CB957CE}"/>
    <cellStyle name="Normal 3 2 7 3" xfId="6364" xr:uid="{00000000-0005-0000-0000-0000DD110000}"/>
    <cellStyle name="Normal 3 2 7 3 2" xfId="23236" xr:uid="{158DD7C9-2972-462C-9255-727921BFDA4D}"/>
    <cellStyle name="Normal 3 2 7 3 3" xfId="14802" xr:uid="{3BE384F5-FFB5-456E-9597-BE71E1B53C8A}"/>
    <cellStyle name="Normal 3 2 7 4" xfId="19019" xr:uid="{CA1083E8-B888-4BB3-93B5-950258FD34A0}"/>
    <cellStyle name="Normal 3 2 7 5" xfId="10585" xr:uid="{34021CD4-A693-404A-B718-66D75415A5BC}"/>
    <cellStyle name="Normal 3 2 8" xfId="2493" xr:uid="{00000000-0005-0000-0000-0000DE110000}"/>
    <cellStyle name="Normal 3 2 8 2" xfId="6777" xr:uid="{00000000-0005-0000-0000-0000DF110000}"/>
    <cellStyle name="Normal 3 2 8 2 2" xfId="23649" xr:uid="{9B09CC1A-2224-4795-B794-1E8AC1DBA93F}"/>
    <cellStyle name="Normal 3 2 8 2 3" xfId="15215" xr:uid="{113A8354-F88E-4C05-A2B6-5E724EDD1B8A}"/>
    <cellStyle name="Normal 3 2 8 3" xfId="19432" xr:uid="{2A037953-7BA8-47F4-8E37-65CE88E35DFB}"/>
    <cellStyle name="Normal 3 2 8 4" xfId="10998" xr:uid="{51FD3D2B-15BA-49D6-8D2A-DC749A9EED35}"/>
    <cellStyle name="Normal 3 2 9" xfId="4711" xr:uid="{00000000-0005-0000-0000-0000E0110000}"/>
    <cellStyle name="Normal 3 2 9 2" xfId="21583" xr:uid="{284CF4E9-B7C9-4842-BC94-CD900CE0BA45}"/>
    <cellStyle name="Normal 3 2 9 3" xfId="13149" xr:uid="{7111F999-08A2-410B-A5C7-F558B5A88C7C}"/>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7371" xr:uid="{CB5A8683-5722-4718-97B5-92BE32A2B57D}"/>
    <cellStyle name="Normal 4 11" xfId="8937" xr:uid="{E4AEA40A-2B17-424B-A294-9A113CB0B6B9}"/>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25386" xr:uid="{64F4EF5D-7493-4F0D-9E97-0BB1050631AC}"/>
    <cellStyle name="Normal 4 2 2 10 2 2 3" xfId="16952" xr:uid="{8FF046D8-9A6B-4936-8473-02B0767837E9}"/>
    <cellStyle name="Normal 4 2 2 10 2 3" xfId="21169" xr:uid="{70D816E4-DA34-4AD8-93E3-4CC78387B286}"/>
    <cellStyle name="Normal 4 2 2 10 2 4" xfId="12735" xr:uid="{90939BED-6F7F-4BC0-AABF-B7802DF16715}"/>
    <cellStyle name="Normal 4 2 2 10 3" xfId="6369" xr:uid="{00000000-0005-0000-0000-0000ED110000}"/>
    <cellStyle name="Normal 4 2 2 10 3 2" xfId="23241" xr:uid="{42CF850D-9E1C-42C4-B063-CDE6A3FC7B13}"/>
    <cellStyle name="Normal 4 2 2 10 3 3" xfId="14807" xr:uid="{6A33A65D-605C-49DA-8362-7BBE374AAADF}"/>
    <cellStyle name="Normal 4 2 2 10 4" xfId="19024" xr:uid="{59276EF1-3473-4EDC-949D-01F2FB3E897B}"/>
    <cellStyle name="Normal 4 2 2 10 5" xfId="10590" xr:uid="{EC7C852F-1A1F-4304-BD6B-E7E679A7F5CE}"/>
    <cellStyle name="Normal 4 2 2 11" xfId="2498" xr:uid="{00000000-0005-0000-0000-0000EE110000}"/>
    <cellStyle name="Normal 4 2 2 11 2" xfId="6782" xr:uid="{00000000-0005-0000-0000-0000EF110000}"/>
    <cellStyle name="Normal 4 2 2 11 2 2" xfId="23654" xr:uid="{A226B5D1-5035-4776-9374-240E92861A7B}"/>
    <cellStyle name="Normal 4 2 2 11 2 3" xfId="15220" xr:uid="{4171B448-3978-4BEA-9638-6D36983608BE}"/>
    <cellStyle name="Normal 4 2 2 11 3" xfId="19437" xr:uid="{72563EAA-0879-4BDE-A97C-0324891AE00B}"/>
    <cellStyle name="Normal 4 2 2 11 4" xfId="11003" xr:uid="{9498B46C-25A8-4BA6-A809-70882F0765BD}"/>
    <cellStyle name="Normal 4 2 2 12" xfId="4717" xr:uid="{00000000-0005-0000-0000-0000F0110000}"/>
    <cellStyle name="Normal 4 2 2 12 2" xfId="21589" xr:uid="{73E97C5B-ABCE-4B37-8A31-244692F49D6C}"/>
    <cellStyle name="Normal 4 2 2 12 3" xfId="13155" xr:uid="{BB2D6553-B1CA-4469-B71B-91B3453DBB1C}"/>
    <cellStyle name="Normal 4 2 2 13" xfId="17372" xr:uid="{BAD2D251-B18A-4991-BCE0-90998AF82120}"/>
    <cellStyle name="Normal 4 2 2 14" xfId="8938" xr:uid="{AD54F77C-0D96-403C-AB62-A66F37AE84D2}"/>
    <cellStyle name="Normal 4 2 2 2" xfId="338" xr:uid="{00000000-0005-0000-0000-0000F1110000}"/>
    <cellStyle name="Normal 4 2 2 3" xfId="339" xr:uid="{00000000-0005-0000-0000-0000F2110000}"/>
    <cellStyle name="Normal 4 2 2 3 10" xfId="4718" xr:uid="{00000000-0005-0000-0000-0000F3110000}"/>
    <cellStyle name="Normal 4 2 2 3 10 2" xfId="21590" xr:uid="{5C4A4D09-8D7D-4622-B026-2EB70CDC91A1}"/>
    <cellStyle name="Normal 4 2 2 3 10 3" xfId="13156" xr:uid="{F1C019B0-C275-49DE-ADAC-697CE011F345}"/>
    <cellStyle name="Normal 4 2 2 3 11" xfId="17373" xr:uid="{7264ABE8-4084-4EAA-8C0D-30083CB50DFA}"/>
    <cellStyle name="Normal 4 2 2 3 12" xfId="8939" xr:uid="{03452182-64CB-436F-9DBD-9C3890344D42}"/>
    <cellStyle name="Normal 4 2 2 3 2" xfId="340" xr:uid="{00000000-0005-0000-0000-0000F4110000}"/>
    <cellStyle name="Normal 4 2 2 3 2 10" xfId="17374" xr:uid="{276BD029-1334-48E0-BD74-8B9A42C615EF}"/>
    <cellStyle name="Normal 4 2 2 3 2 11" xfId="8940" xr:uid="{AEC329C3-C121-446A-9A38-215A9F541427}"/>
    <cellStyle name="Normal 4 2 2 3 2 2" xfId="341" xr:uid="{00000000-0005-0000-0000-0000F5110000}"/>
    <cellStyle name="Normal 4 2 2 3 2 2 10" xfId="8941" xr:uid="{556FBEC4-1787-44D8-94AC-E082BF46AA6A}"/>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24151" xr:uid="{4D8C29ED-9590-4F41-808D-94E2C3386432}"/>
    <cellStyle name="Normal 4 2 2 3 2 2 2 2 2 2 3" xfId="15717" xr:uid="{09678628-E9AD-4A81-A8DF-87E67CD2602A}"/>
    <cellStyle name="Normal 4 2 2 3 2 2 2 2 2 3" xfId="19934" xr:uid="{3485D3E1-F342-4DBC-866D-7CC1D3EF87A6}"/>
    <cellStyle name="Normal 4 2 2 3 2 2 2 2 2 4" xfId="11500" xr:uid="{CBC4FFB1-0B5B-4AD7-84AC-E48602492F3D}"/>
    <cellStyle name="Normal 4 2 2 3 2 2 2 2 3" xfId="5134" xr:uid="{00000000-0005-0000-0000-0000FA110000}"/>
    <cellStyle name="Normal 4 2 2 3 2 2 2 2 3 2" xfId="22006" xr:uid="{E200F41D-F5D8-428E-9354-D4B42347B2CF}"/>
    <cellStyle name="Normal 4 2 2 3 2 2 2 2 3 3" xfId="13572" xr:uid="{80E9FD50-F62F-4A40-AC2A-76B35C8E955E}"/>
    <cellStyle name="Normal 4 2 2 3 2 2 2 2 4" xfId="17789" xr:uid="{DEB9200B-A80C-4DBD-822E-C2B9D258907C}"/>
    <cellStyle name="Normal 4 2 2 3 2 2 2 2 5" xfId="9355" xr:uid="{85A0E07E-7869-4CC0-9853-A15B24B616DC}"/>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24564" xr:uid="{DB99DE76-0731-4B38-B975-36D6A0312805}"/>
    <cellStyle name="Normal 4 2 2 3 2 2 2 3 2 2 3" xfId="16130" xr:uid="{5FB0F3FC-B15E-4DA2-AFDD-DEC3919820B0}"/>
    <cellStyle name="Normal 4 2 2 3 2 2 2 3 2 3" xfId="20347" xr:uid="{3D4A51FB-7DDF-4201-AF05-E7BB36704382}"/>
    <cellStyle name="Normal 4 2 2 3 2 2 2 3 2 4" xfId="11913" xr:uid="{7927F6B7-EA5B-4793-BB3D-8F58CFD3CC04}"/>
    <cellStyle name="Normal 4 2 2 3 2 2 2 3 3" xfId="5547" xr:uid="{00000000-0005-0000-0000-0000FE110000}"/>
    <cellStyle name="Normal 4 2 2 3 2 2 2 3 3 2" xfId="22419" xr:uid="{9871F92F-B833-487B-96E8-022BACFF70CC}"/>
    <cellStyle name="Normal 4 2 2 3 2 2 2 3 3 3" xfId="13985" xr:uid="{30685339-EEEE-4E96-A09D-395F434CF6D8}"/>
    <cellStyle name="Normal 4 2 2 3 2 2 2 3 4" xfId="18202" xr:uid="{B27A1340-8BA6-4232-938F-B9F4AFADACD8}"/>
    <cellStyle name="Normal 4 2 2 3 2 2 2 3 5" xfId="9768" xr:uid="{53AE0E4C-BC58-4E70-80D3-C1DAD38D47DF}"/>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24977" xr:uid="{1F8341D2-E85C-4691-963F-242A77620CD1}"/>
    <cellStyle name="Normal 4 2 2 3 2 2 2 4 2 2 3" xfId="16543" xr:uid="{2DF6F8C6-55F9-4ACA-89EC-48736FC84618}"/>
    <cellStyle name="Normal 4 2 2 3 2 2 2 4 2 3" xfId="20760" xr:uid="{77AF3293-7198-4AD6-9530-D5157BBD9054}"/>
    <cellStyle name="Normal 4 2 2 3 2 2 2 4 2 4" xfId="12326" xr:uid="{CDBDDB23-0EDE-4DB0-AFFF-3468B2F12A2E}"/>
    <cellStyle name="Normal 4 2 2 3 2 2 2 4 3" xfId="5960" xr:uid="{00000000-0005-0000-0000-000002120000}"/>
    <cellStyle name="Normal 4 2 2 3 2 2 2 4 3 2" xfId="22832" xr:uid="{311DF7FD-D52E-41D2-B34E-1BB12D9D087A}"/>
    <cellStyle name="Normal 4 2 2 3 2 2 2 4 3 3" xfId="14398" xr:uid="{D7B56E67-7057-469C-AEA4-280BF73C59C5}"/>
    <cellStyle name="Normal 4 2 2 3 2 2 2 4 4" xfId="18615" xr:uid="{270A3C29-5C1E-4E62-88AD-202903B1138E}"/>
    <cellStyle name="Normal 4 2 2 3 2 2 2 4 5" xfId="10181" xr:uid="{678F396E-8F87-42C0-9757-DFFAC860FE4A}"/>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25390" xr:uid="{721DEF0C-48E6-4DEC-BB10-AC34A7A76F78}"/>
    <cellStyle name="Normal 4 2 2 3 2 2 2 5 2 2 3" xfId="16956" xr:uid="{351DCE25-8A74-4639-82A6-07BBAAED59D5}"/>
    <cellStyle name="Normal 4 2 2 3 2 2 2 5 2 3" xfId="21173" xr:uid="{7C986C8E-A152-42D1-AFE8-E512A01E47D9}"/>
    <cellStyle name="Normal 4 2 2 3 2 2 2 5 2 4" xfId="12739" xr:uid="{F3860020-F51E-498E-9B1F-E14663A8C557}"/>
    <cellStyle name="Normal 4 2 2 3 2 2 2 5 3" xfId="6373" xr:uid="{00000000-0005-0000-0000-000006120000}"/>
    <cellStyle name="Normal 4 2 2 3 2 2 2 5 3 2" xfId="23245" xr:uid="{B730B618-198C-404C-BCF1-9C1206E621B6}"/>
    <cellStyle name="Normal 4 2 2 3 2 2 2 5 3 3" xfId="14811" xr:uid="{6ED10C10-3C4C-4F51-A4E3-8A2185DBCCAB}"/>
    <cellStyle name="Normal 4 2 2 3 2 2 2 5 4" xfId="19028" xr:uid="{AF353C7D-5395-418D-90D2-554B4241C467}"/>
    <cellStyle name="Normal 4 2 2 3 2 2 2 5 5" xfId="10594" xr:uid="{755B60DE-0F1A-4B21-8FEB-B904B801FDB8}"/>
    <cellStyle name="Normal 4 2 2 3 2 2 2 6" xfId="2502" xr:uid="{00000000-0005-0000-0000-000007120000}"/>
    <cellStyle name="Normal 4 2 2 3 2 2 2 6 2" xfId="6786" xr:uid="{00000000-0005-0000-0000-000008120000}"/>
    <cellStyle name="Normal 4 2 2 3 2 2 2 6 2 2" xfId="23658" xr:uid="{99086A9C-0857-49E6-A5CE-084F7BA13C1B}"/>
    <cellStyle name="Normal 4 2 2 3 2 2 2 6 2 3" xfId="15224" xr:uid="{5378F912-BBAC-4CEE-B010-E789F814AC9A}"/>
    <cellStyle name="Normal 4 2 2 3 2 2 2 6 3" xfId="19441" xr:uid="{AAAE158A-F302-4FFA-9528-A2EAF43F08DA}"/>
    <cellStyle name="Normal 4 2 2 3 2 2 2 6 4" xfId="11007" xr:uid="{E51BA949-0DCC-4790-AAFB-5B8E7CC31C9F}"/>
    <cellStyle name="Normal 4 2 2 3 2 2 2 7" xfId="4721" xr:uid="{00000000-0005-0000-0000-000009120000}"/>
    <cellStyle name="Normal 4 2 2 3 2 2 2 7 2" xfId="21593" xr:uid="{FE83A871-3FEB-4D07-B543-A44353DFFD7C}"/>
    <cellStyle name="Normal 4 2 2 3 2 2 2 7 3" xfId="13159" xr:uid="{504BF71F-8B99-43F1-83FF-D43A322A3603}"/>
    <cellStyle name="Normal 4 2 2 3 2 2 2 8" xfId="17376" xr:uid="{9D088884-EC7D-4A8B-B68F-7205081BB3EA}"/>
    <cellStyle name="Normal 4 2 2 3 2 2 2 9" xfId="8942" xr:uid="{EE90C212-3909-4FC0-A910-E2650386842A}"/>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24150" xr:uid="{CFF2181A-F0EA-4EFD-98B7-61F35ACFEB2F}"/>
    <cellStyle name="Normal 4 2 2 3 2 2 3 2 2 3" xfId="15716" xr:uid="{16FE0642-BE27-404B-908A-635A6AEC38FE}"/>
    <cellStyle name="Normal 4 2 2 3 2 2 3 2 3" xfId="19933" xr:uid="{108020A0-39D4-4989-A5D4-0DDDDE8FAEA3}"/>
    <cellStyle name="Normal 4 2 2 3 2 2 3 2 4" xfId="11499" xr:uid="{782CAE2A-D074-4693-B7D4-195DCC71A935}"/>
    <cellStyle name="Normal 4 2 2 3 2 2 3 3" xfId="5133" xr:uid="{00000000-0005-0000-0000-00000D120000}"/>
    <cellStyle name="Normal 4 2 2 3 2 2 3 3 2" xfId="22005" xr:uid="{8E1149C5-15FC-4A96-9560-9537FB4B248F}"/>
    <cellStyle name="Normal 4 2 2 3 2 2 3 3 3" xfId="13571" xr:uid="{D6061FD2-30DE-4934-BC6A-5F539BB2BD8D}"/>
    <cellStyle name="Normal 4 2 2 3 2 2 3 4" xfId="17788" xr:uid="{195693EC-EE82-4006-AC8D-8C680209C0C4}"/>
    <cellStyle name="Normal 4 2 2 3 2 2 3 5" xfId="9354" xr:uid="{FBCDDD8F-24C7-4F50-A418-5F39780BC8E6}"/>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24563" xr:uid="{60479174-E882-4FEA-A3B0-79CBA269B190}"/>
    <cellStyle name="Normal 4 2 2 3 2 2 4 2 2 3" xfId="16129" xr:uid="{D71A1614-0448-4816-A715-DFE32DBC5F64}"/>
    <cellStyle name="Normal 4 2 2 3 2 2 4 2 3" xfId="20346" xr:uid="{972C8F61-A7F0-4D21-B716-DE7FC3DFC5AE}"/>
    <cellStyle name="Normal 4 2 2 3 2 2 4 2 4" xfId="11912" xr:uid="{2166800B-408D-44BE-92C2-BD2C5B746869}"/>
    <cellStyle name="Normal 4 2 2 3 2 2 4 3" xfId="5546" xr:uid="{00000000-0005-0000-0000-000011120000}"/>
    <cellStyle name="Normal 4 2 2 3 2 2 4 3 2" xfId="22418" xr:uid="{A931BB23-722E-4210-972D-2224DDD06F7C}"/>
    <cellStyle name="Normal 4 2 2 3 2 2 4 3 3" xfId="13984" xr:uid="{59AD6287-8A1C-4578-9A8F-CEF97018A823}"/>
    <cellStyle name="Normal 4 2 2 3 2 2 4 4" xfId="18201" xr:uid="{07029352-DC37-4F9B-8ED1-19F425432B66}"/>
    <cellStyle name="Normal 4 2 2 3 2 2 4 5" xfId="9767" xr:uid="{6026EB94-0314-44FC-BC77-FCA754A16643}"/>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24976" xr:uid="{6B386363-EB00-421E-AE87-8B5DF7BE34BC}"/>
    <cellStyle name="Normal 4 2 2 3 2 2 5 2 2 3" xfId="16542" xr:uid="{C72BB718-2143-48C1-A2FC-7EDB4EB401B5}"/>
    <cellStyle name="Normal 4 2 2 3 2 2 5 2 3" xfId="20759" xr:uid="{B5071CD7-6EA9-4BE5-8087-7187EE857F37}"/>
    <cellStyle name="Normal 4 2 2 3 2 2 5 2 4" xfId="12325" xr:uid="{8F85C21E-8544-4207-905D-AFB363C45AB2}"/>
    <cellStyle name="Normal 4 2 2 3 2 2 5 3" xfId="5959" xr:uid="{00000000-0005-0000-0000-000015120000}"/>
    <cellStyle name="Normal 4 2 2 3 2 2 5 3 2" xfId="22831" xr:uid="{D9226C3E-7C53-47A1-B43E-3075A2C2263E}"/>
    <cellStyle name="Normal 4 2 2 3 2 2 5 3 3" xfId="14397" xr:uid="{FF59AEB7-BD93-4295-B8D4-3094CA607998}"/>
    <cellStyle name="Normal 4 2 2 3 2 2 5 4" xfId="18614" xr:uid="{87FAD68D-FC20-4163-B61E-D1A09721D502}"/>
    <cellStyle name="Normal 4 2 2 3 2 2 5 5" xfId="10180" xr:uid="{C42E9CC8-24CF-47ED-92DF-61675467B7AE}"/>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25389" xr:uid="{1B30FDA9-72A8-4E48-9843-47A9C82FB82F}"/>
    <cellStyle name="Normal 4 2 2 3 2 2 6 2 2 3" xfId="16955" xr:uid="{18B0BDDF-2271-4712-9ACA-5CFCBE9840A6}"/>
    <cellStyle name="Normal 4 2 2 3 2 2 6 2 3" xfId="21172" xr:uid="{F1195C6F-9878-4B7F-A560-A6616FEE88F2}"/>
    <cellStyle name="Normal 4 2 2 3 2 2 6 2 4" xfId="12738" xr:uid="{EDE2602F-CAB3-48E2-847C-1BEE0F8F450E}"/>
    <cellStyle name="Normal 4 2 2 3 2 2 6 3" xfId="6372" xr:uid="{00000000-0005-0000-0000-000019120000}"/>
    <cellStyle name="Normal 4 2 2 3 2 2 6 3 2" xfId="23244" xr:uid="{2354F7D3-F2F5-4168-89B2-552A77097BCE}"/>
    <cellStyle name="Normal 4 2 2 3 2 2 6 3 3" xfId="14810" xr:uid="{AB93970C-17D8-4773-A6E6-FB2F3D85CB42}"/>
    <cellStyle name="Normal 4 2 2 3 2 2 6 4" xfId="19027" xr:uid="{FC924E8D-82D7-470A-9822-1DD4AF697740}"/>
    <cellStyle name="Normal 4 2 2 3 2 2 6 5" xfId="10593" xr:uid="{78F95884-5EBA-444D-9A42-D07C7E7482C1}"/>
    <cellStyle name="Normal 4 2 2 3 2 2 7" xfId="2501" xr:uid="{00000000-0005-0000-0000-00001A120000}"/>
    <cellStyle name="Normal 4 2 2 3 2 2 7 2" xfId="6785" xr:uid="{00000000-0005-0000-0000-00001B120000}"/>
    <cellStyle name="Normal 4 2 2 3 2 2 7 2 2" xfId="23657" xr:uid="{3E941357-C181-4E1E-8524-04A1D58C03DC}"/>
    <cellStyle name="Normal 4 2 2 3 2 2 7 2 3" xfId="15223" xr:uid="{289510CB-602C-452F-A8BA-EBAA34B6A1EE}"/>
    <cellStyle name="Normal 4 2 2 3 2 2 7 3" xfId="19440" xr:uid="{7834887E-FAEA-4ED0-992B-A2C51C3914A5}"/>
    <cellStyle name="Normal 4 2 2 3 2 2 7 4" xfId="11006" xr:uid="{D595C1F5-57BA-448A-8914-7E4F9A1D552F}"/>
    <cellStyle name="Normal 4 2 2 3 2 2 8" xfId="4720" xr:uid="{00000000-0005-0000-0000-00001C120000}"/>
    <cellStyle name="Normal 4 2 2 3 2 2 8 2" xfId="21592" xr:uid="{F6A2FE63-CD1A-4545-8167-42C9E8DE9416}"/>
    <cellStyle name="Normal 4 2 2 3 2 2 8 3" xfId="13158" xr:uid="{FFAE5504-0EBB-428A-963F-8B6AD362E244}"/>
    <cellStyle name="Normal 4 2 2 3 2 2 9" xfId="17375" xr:uid="{7A3DD79D-F8A8-45B4-A55B-A3C1491ADDC1}"/>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24152" xr:uid="{B30D2A9F-70DA-4CF7-A504-E79BED7E8CC8}"/>
    <cellStyle name="Normal 4 2 2 3 2 3 2 2 2 3" xfId="15718" xr:uid="{D092EEBF-4DF2-41E2-91AB-4B056AE7B3C8}"/>
    <cellStyle name="Normal 4 2 2 3 2 3 2 2 3" xfId="19935" xr:uid="{309D3979-1089-4F2F-9BCB-AAB3704129D0}"/>
    <cellStyle name="Normal 4 2 2 3 2 3 2 2 4" xfId="11501" xr:uid="{FFF7EAD6-6167-4AB2-9860-FA477186B4E0}"/>
    <cellStyle name="Normal 4 2 2 3 2 3 2 3" xfId="5135" xr:uid="{00000000-0005-0000-0000-000021120000}"/>
    <cellStyle name="Normal 4 2 2 3 2 3 2 3 2" xfId="22007" xr:uid="{C0CC0273-02EE-4AE2-B5E3-00BEB7ADA649}"/>
    <cellStyle name="Normal 4 2 2 3 2 3 2 3 3" xfId="13573" xr:uid="{A6254B06-34B5-4B59-9E49-F38CE4281C73}"/>
    <cellStyle name="Normal 4 2 2 3 2 3 2 4" xfId="17790" xr:uid="{A45AD716-33F7-4EDB-ADCD-A8602ADAB7C3}"/>
    <cellStyle name="Normal 4 2 2 3 2 3 2 5" xfId="9356" xr:uid="{32714C54-772A-4E1C-8AD5-C0881797FDE7}"/>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24565" xr:uid="{F0328ACE-AF87-4D1E-BB98-FD36424B7C79}"/>
    <cellStyle name="Normal 4 2 2 3 2 3 3 2 2 3" xfId="16131" xr:uid="{B2D344B6-62E8-4C1C-A35F-8850209314BC}"/>
    <cellStyle name="Normal 4 2 2 3 2 3 3 2 3" xfId="20348" xr:uid="{A1E6D5D2-12C1-46D4-93C7-80AA10DB1900}"/>
    <cellStyle name="Normal 4 2 2 3 2 3 3 2 4" xfId="11914" xr:uid="{058D0B03-A3CD-4B9F-AFB5-F8936DBE380F}"/>
    <cellStyle name="Normal 4 2 2 3 2 3 3 3" xfId="5548" xr:uid="{00000000-0005-0000-0000-000025120000}"/>
    <cellStyle name="Normal 4 2 2 3 2 3 3 3 2" xfId="22420" xr:uid="{133EA55D-A7E0-4A42-93AA-34620E068F4F}"/>
    <cellStyle name="Normal 4 2 2 3 2 3 3 3 3" xfId="13986" xr:uid="{1FC5B442-7DBC-4BBC-A437-76FCBFC52B7A}"/>
    <cellStyle name="Normal 4 2 2 3 2 3 3 4" xfId="18203" xr:uid="{A7179963-76C0-4FFD-BFA3-E8E9C0ECCB55}"/>
    <cellStyle name="Normal 4 2 2 3 2 3 3 5" xfId="9769" xr:uid="{E632134B-6E86-4C09-A9FE-716E5442A51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24978" xr:uid="{7A125CFA-0743-4E17-AB43-A41C2E6DFD74}"/>
    <cellStyle name="Normal 4 2 2 3 2 3 4 2 2 3" xfId="16544" xr:uid="{A08E8618-7766-4EE2-8418-10842E87DB01}"/>
    <cellStyle name="Normal 4 2 2 3 2 3 4 2 3" xfId="20761" xr:uid="{816A9A2F-1953-49B5-A58E-F7115D48BF8C}"/>
    <cellStyle name="Normal 4 2 2 3 2 3 4 2 4" xfId="12327" xr:uid="{F10E9021-4640-462B-8EA3-0DA8E062D283}"/>
    <cellStyle name="Normal 4 2 2 3 2 3 4 3" xfId="5961" xr:uid="{00000000-0005-0000-0000-000029120000}"/>
    <cellStyle name="Normal 4 2 2 3 2 3 4 3 2" xfId="22833" xr:uid="{C67E9828-799A-4196-9316-521A7F613BAC}"/>
    <cellStyle name="Normal 4 2 2 3 2 3 4 3 3" xfId="14399" xr:uid="{19C59418-C6A2-422D-ABE2-AA0D3CDAA02E}"/>
    <cellStyle name="Normal 4 2 2 3 2 3 4 4" xfId="18616" xr:uid="{BD554273-FB67-49BF-9047-4EEF3F0BCA69}"/>
    <cellStyle name="Normal 4 2 2 3 2 3 4 5" xfId="10182" xr:uid="{5E20A1F5-9294-441D-98E7-4DE3FE1A31FE}"/>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25391" xr:uid="{02838E1D-FC6E-4B44-9BDD-A251BA47E455}"/>
    <cellStyle name="Normal 4 2 2 3 2 3 5 2 2 3" xfId="16957" xr:uid="{CB34D407-B1C9-4A32-BA3D-9242D79507F4}"/>
    <cellStyle name="Normal 4 2 2 3 2 3 5 2 3" xfId="21174" xr:uid="{5652EC36-ED63-4266-8C01-F4320C4853FE}"/>
    <cellStyle name="Normal 4 2 2 3 2 3 5 2 4" xfId="12740" xr:uid="{7E582266-05AE-4F67-A4C6-133663C24013}"/>
    <cellStyle name="Normal 4 2 2 3 2 3 5 3" xfId="6374" xr:uid="{00000000-0005-0000-0000-00002D120000}"/>
    <cellStyle name="Normal 4 2 2 3 2 3 5 3 2" xfId="23246" xr:uid="{250442C3-4806-4931-B9B1-066FC6254614}"/>
    <cellStyle name="Normal 4 2 2 3 2 3 5 3 3" xfId="14812" xr:uid="{7FF53694-CDE5-44CE-8F72-009E64C29F23}"/>
    <cellStyle name="Normal 4 2 2 3 2 3 5 4" xfId="19029" xr:uid="{03E6C6E1-FDC4-40C6-A6F5-3AE6C865C249}"/>
    <cellStyle name="Normal 4 2 2 3 2 3 5 5" xfId="10595" xr:uid="{3BABAA8D-1F2F-4FC2-8EE6-F5E39FA99BFC}"/>
    <cellStyle name="Normal 4 2 2 3 2 3 6" xfId="2503" xr:uid="{00000000-0005-0000-0000-00002E120000}"/>
    <cellStyle name="Normal 4 2 2 3 2 3 6 2" xfId="6787" xr:uid="{00000000-0005-0000-0000-00002F120000}"/>
    <cellStyle name="Normal 4 2 2 3 2 3 6 2 2" xfId="23659" xr:uid="{FF96B4BC-ADA9-4AE4-A58A-43A92B6DBB07}"/>
    <cellStyle name="Normal 4 2 2 3 2 3 6 2 3" xfId="15225" xr:uid="{CFE6BBDF-0B7D-46D0-A0FB-858708DE8B63}"/>
    <cellStyle name="Normal 4 2 2 3 2 3 6 3" xfId="19442" xr:uid="{468E34E4-0462-4106-99A2-4E994BB32E89}"/>
    <cellStyle name="Normal 4 2 2 3 2 3 6 4" xfId="11008" xr:uid="{37F069CE-0A5B-4766-8CC8-72B1C18BC85B}"/>
    <cellStyle name="Normal 4 2 2 3 2 3 7" xfId="4722" xr:uid="{00000000-0005-0000-0000-000030120000}"/>
    <cellStyle name="Normal 4 2 2 3 2 3 7 2" xfId="21594" xr:uid="{B802DF56-7A91-45BF-A6CA-2C979C5ACB0D}"/>
    <cellStyle name="Normal 4 2 2 3 2 3 7 3" xfId="13160" xr:uid="{6C464B56-8966-4BCD-B6AF-50845EDFD5BC}"/>
    <cellStyle name="Normal 4 2 2 3 2 3 8" xfId="17377" xr:uid="{511B95EF-2344-42AC-87CA-7708FDCFF22F}"/>
    <cellStyle name="Normal 4 2 2 3 2 3 9" xfId="8943" xr:uid="{902F921A-2314-43AC-A835-9FA23F676E8D}"/>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24149" xr:uid="{FFE9F167-886A-413B-8A51-D88969019AEB}"/>
    <cellStyle name="Normal 4 2 2 3 2 4 2 2 3" xfId="15715" xr:uid="{3CF8563A-52B9-4FC4-BF09-BA76600F0971}"/>
    <cellStyle name="Normal 4 2 2 3 2 4 2 3" xfId="19932" xr:uid="{791315DF-9A40-4C85-8303-102C37F6D945}"/>
    <cellStyle name="Normal 4 2 2 3 2 4 2 4" xfId="11498" xr:uid="{E1DB45C0-797C-4940-B574-53A1E02471DD}"/>
    <cellStyle name="Normal 4 2 2 3 2 4 3" xfId="5132" xr:uid="{00000000-0005-0000-0000-000034120000}"/>
    <cellStyle name="Normal 4 2 2 3 2 4 3 2" xfId="22004" xr:uid="{A0C038C2-7E66-4901-A3BE-8E25AA7E8B41}"/>
    <cellStyle name="Normal 4 2 2 3 2 4 3 3" xfId="13570" xr:uid="{C2C90613-D468-4AEA-98A2-CC1820BE2902}"/>
    <cellStyle name="Normal 4 2 2 3 2 4 4" xfId="17787" xr:uid="{B753DF2F-61B6-48D1-936E-A11E0CA4B084}"/>
    <cellStyle name="Normal 4 2 2 3 2 4 5" xfId="9353" xr:uid="{D9E4E1BD-F668-4B7F-9419-49E6C4799EAD}"/>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24562" xr:uid="{E914CD30-4EC0-49C9-8C25-61979EBFF755}"/>
    <cellStyle name="Normal 4 2 2 3 2 5 2 2 3" xfId="16128" xr:uid="{45BA59F2-7F7F-45D9-AA24-515E855F86E0}"/>
    <cellStyle name="Normal 4 2 2 3 2 5 2 3" xfId="20345" xr:uid="{DD92DFA6-0F52-46CB-BBE7-E7D4F3AE7052}"/>
    <cellStyle name="Normal 4 2 2 3 2 5 2 4" xfId="11911" xr:uid="{74A67036-D813-49AA-8736-6DCF332D4A14}"/>
    <cellStyle name="Normal 4 2 2 3 2 5 3" xfId="5545" xr:uid="{00000000-0005-0000-0000-000038120000}"/>
    <cellStyle name="Normal 4 2 2 3 2 5 3 2" xfId="22417" xr:uid="{5AFDEF92-8F24-4D23-BD4D-60C56E80E442}"/>
    <cellStyle name="Normal 4 2 2 3 2 5 3 3" xfId="13983" xr:uid="{87F09C72-F7C5-42DD-B29A-F879E39EC96A}"/>
    <cellStyle name="Normal 4 2 2 3 2 5 4" xfId="18200" xr:uid="{7CE5EBC2-8448-46FC-B134-018FD61D7A48}"/>
    <cellStyle name="Normal 4 2 2 3 2 5 5" xfId="9766" xr:uid="{274E5FA3-F047-4511-A48F-718BB32ADC92}"/>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24975" xr:uid="{14E3D79E-098C-4853-BE68-00B30D1E74EE}"/>
    <cellStyle name="Normal 4 2 2 3 2 6 2 2 3" xfId="16541" xr:uid="{FA042954-C43D-45AF-AAEC-58C0D4B60E06}"/>
    <cellStyle name="Normal 4 2 2 3 2 6 2 3" xfId="20758" xr:uid="{B59A93D0-FA08-4366-A212-F8680BEC2F3D}"/>
    <cellStyle name="Normal 4 2 2 3 2 6 2 4" xfId="12324" xr:uid="{DD98ACAB-62D4-41B7-98EC-7E6EEEB02513}"/>
    <cellStyle name="Normal 4 2 2 3 2 6 3" xfId="5958" xr:uid="{00000000-0005-0000-0000-00003C120000}"/>
    <cellStyle name="Normal 4 2 2 3 2 6 3 2" xfId="22830" xr:uid="{A5AA3E74-572D-4FEC-B0B5-CF454D40ACE4}"/>
    <cellStyle name="Normal 4 2 2 3 2 6 3 3" xfId="14396" xr:uid="{1F9ED3ED-DC79-4AAC-80E7-98BABD963C40}"/>
    <cellStyle name="Normal 4 2 2 3 2 6 4" xfId="18613" xr:uid="{5FBBD682-0BE7-4A75-9735-ABEAFC2F6E08}"/>
    <cellStyle name="Normal 4 2 2 3 2 6 5" xfId="10179" xr:uid="{94D49519-5B17-4A54-8A76-1FF9C872842D}"/>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25388" xr:uid="{1AA16A4C-7B6D-4A22-BB4D-415DADC29193}"/>
    <cellStyle name="Normal 4 2 2 3 2 7 2 2 3" xfId="16954" xr:uid="{8DDFCA19-2898-4B1E-8A61-98EED64CF9E3}"/>
    <cellStyle name="Normal 4 2 2 3 2 7 2 3" xfId="21171" xr:uid="{07FCFDDD-0DC1-4437-9BC3-41B26B0D7067}"/>
    <cellStyle name="Normal 4 2 2 3 2 7 2 4" xfId="12737" xr:uid="{5DBE13FD-108D-4A0E-BDBB-D8BF0F1C0B54}"/>
    <cellStyle name="Normal 4 2 2 3 2 7 3" xfId="6371" xr:uid="{00000000-0005-0000-0000-000040120000}"/>
    <cellStyle name="Normal 4 2 2 3 2 7 3 2" xfId="23243" xr:uid="{B862B029-7C71-4E8F-BD62-79B6AF38BA9B}"/>
    <cellStyle name="Normal 4 2 2 3 2 7 3 3" xfId="14809" xr:uid="{16346EE2-48D6-4B1C-86E7-BE4419FA8FFE}"/>
    <cellStyle name="Normal 4 2 2 3 2 7 4" xfId="19026" xr:uid="{5FEF8178-73EC-44A6-8800-DBE9784347AF}"/>
    <cellStyle name="Normal 4 2 2 3 2 7 5" xfId="10592" xr:uid="{FBE3A6A9-FDDF-485E-BC9A-EE8CD5361D57}"/>
    <cellStyle name="Normal 4 2 2 3 2 8" xfId="2500" xr:uid="{00000000-0005-0000-0000-000041120000}"/>
    <cellStyle name="Normal 4 2 2 3 2 8 2" xfId="6784" xr:uid="{00000000-0005-0000-0000-000042120000}"/>
    <cellStyle name="Normal 4 2 2 3 2 8 2 2" xfId="23656" xr:uid="{550CB918-9C88-4F99-B392-CCE0B161671C}"/>
    <cellStyle name="Normal 4 2 2 3 2 8 2 3" xfId="15222" xr:uid="{BB3B2867-96AF-460D-9A0E-18DD82E3B579}"/>
    <cellStyle name="Normal 4 2 2 3 2 8 3" xfId="19439" xr:uid="{355F191A-CB9B-43EE-837D-86F1DCAB5D9F}"/>
    <cellStyle name="Normal 4 2 2 3 2 8 4" xfId="11005" xr:uid="{F0716765-3B35-46E5-A1E2-A3134DAE4917}"/>
    <cellStyle name="Normal 4 2 2 3 2 9" xfId="4719" xr:uid="{00000000-0005-0000-0000-000043120000}"/>
    <cellStyle name="Normal 4 2 2 3 2 9 2" xfId="21591" xr:uid="{425D75ED-3DF1-445B-B28E-2AB4BFF91927}"/>
    <cellStyle name="Normal 4 2 2 3 2 9 3" xfId="13157" xr:uid="{B8F842FA-55DC-456E-A936-F36ACEA63B49}"/>
    <cellStyle name="Normal 4 2 2 3 3" xfId="344" xr:uid="{00000000-0005-0000-0000-000044120000}"/>
    <cellStyle name="Normal 4 2 2 3 3 10" xfId="8944" xr:uid="{1B7D1188-C58E-47C2-93C1-0EE4D0EF665E}"/>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24154" xr:uid="{0A8125E9-6466-4E30-868A-743A553D1073}"/>
    <cellStyle name="Normal 4 2 2 3 3 2 2 2 2 3" xfId="15720" xr:uid="{EE5EAED4-DA0F-4D7A-9CC6-F996D8F03EF7}"/>
    <cellStyle name="Normal 4 2 2 3 3 2 2 2 3" xfId="19937" xr:uid="{9BB9EC5B-BC50-414A-9AB5-E4F829088CAA}"/>
    <cellStyle name="Normal 4 2 2 3 3 2 2 2 4" xfId="11503" xr:uid="{87E1B750-89D3-4C35-9553-6461B0313917}"/>
    <cellStyle name="Normal 4 2 2 3 3 2 2 3" xfId="5137" xr:uid="{00000000-0005-0000-0000-000049120000}"/>
    <cellStyle name="Normal 4 2 2 3 3 2 2 3 2" xfId="22009" xr:uid="{48664135-3AF8-490E-8D0E-5066CC244D50}"/>
    <cellStyle name="Normal 4 2 2 3 3 2 2 3 3" xfId="13575" xr:uid="{79924026-7496-4064-BF8E-3C14E04089B2}"/>
    <cellStyle name="Normal 4 2 2 3 3 2 2 4" xfId="17792" xr:uid="{DC009619-25F1-4056-A96D-C700A54D18F4}"/>
    <cellStyle name="Normal 4 2 2 3 3 2 2 5" xfId="9358" xr:uid="{A45ADF09-B4CC-442C-BD10-2901560A2016}"/>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24567" xr:uid="{82C71748-AE8F-4A2C-9825-4D5BB451A87C}"/>
    <cellStyle name="Normal 4 2 2 3 3 2 3 2 2 3" xfId="16133" xr:uid="{B3FE6ED9-09DF-48F9-84FD-61DA910A36FC}"/>
    <cellStyle name="Normal 4 2 2 3 3 2 3 2 3" xfId="20350" xr:uid="{0D981489-DA44-440A-B95C-E345BC2A675D}"/>
    <cellStyle name="Normal 4 2 2 3 3 2 3 2 4" xfId="11916" xr:uid="{DF99A41A-5A5F-4683-86CE-BD33CCB5F9A6}"/>
    <cellStyle name="Normal 4 2 2 3 3 2 3 3" xfId="5550" xr:uid="{00000000-0005-0000-0000-00004D120000}"/>
    <cellStyle name="Normal 4 2 2 3 3 2 3 3 2" xfId="22422" xr:uid="{198ED5D7-5ED4-4C9B-88BE-3372F767EB4D}"/>
    <cellStyle name="Normal 4 2 2 3 3 2 3 3 3" xfId="13988" xr:uid="{A1B48EED-21E2-4768-8A42-A4AC93E8809C}"/>
    <cellStyle name="Normal 4 2 2 3 3 2 3 4" xfId="18205" xr:uid="{71E0C386-F78B-40EC-8E25-94FDDF739450}"/>
    <cellStyle name="Normal 4 2 2 3 3 2 3 5" xfId="9771" xr:uid="{F7632B9D-CA67-424E-B3A1-74FE11046518}"/>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24980" xr:uid="{47ACBC1C-6515-4A4B-B1D5-98C90AC36A60}"/>
    <cellStyle name="Normal 4 2 2 3 3 2 4 2 2 3" xfId="16546" xr:uid="{DAD58712-098A-41D4-B866-BDF97F838016}"/>
    <cellStyle name="Normal 4 2 2 3 3 2 4 2 3" xfId="20763" xr:uid="{841A3C09-A585-4695-B8C8-505042E7C3FA}"/>
    <cellStyle name="Normal 4 2 2 3 3 2 4 2 4" xfId="12329" xr:uid="{98BAE8BE-0CFA-409D-A3A0-4BDA9A68894A}"/>
    <cellStyle name="Normal 4 2 2 3 3 2 4 3" xfId="5963" xr:uid="{00000000-0005-0000-0000-000051120000}"/>
    <cellStyle name="Normal 4 2 2 3 3 2 4 3 2" xfId="22835" xr:uid="{D30BFBD4-395C-43EE-BC76-7728D4FD8E29}"/>
    <cellStyle name="Normal 4 2 2 3 3 2 4 3 3" xfId="14401" xr:uid="{A05A8092-5244-41D1-B0D3-73774C59DF87}"/>
    <cellStyle name="Normal 4 2 2 3 3 2 4 4" xfId="18618" xr:uid="{FFEB070B-F614-4DF6-81C5-B68FA08FE523}"/>
    <cellStyle name="Normal 4 2 2 3 3 2 4 5" xfId="10184" xr:uid="{2873DB60-66E5-4A77-AA85-FF4B7BDBECCC}"/>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25393" xr:uid="{3380C16C-6B49-448B-88A0-B3927B1E7E17}"/>
    <cellStyle name="Normal 4 2 2 3 3 2 5 2 2 3" xfId="16959" xr:uid="{9EA84006-133D-483C-8D5C-EDA96E34957A}"/>
    <cellStyle name="Normal 4 2 2 3 3 2 5 2 3" xfId="21176" xr:uid="{D9EDBC32-4CD8-4DDF-AF77-560BC5A5E989}"/>
    <cellStyle name="Normal 4 2 2 3 3 2 5 2 4" xfId="12742" xr:uid="{48A13CAD-6E3E-4201-A210-F664A1C84D2E}"/>
    <cellStyle name="Normal 4 2 2 3 3 2 5 3" xfId="6376" xr:uid="{00000000-0005-0000-0000-000055120000}"/>
    <cellStyle name="Normal 4 2 2 3 3 2 5 3 2" xfId="23248" xr:uid="{6B7A603C-79FD-4968-B485-D5AEDD85E760}"/>
    <cellStyle name="Normal 4 2 2 3 3 2 5 3 3" xfId="14814" xr:uid="{C09D67E6-0281-452C-8E36-167C156589F1}"/>
    <cellStyle name="Normal 4 2 2 3 3 2 5 4" xfId="19031" xr:uid="{AB43E400-FF03-411B-AF08-A25D84866623}"/>
    <cellStyle name="Normal 4 2 2 3 3 2 5 5" xfId="10597" xr:uid="{3FF28742-D8DB-43C4-BFB2-8EF338E1FAED}"/>
    <cellStyle name="Normal 4 2 2 3 3 2 6" xfId="2505" xr:uid="{00000000-0005-0000-0000-000056120000}"/>
    <cellStyle name="Normal 4 2 2 3 3 2 6 2" xfId="6789" xr:uid="{00000000-0005-0000-0000-000057120000}"/>
    <cellStyle name="Normal 4 2 2 3 3 2 6 2 2" xfId="23661" xr:uid="{6C00D17D-A302-40B7-9469-AB9459892F42}"/>
    <cellStyle name="Normal 4 2 2 3 3 2 6 2 3" xfId="15227" xr:uid="{217909F8-5581-4BE6-8DB8-B3F484BAF7D4}"/>
    <cellStyle name="Normal 4 2 2 3 3 2 6 3" xfId="19444" xr:uid="{3C15E9F6-750D-435F-9A6C-435C61A2A4B9}"/>
    <cellStyle name="Normal 4 2 2 3 3 2 6 4" xfId="11010" xr:uid="{5228686F-8B77-41B3-8AB6-688C5B1DA515}"/>
    <cellStyle name="Normal 4 2 2 3 3 2 7" xfId="4724" xr:uid="{00000000-0005-0000-0000-000058120000}"/>
    <cellStyle name="Normal 4 2 2 3 3 2 7 2" xfId="21596" xr:uid="{AD854EC8-85BF-4CCC-A982-33CAD5BFC6CA}"/>
    <cellStyle name="Normal 4 2 2 3 3 2 7 3" xfId="13162" xr:uid="{C6FCDBB2-3D23-4079-A8B3-8B1E52A1E729}"/>
    <cellStyle name="Normal 4 2 2 3 3 2 8" xfId="17379" xr:uid="{DEAFB7AE-9BF2-45AB-91E9-821EC2D8B927}"/>
    <cellStyle name="Normal 4 2 2 3 3 2 9" xfId="8945" xr:uid="{93F8FFD4-0029-4B65-8F8B-6E1134C2FAA9}"/>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24153" xr:uid="{1097B1E7-DB86-4965-9EC4-38E1CAAE9456}"/>
    <cellStyle name="Normal 4 2 2 3 3 3 2 2 3" xfId="15719" xr:uid="{227843A2-C967-46B7-82A3-0F9D0D6274E0}"/>
    <cellStyle name="Normal 4 2 2 3 3 3 2 3" xfId="19936" xr:uid="{E19217CF-A02D-44C9-95C3-3E918223929E}"/>
    <cellStyle name="Normal 4 2 2 3 3 3 2 4" xfId="11502" xr:uid="{28478E08-385A-45E9-AF10-D5865D15DACB}"/>
    <cellStyle name="Normal 4 2 2 3 3 3 3" xfId="5136" xr:uid="{00000000-0005-0000-0000-00005C120000}"/>
    <cellStyle name="Normal 4 2 2 3 3 3 3 2" xfId="22008" xr:uid="{31A11773-10FE-489E-8F59-0DC4AFD71BD6}"/>
    <cellStyle name="Normal 4 2 2 3 3 3 3 3" xfId="13574" xr:uid="{330313BD-F5D3-4E7F-8954-220B518F143A}"/>
    <cellStyle name="Normal 4 2 2 3 3 3 4" xfId="17791" xr:uid="{2AAA9062-035E-406B-8CE2-3B441F208413}"/>
    <cellStyle name="Normal 4 2 2 3 3 3 5" xfId="9357" xr:uid="{BC1B6409-ABE7-4E8D-BD1C-92E062F3B415}"/>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24566" xr:uid="{FE12A8BE-AF3E-4F10-826E-288DFC350127}"/>
    <cellStyle name="Normal 4 2 2 3 3 4 2 2 3" xfId="16132" xr:uid="{18661139-9F0C-4858-983F-7A16EC3DD584}"/>
    <cellStyle name="Normal 4 2 2 3 3 4 2 3" xfId="20349" xr:uid="{CCCB96FB-B17E-4117-B321-03E21A41B447}"/>
    <cellStyle name="Normal 4 2 2 3 3 4 2 4" xfId="11915" xr:uid="{CA03E5F8-2CA4-4427-B52A-5E873B78B0DD}"/>
    <cellStyle name="Normal 4 2 2 3 3 4 3" xfId="5549" xr:uid="{00000000-0005-0000-0000-000060120000}"/>
    <cellStyle name="Normal 4 2 2 3 3 4 3 2" xfId="22421" xr:uid="{E7BE01CC-811A-479B-9098-B4921444EB44}"/>
    <cellStyle name="Normal 4 2 2 3 3 4 3 3" xfId="13987" xr:uid="{2BD4AFE3-CDB6-405F-A57D-E51F523F40D4}"/>
    <cellStyle name="Normal 4 2 2 3 3 4 4" xfId="18204" xr:uid="{4D02418D-A6ED-4F4D-9AE6-93D3AC60F656}"/>
    <cellStyle name="Normal 4 2 2 3 3 4 5" xfId="9770" xr:uid="{B1B344E0-0CB6-402D-84F3-333BB93030B6}"/>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24979" xr:uid="{B71B6B6F-86E7-482B-A108-5B8E26C719A5}"/>
    <cellStyle name="Normal 4 2 2 3 3 5 2 2 3" xfId="16545" xr:uid="{96C03E79-14AB-4934-A41A-084FFC1228FB}"/>
    <cellStyle name="Normal 4 2 2 3 3 5 2 3" xfId="20762" xr:uid="{1C7B6996-A3D3-4EBB-AC25-E869DD86F207}"/>
    <cellStyle name="Normal 4 2 2 3 3 5 2 4" xfId="12328" xr:uid="{2BA046F7-1C42-4910-8B08-7B93BBCE2746}"/>
    <cellStyle name="Normal 4 2 2 3 3 5 3" xfId="5962" xr:uid="{00000000-0005-0000-0000-000064120000}"/>
    <cellStyle name="Normal 4 2 2 3 3 5 3 2" xfId="22834" xr:uid="{F1D55833-2052-408E-9F8A-D4B1541E8A7D}"/>
    <cellStyle name="Normal 4 2 2 3 3 5 3 3" xfId="14400" xr:uid="{8ABBD25A-371E-42FC-ABF5-FE1A5244101A}"/>
    <cellStyle name="Normal 4 2 2 3 3 5 4" xfId="18617" xr:uid="{41DF9F1F-D21B-40F5-A610-2A489DBA0370}"/>
    <cellStyle name="Normal 4 2 2 3 3 5 5" xfId="10183" xr:uid="{C6506D74-082C-4FF7-876E-68899066FC1E}"/>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25392" xr:uid="{DE113B37-4D16-419C-98A2-A27FD1CC5369}"/>
    <cellStyle name="Normal 4 2 2 3 3 6 2 2 3" xfId="16958" xr:uid="{0C23D251-F33B-473B-8CE5-DE3EAC35EEE6}"/>
    <cellStyle name="Normal 4 2 2 3 3 6 2 3" xfId="21175" xr:uid="{CEE87791-A42D-4A1E-A99D-2DFEB922737A}"/>
    <cellStyle name="Normal 4 2 2 3 3 6 2 4" xfId="12741" xr:uid="{3184857F-1D1B-464F-B411-8313C56121F6}"/>
    <cellStyle name="Normal 4 2 2 3 3 6 3" xfId="6375" xr:uid="{00000000-0005-0000-0000-000068120000}"/>
    <cellStyle name="Normal 4 2 2 3 3 6 3 2" xfId="23247" xr:uid="{5607D313-0EBF-41CA-8B7A-2975F809349D}"/>
    <cellStyle name="Normal 4 2 2 3 3 6 3 3" xfId="14813" xr:uid="{0E7EE066-D6DE-4050-85A1-3D7B24E041B7}"/>
    <cellStyle name="Normal 4 2 2 3 3 6 4" xfId="19030" xr:uid="{1C8E01C0-1422-44C0-B0E1-1DE7BCEE80A8}"/>
    <cellStyle name="Normal 4 2 2 3 3 6 5" xfId="10596" xr:uid="{B1108A01-CE4A-4A6D-9FC4-6D9E686FD2B9}"/>
    <cellStyle name="Normal 4 2 2 3 3 7" xfId="2504" xr:uid="{00000000-0005-0000-0000-000069120000}"/>
    <cellStyle name="Normal 4 2 2 3 3 7 2" xfId="6788" xr:uid="{00000000-0005-0000-0000-00006A120000}"/>
    <cellStyle name="Normal 4 2 2 3 3 7 2 2" xfId="23660" xr:uid="{9C0ADCF0-E029-4240-882F-AC2D1516589A}"/>
    <cellStyle name="Normal 4 2 2 3 3 7 2 3" xfId="15226" xr:uid="{1DE0D287-3C73-439F-97F9-60FE12E0B8BF}"/>
    <cellStyle name="Normal 4 2 2 3 3 7 3" xfId="19443" xr:uid="{4EDF3434-FF97-46B3-9867-D0E4188F0915}"/>
    <cellStyle name="Normal 4 2 2 3 3 7 4" xfId="11009" xr:uid="{6F4486EE-575A-46E1-8264-5AEA985421DB}"/>
    <cellStyle name="Normal 4 2 2 3 3 8" xfId="4723" xr:uid="{00000000-0005-0000-0000-00006B120000}"/>
    <cellStyle name="Normal 4 2 2 3 3 8 2" xfId="21595" xr:uid="{C9952BA0-BB41-4016-9769-D32E2B2D28BD}"/>
    <cellStyle name="Normal 4 2 2 3 3 8 3" xfId="13161" xr:uid="{283FA03B-6E6F-4EAF-9543-1E90F6494730}"/>
    <cellStyle name="Normal 4 2 2 3 3 9" xfId="17378" xr:uid="{40E12C6C-108A-4B26-9796-605A53F63ECF}"/>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24155" xr:uid="{6D4D793F-CD0C-4C7D-AC62-F8D629AFB55F}"/>
    <cellStyle name="Normal 4 2 2 3 4 2 2 2 3" xfId="15721" xr:uid="{B2FC1F10-C258-47E5-AF6B-271C41D59985}"/>
    <cellStyle name="Normal 4 2 2 3 4 2 2 3" xfId="19938" xr:uid="{59A73C9E-B4AD-4C3F-8BB0-CAD6F8A90A32}"/>
    <cellStyle name="Normal 4 2 2 3 4 2 2 4" xfId="11504" xr:uid="{31AEC791-96B0-4EFD-8C41-064E937C9A03}"/>
    <cellStyle name="Normal 4 2 2 3 4 2 3" xfId="5138" xr:uid="{00000000-0005-0000-0000-000070120000}"/>
    <cellStyle name="Normal 4 2 2 3 4 2 3 2" xfId="22010" xr:uid="{551C4210-EC32-499A-9587-CE9589B1E033}"/>
    <cellStyle name="Normal 4 2 2 3 4 2 3 3" xfId="13576" xr:uid="{E02FB688-347D-406E-9561-0296B2925FFD}"/>
    <cellStyle name="Normal 4 2 2 3 4 2 4" xfId="17793" xr:uid="{0CF35B7D-13BF-4451-B43D-01CB7AF8AE5E}"/>
    <cellStyle name="Normal 4 2 2 3 4 2 5" xfId="9359" xr:uid="{2707024E-C664-4120-B1FA-B76447709F47}"/>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24568" xr:uid="{F9DF6496-3735-4191-B81C-A74B8078C206}"/>
    <cellStyle name="Normal 4 2 2 3 4 3 2 2 3" xfId="16134" xr:uid="{978D2D6B-2854-4A59-9B79-4699848B917F}"/>
    <cellStyle name="Normal 4 2 2 3 4 3 2 3" xfId="20351" xr:uid="{A5FF42E5-7BBB-4DB4-A857-CA57A627CE81}"/>
    <cellStyle name="Normal 4 2 2 3 4 3 2 4" xfId="11917" xr:uid="{8FC4C3F3-9175-4CCF-BB23-86E0B4E9633E}"/>
    <cellStyle name="Normal 4 2 2 3 4 3 3" xfId="5551" xr:uid="{00000000-0005-0000-0000-000074120000}"/>
    <cellStyle name="Normal 4 2 2 3 4 3 3 2" xfId="22423" xr:uid="{5AD29058-B754-4CB8-9C8B-293DDE9592C2}"/>
    <cellStyle name="Normal 4 2 2 3 4 3 3 3" xfId="13989" xr:uid="{660BD401-5419-467C-9F85-4EE8C018C647}"/>
    <cellStyle name="Normal 4 2 2 3 4 3 4" xfId="18206" xr:uid="{4A7FA0EE-74F9-46CF-88FF-ADC963055BD0}"/>
    <cellStyle name="Normal 4 2 2 3 4 3 5" xfId="9772" xr:uid="{55B076B0-DA72-4770-BC3C-694237A19E31}"/>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24981" xr:uid="{D0B7575B-6666-4664-B78B-24803C08ADC1}"/>
    <cellStyle name="Normal 4 2 2 3 4 4 2 2 3" xfId="16547" xr:uid="{BD4923C9-B68C-4B47-A93C-1F4C137B1521}"/>
    <cellStyle name="Normal 4 2 2 3 4 4 2 3" xfId="20764" xr:uid="{AD80EFFC-8D82-4EDE-BE3C-9C525E59C2BE}"/>
    <cellStyle name="Normal 4 2 2 3 4 4 2 4" xfId="12330" xr:uid="{FF69D09B-7B11-453E-B679-00041ACF1A31}"/>
    <cellStyle name="Normal 4 2 2 3 4 4 3" xfId="5964" xr:uid="{00000000-0005-0000-0000-000078120000}"/>
    <cellStyle name="Normal 4 2 2 3 4 4 3 2" xfId="22836" xr:uid="{441AEC1E-0367-4940-B424-257E7308B9E6}"/>
    <cellStyle name="Normal 4 2 2 3 4 4 3 3" xfId="14402" xr:uid="{E66933A1-02A4-4754-A67A-0FB19B3568F8}"/>
    <cellStyle name="Normal 4 2 2 3 4 4 4" xfId="18619" xr:uid="{B4351F2E-A825-4C1C-AE03-63BE0A0570C4}"/>
    <cellStyle name="Normal 4 2 2 3 4 4 5" xfId="10185" xr:uid="{0ECBD66B-365E-4757-B20C-1395C818B943}"/>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25394" xr:uid="{C706A3DD-CE3F-4FF1-B700-3462FA22EDA2}"/>
    <cellStyle name="Normal 4 2 2 3 4 5 2 2 3" xfId="16960" xr:uid="{B84DDD8C-11AB-4AFC-9D33-4A0DDC51431A}"/>
    <cellStyle name="Normal 4 2 2 3 4 5 2 3" xfId="21177" xr:uid="{F60F41BC-8FCA-4C81-A272-C403E9D22A8E}"/>
    <cellStyle name="Normal 4 2 2 3 4 5 2 4" xfId="12743" xr:uid="{82223919-FBD8-426F-95FC-A836E1BFA750}"/>
    <cellStyle name="Normal 4 2 2 3 4 5 3" xfId="6377" xr:uid="{00000000-0005-0000-0000-00007C120000}"/>
    <cellStyle name="Normal 4 2 2 3 4 5 3 2" xfId="23249" xr:uid="{64CD7321-C3FE-4B66-8EFE-5018B093B3AB}"/>
    <cellStyle name="Normal 4 2 2 3 4 5 3 3" xfId="14815" xr:uid="{33C41DA5-28F4-4D54-A98E-81E281A2CE18}"/>
    <cellStyle name="Normal 4 2 2 3 4 5 4" xfId="19032" xr:uid="{D045C343-1261-4FCD-B4B3-5BBB7CDD0EA7}"/>
    <cellStyle name="Normal 4 2 2 3 4 5 5" xfId="10598" xr:uid="{86EC6C35-E3C6-45EF-A4EC-2DED42220F02}"/>
    <cellStyle name="Normal 4 2 2 3 4 6" xfId="2506" xr:uid="{00000000-0005-0000-0000-00007D120000}"/>
    <cellStyle name="Normal 4 2 2 3 4 6 2" xfId="6790" xr:uid="{00000000-0005-0000-0000-00007E120000}"/>
    <cellStyle name="Normal 4 2 2 3 4 6 2 2" xfId="23662" xr:uid="{1AA71333-CEE1-4518-9725-790423E33909}"/>
    <cellStyle name="Normal 4 2 2 3 4 6 2 3" xfId="15228" xr:uid="{B8577B3B-4513-46DF-9041-DD9E51F24219}"/>
    <cellStyle name="Normal 4 2 2 3 4 6 3" xfId="19445" xr:uid="{E92B2407-852E-468D-8968-310417278366}"/>
    <cellStyle name="Normal 4 2 2 3 4 6 4" xfId="11011" xr:uid="{082E8CE5-A3DA-4D11-AA39-322E5B0E0F46}"/>
    <cellStyle name="Normal 4 2 2 3 4 7" xfId="4725" xr:uid="{00000000-0005-0000-0000-00007F120000}"/>
    <cellStyle name="Normal 4 2 2 3 4 7 2" xfId="21597" xr:uid="{580FD309-1CE8-4A4B-9E5F-D94D85F8A2F3}"/>
    <cellStyle name="Normal 4 2 2 3 4 7 3" xfId="13163" xr:uid="{48EB3E2E-E2F2-4C97-8979-8C9FD2C28A25}"/>
    <cellStyle name="Normal 4 2 2 3 4 8" xfId="17380" xr:uid="{AC8CD450-2146-4326-B368-3415F3BA3DC2}"/>
    <cellStyle name="Normal 4 2 2 3 4 9" xfId="8946" xr:uid="{B84AED48-8E16-4EDB-AC6E-4BBA27E9C8CE}"/>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24148" xr:uid="{DF006987-A08F-438A-B0A4-8CE115E138CE}"/>
    <cellStyle name="Normal 4 2 2 3 5 2 2 3" xfId="15714" xr:uid="{FBA02AF7-3092-41CA-89B3-72E78B01B489}"/>
    <cellStyle name="Normal 4 2 2 3 5 2 3" xfId="19931" xr:uid="{178CAFE0-922A-4143-87FC-99995E20EF2C}"/>
    <cellStyle name="Normal 4 2 2 3 5 2 4" xfId="11497" xr:uid="{C9DDA303-E8D6-4814-B1F5-C03962D7B27C}"/>
    <cellStyle name="Normal 4 2 2 3 5 3" xfId="5131" xr:uid="{00000000-0005-0000-0000-000083120000}"/>
    <cellStyle name="Normal 4 2 2 3 5 3 2" xfId="22003" xr:uid="{1CEA5FB7-B124-4913-98B2-D5F798B85C61}"/>
    <cellStyle name="Normal 4 2 2 3 5 3 3" xfId="13569" xr:uid="{4C2CE232-9331-4A6E-A0F8-EB84C83309D0}"/>
    <cellStyle name="Normal 4 2 2 3 5 4" xfId="17786" xr:uid="{C5EF7B1A-9327-47DF-A76A-22B1AB2C0C59}"/>
    <cellStyle name="Normal 4 2 2 3 5 5" xfId="9352" xr:uid="{6CFB299A-D512-487C-9DDD-A3689EA9B2E4}"/>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24561" xr:uid="{2BC39C41-3A3E-48E5-B27C-B02D4AB998C8}"/>
    <cellStyle name="Normal 4 2 2 3 6 2 2 3" xfId="16127" xr:uid="{B9C78FB6-F35B-44C2-9459-592F745A3740}"/>
    <cellStyle name="Normal 4 2 2 3 6 2 3" xfId="20344" xr:uid="{55D5F334-C3A7-42F7-92EA-98BEA8683671}"/>
    <cellStyle name="Normal 4 2 2 3 6 2 4" xfId="11910" xr:uid="{83466F49-1C65-44E3-B95B-2EB308A409B5}"/>
    <cellStyle name="Normal 4 2 2 3 6 3" xfId="5544" xr:uid="{00000000-0005-0000-0000-000087120000}"/>
    <cellStyle name="Normal 4 2 2 3 6 3 2" xfId="22416" xr:uid="{CE77C308-EEDE-4ED5-9F4B-485BAB69721A}"/>
    <cellStyle name="Normal 4 2 2 3 6 3 3" xfId="13982" xr:uid="{5287BB7C-AA39-4E01-93AC-EE2F921FE89F}"/>
    <cellStyle name="Normal 4 2 2 3 6 4" xfId="18199" xr:uid="{DE4BCDE0-C4A5-4713-8A70-24A2EA4ED19C}"/>
    <cellStyle name="Normal 4 2 2 3 6 5" xfId="9765" xr:uid="{3CEAD9D6-FF46-4226-A918-CEB15C8CC303}"/>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24974" xr:uid="{2ECD321B-BA3D-40D5-BEEA-7B939DA83D3A}"/>
    <cellStyle name="Normal 4 2 2 3 7 2 2 3" xfId="16540" xr:uid="{B93282ED-FA2F-4D55-8AFE-1BFFA609BE66}"/>
    <cellStyle name="Normal 4 2 2 3 7 2 3" xfId="20757" xr:uid="{A8639A27-EE2E-4AEC-8691-75575F4868A7}"/>
    <cellStyle name="Normal 4 2 2 3 7 2 4" xfId="12323" xr:uid="{60DB250A-3AC5-4A8A-96E2-44995177F5C8}"/>
    <cellStyle name="Normal 4 2 2 3 7 3" xfId="5957" xr:uid="{00000000-0005-0000-0000-00008B120000}"/>
    <cellStyle name="Normal 4 2 2 3 7 3 2" xfId="22829" xr:uid="{C88884A3-13DF-40E8-B9D7-7B209632ABE4}"/>
    <cellStyle name="Normal 4 2 2 3 7 3 3" xfId="14395" xr:uid="{71C7A9C3-0DB6-4E65-ADD7-381C8AAB1047}"/>
    <cellStyle name="Normal 4 2 2 3 7 4" xfId="18612" xr:uid="{C4A6E78D-EE31-43D4-8A25-ED7E4563E68A}"/>
    <cellStyle name="Normal 4 2 2 3 7 5" xfId="10178" xr:uid="{C64A82E3-A789-4116-86D8-655AEC42B2CF}"/>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25387" xr:uid="{22C24864-D18A-423B-90FA-EB422923D573}"/>
    <cellStyle name="Normal 4 2 2 3 8 2 2 3" xfId="16953" xr:uid="{C269359D-532F-4A2F-9D06-1D9391802E8C}"/>
    <cellStyle name="Normal 4 2 2 3 8 2 3" xfId="21170" xr:uid="{79248AEA-3CEF-4373-937A-EE771DBD4A7E}"/>
    <cellStyle name="Normal 4 2 2 3 8 2 4" xfId="12736" xr:uid="{A03673AD-6BFC-4C99-8397-9AD4D7BA8595}"/>
    <cellStyle name="Normal 4 2 2 3 8 3" xfId="6370" xr:uid="{00000000-0005-0000-0000-00008F120000}"/>
    <cellStyle name="Normal 4 2 2 3 8 3 2" xfId="23242" xr:uid="{B1AEAB76-D685-491F-A4CB-49EC7878C02F}"/>
    <cellStyle name="Normal 4 2 2 3 8 3 3" xfId="14808" xr:uid="{49CD7594-79B4-47CC-BB09-30822C158E47}"/>
    <cellStyle name="Normal 4 2 2 3 8 4" xfId="19025" xr:uid="{BD956DF8-DC82-405C-B688-68C3D67B8C41}"/>
    <cellStyle name="Normal 4 2 2 3 8 5" xfId="10591" xr:uid="{EEA36F4F-2506-45A2-8DE3-190AD2CC9518}"/>
    <cellStyle name="Normal 4 2 2 3 9" xfId="2499" xr:uid="{00000000-0005-0000-0000-000090120000}"/>
    <cellStyle name="Normal 4 2 2 3 9 2" xfId="6783" xr:uid="{00000000-0005-0000-0000-000091120000}"/>
    <cellStyle name="Normal 4 2 2 3 9 2 2" xfId="23655" xr:uid="{3D93BB9F-33C0-40D8-8B14-B29E32D5063C}"/>
    <cellStyle name="Normal 4 2 2 3 9 2 3" xfId="15221" xr:uid="{45C7D04A-0C70-4F85-98F0-99DE73058214}"/>
    <cellStyle name="Normal 4 2 2 3 9 3" xfId="19438" xr:uid="{B8990034-DB68-4CC1-A900-9A626F84874C}"/>
    <cellStyle name="Normal 4 2 2 3 9 4" xfId="11004" xr:uid="{1255C029-0FEA-4FF1-8A86-6F63DE42CB86}"/>
    <cellStyle name="Normal 4 2 2 4" xfId="347" xr:uid="{00000000-0005-0000-0000-000092120000}"/>
    <cellStyle name="Normal 4 2 2 4 10" xfId="17381" xr:uid="{2B8D5779-4D0E-4B2E-ADD4-CCE1E1E6DBDC}"/>
    <cellStyle name="Normal 4 2 2 4 11" xfId="8947" xr:uid="{912CC5A4-A18C-4786-8B73-6C06CED87C26}"/>
    <cellStyle name="Normal 4 2 2 4 2" xfId="348" xr:uid="{00000000-0005-0000-0000-000093120000}"/>
    <cellStyle name="Normal 4 2 2 4 2 10" xfId="8948" xr:uid="{EF80AD90-2573-4672-A046-A566152B715F}"/>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24158" xr:uid="{646879F3-18F9-485A-BC34-C119FC81868E}"/>
    <cellStyle name="Normal 4 2 2 4 2 2 2 2 2 3" xfId="15724" xr:uid="{92D7F507-5461-4EEA-8601-5C1D1C8F7297}"/>
    <cellStyle name="Normal 4 2 2 4 2 2 2 2 3" xfId="19941" xr:uid="{08D3A486-AAC4-41E1-A8A4-835E9DDB9900}"/>
    <cellStyle name="Normal 4 2 2 4 2 2 2 2 4" xfId="11507" xr:uid="{E1153844-2890-4DA6-8BA0-ABBF756DCEDE}"/>
    <cellStyle name="Normal 4 2 2 4 2 2 2 3" xfId="5141" xr:uid="{00000000-0005-0000-0000-000098120000}"/>
    <cellStyle name="Normal 4 2 2 4 2 2 2 3 2" xfId="22013" xr:uid="{39EF0D5A-7369-43CE-8A28-B653DF48AEC0}"/>
    <cellStyle name="Normal 4 2 2 4 2 2 2 3 3" xfId="13579" xr:uid="{FB2795B5-2A35-4E7B-BDB7-007EB068E082}"/>
    <cellStyle name="Normal 4 2 2 4 2 2 2 4" xfId="17796" xr:uid="{49A48938-566D-406C-A8B4-89B217101DCA}"/>
    <cellStyle name="Normal 4 2 2 4 2 2 2 5" xfId="9362" xr:uid="{3DA61E2E-EA17-4348-87B0-2F63665A734B}"/>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24571" xr:uid="{EA5A7046-48F9-4CCD-9EBC-AFD2F0AE9542}"/>
    <cellStyle name="Normal 4 2 2 4 2 2 3 2 2 3" xfId="16137" xr:uid="{D13EB8A3-FD72-46DC-8B60-4E2400FE65F1}"/>
    <cellStyle name="Normal 4 2 2 4 2 2 3 2 3" xfId="20354" xr:uid="{BF695A32-86F1-48B8-BAE7-8502EBF3AE7A}"/>
    <cellStyle name="Normal 4 2 2 4 2 2 3 2 4" xfId="11920" xr:uid="{94B5D7D3-592B-411C-86CA-9A4B4EF056F9}"/>
    <cellStyle name="Normal 4 2 2 4 2 2 3 3" xfId="5554" xr:uid="{00000000-0005-0000-0000-00009C120000}"/>
    <cellStyle name="Normal 4 2 2 4 2 2 3 3 2" xfId="22426" xr:uid="{34C20865-072A-4BAF-B1AF-83D810F77B31}"/>
    <cellStyle name="Normal 4 2 2 4 2 2 3 3 3" xfId="13992" xr:uid="{EB53B5CF-0890-44A5-A0E3-033F3037E1EB}"/>
    <cellStyle name="Normal 4 2 2 4 2 2 3 4" xfId="18209" xr:uid="{F8FC45E1-DD0A-4355-833E-0EB469A82C98}"/>
    <cellStyle name="Normal 4 2 2 4 2 2 3 5" xfId="9775" xr:uid="{4EF8E9EA-B77A-4134-85C9-F34A77B3548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24984" xr:uid="{A08C38C7-6EB7-4D88-86CB-1B219D7B061C}"/>
    <cellStyle name="Normal 4 2 2 4 2 2 4 2 2 3" xfId="16550" xr:uid="{E1AC46F6-4C5D-4A3D-B2FC-7D1B0D5C297D}"/>
    <cellStyle name="Normal 4 2 2 4 2 2 4 2 3" xfId="20767" xr:uid="{BC2CC024-00F6-4237-A9FB-528F013F4A1A}"/>
    <cellStyle name="Normal 4 2 2 4 2 2 4 2 4" xfId="12333" xr:uid="{0C8246C0-7B30-4AA2-A13E-EA8BE8058E9C}"/>
    <cellStyle name="Normal 4 2 2 4 2 2 4 3" xfId="5967" xr:uid="{00000000-0005-0000-0000-0000A0120000}"/>
    <cellStyle name="Normal 4 2 2 4 2 2 4 3 2" xfId="22839" xr:uid="{D8817620-7DC7-49CD-93E6-7C511983082D}"/>
    <cellStyle name="Normal 4 2 2 4 2 2 4 3 3" xfId="14405" xr:uid="{008D35C9-18B4-4778-8799-68386E56D863}"/>
    <cellStyle name="Normal 4 2 2 4 2 2 4 4" xfId="18622" xr:uid="{B8FB7116-5ECC-4B5C-B226-42C0A1B0398D}"/>
    <cellStyle name="Normal 4 2 2 4 2 2 4 5" xfId="10188" xr:uid="{CAA481A5-B2B8-4087-834C-DC856076F012}"/>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25397" xr:uid="{229A4423-1C26-45BE-B3C5-9E9532F7CF1C}"/>
    <cellStyle name="Normal 4 2 2 4 2 2 5 2 2 3" xfId="16963" xr:uid="{20C54C05-B85B-4084-B24E-CE9B74B38DA0}"/>
    <cellStyle name="Normal 4 2 2 4 2 2 5 2 3" xfId="21180" xr:uid="{2119A7C9-8248-498C-8E74-AE6736BCBAC3}"/>
    <cellStyle name="Normal 4 2 2 4 2 2 5 2 4" xfId="12746" xr:uid="{3753C701-49DD-49BD-948E-BACA0F1D651E}"/>
    <cellStyle name="Normal 4 2 2 4 2 2 5 3" xfId="6380" xr:uid="{00000000-0005-0000-0000-0000A4120000}"/>
    <cellStyle name="Normal 4 2 2 4 2 2 5 3 2" xfId="23252" xr:uid="{A7C97E23-D451-46D0-8B94-3301E1FB5909}"/>
    <cellStyle name="Normal 4 2 2 4 2 2 5 3 3" xfId="14818" xr:uid="{86831858-1B52-4FDD-9CFB-0249FCB5B40E}"/>
    <cellStyle name="Normal 4 2 2 4 2 2 5 4" xfId="19035" xr:uid="{54EE0CE3-6A12-4E8E-BA66-A0A3689889EC}"/>
    <cellStyle name="Normal 4 2 2 4 2 2 5 5" xfId="10601" xr:uid="{3DA94254-4D19-42CF-9FBB-A383BBBC05A0}"/>
    <cellStyle name="Normal 4 2 2 4 2 2 6" xfId="2509" xr:uid="{00000000-0005-0000-0000-0000A5120000}"/>
    <cellStyle name="Normal 4 2 2 4 2 2 6 2" xfId="6793" xr:uid="{00000000-0005-0000-0000-0000A6120000}"/>
    <cellStyle name="Normal 4 2 2 4 2 2 6 2 2" xfId="23665" xr:uid="{91B93B86-5DF4-4B6D-A368-7D59FAFE9EBB}"/>
    <cellStyle name="Normal 4 2 2 4 2 2 6 2 3" xfId="15231" xr:uid="{97B1928F-481A-4E78-89CB-B586B3503658}"/>
    <cellStyle name="Normal 4 2 2 4 2 2 6 3" xfId="19448" xr:uid="{A24C2A55-255F-4FEC-989F-5C0E0620E427}"/>
    <cellStyle name="Normal 4 2 2 4 2 2 6 4" xfId="11014" xr:uid="{2ADD0B7F-36B5-4B05-9BF6-404C173D60BB}"/>
    <cellStyle name="Normal 4 2 2 4 2 2 7" xfId="4728" xr:uid="{00000000-0005-0000-0000-0000A7120000}"/>
    <cellStyle name="Normal 4 2 2 4 2 2 7 2" xfId="21600" xr:uid="{3172A073-6379-49F8-BB12-E67C4D637DF9}"/>
    <cellStyle name="Normal 4 2 2 4 2 2 7 3" xfId="13166" xr:uid="{3D105366-856C-4465-BE78-FCEAC6EB15D3}"/>
    <cellStyle name="Normal 4 2 2 4 2 2 8" xfId="17383" xr:uid="{90C2FA35-7632-4C39-9F82-92E0FF0DAD49}"/>
    <cellStyle name="Normal 4 2 2 4 2 2 9" xfId="8949" xr:uid="{77B36FFD-37F3-402A-8A1C-E587347AD1C1}"/>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24157" xr:uid="{D0E9FF18-55FC-4352-A4DA-1B9CA2D364C7}"/>
    <cellStyle name="Normal 4 2 2 4 2 3 2 2 3" xfId="15723" xr:uid="{57262B98-4AEF-48AA-908B-E82E3160006F}"/>
    <cellStyle name="Normal 4 2 2 4 2 3 2 3" xfId="19940" xr:uid="{FC6F02A0-5616-48AF-A1A2-EB91BF801807}"/>
    <cellStyle name="Normal 4 2 2 4 2 3 2 4" xfId="11506" xr:uid="{C9B3471E-69ED-4750-AD73-427653ECAE70}"/>
    <cellStyle name="Normal 4 2 2 4 2 3 3" xfId="5140" xr:uid="{00000000-0005-0000-0000-0000AB120000}"/>
    <cellStyle name="Normal 4 2 2 4 2 3 3 2" xfId="22012" xr:uid="{4FF9D255-2664-42B8-A2BC-51F2C351CCD1}"/>
    <cellStyle name="Normal 4 2 2 4 2 3 3 3" xfId="13578" xr:uid="{5A062466-2C66-46B1-9C31-2FC49449A345}"/>
    <cellStyle name="Normal 4 2 2 4 2 3 4" xfId="17795" xr:uid="{2F03C681-6C1F-461B-B0EB-57EC5CE561C4}"/>
    <cellStyle name="Normal 4 2 2 4 2 3 5" xfId="9361" xr:uid="{8BC8F6FD-1512-4A3B-B96D-D54FD154877A}"/>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24570" xr:uid="{8A0AB6A1-01AD-482B-8CB1-005749E3CE83}"/>
    <cellStyle name="Normal 4 2 2 4 2 4 2 2 3" xfId="16136" xr:uid="{E0FBE3F5-0767-4C3B-9857-CCC58FE132FD}"/>
    <cellStyle name="Normal 4 2 2 4 2 4 2 3" xfId="20353" xr:uid="{B4E15474-B35B-400F-A2A0-34CFA58D289A}"/>
    <cellStyle name="Normal 4 2 2 4 2 4 2 4" xfId="11919" xr:uid="{D26EE8F4-5392-4124-9A3C-62DB4E7A037A}"/>
    <cellStyle name="Normal 4 2 2 4 2 4 3" xfId="5553" xr:uid="{00000000-0005-0000-0000-0000AF120000}"/>
    <cellStyle name="Normal 4 2 2 4 2 4 3 2" xfId="22425" xr:uid="{D060C8ED-CEBA-4199-8B7E-6059BE1D234A}"/>
    <cellStyle name="Normal 4 2 2 4 2 4 3 3" xfId="13991" xr:uid="{65CB31E4-5A36-46D4-A726-8A50EC4C4870}"/>
    <cellStyle name="Normal 4 2 2 4 2 4 4" xfId="18208" xr:uid="{AB8491C9-64C2-44A8-B9C0-9A6120F7D7EA}"/>
    <cellStyle name="Normal 4 2 2 4 2 4 5" xfId="9774" xr:uid="{6529354C-4291-479F-A13A-D708965B5D25}"/>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24983" xr:uid="{49BC8326-4708-4462-8F08-48F533DECFA3}"/>
    <cellStyle name="Normal 4 2 2 4 2 5 2 2 3" xfId="16549" xr:uid="{BD9BB812-8142-424D-9F2D-5CE79948845F}"/>
    <cellStyle name="Normal 4 2 2 4 2 5 2 3" xfId="20766" xr:uid="{5CB9EF99-4CF8-4A6F-88BF-6086C18FAF1A}"/>
    <cellStyle name="Normal 4 2 2 4 2 5 2 4" xfId="12332" xr:uid="{FF2E8223-FACD-47A6-810F-BFA93BDD48C6}"/>
    <cellStyle name="Normal 4 2 2 4 2 5 3" xfId="5966" xr:uid="{00000000-0005-0000-0000-0000B3120000}"/>
    <cellStyle name="Normal 4 2 2 4 2 5 3 2" xfId="22838" xr:uid="{9F0043C9-3097-4601-9AF8-A0CF579B1AEC}"/>
    <cellStyle name="Normal 4 2 2 4 2 5 3 3" xfId="14404" xr:uid="{782C698C-BA1E-45CF-9929-1ACC400170F4}"/>
    <cellStyle name="Normal 4 2 2 4 2 5 4" xfId="18621" xr:uid="{F60ECCE6-E97D-4D79-81E2-C986BEA2416F}"/>
    <cellStyle name="Normal 4 2 2 4 2 5 5" xfId="10187" xr:uid="{255DDF2D-999D-4339-B5EA-F8D368320607}"/>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25396" xr:uid="{4D66ECB6-6553-48D4-9512-E6A13448FD45}"/>
    <cellStyle name="Normal 4 2 2 4 2 6 2 2 3" xfId="16962" xr:uid="{9959099B-B6C0-497E-AC1F-3678A6302FAF}"/>
    <cellStyle name="Normal 4 2 2 4 2 6 2 3" xfId="21179" xr:uid="{11F8C704-1D40-4DF7-AF65-D5CEAF11E9E4}"/>
    <cellStyle name="Normal 4 2 2 4 2 6 2 4" xfId="12745" xr:uid="{D6E6FC7A-BDC5-4EF9-A6A3-B27F430DBEDE}"/>
    <cellStyle name="Normal 4 2 2 4 2 6 3" xfId="6379" xr:uid="{00000000-0005-0000-0000-0000B7120000}"/>
    <cellStyle name="Normal 4 2 2 4 2 6 3 2" xfId="23251" xr:uid="{A163907A-BFCB-4C27-9C3E-4E4CF8915CF9}"/>
    <cellStyle name="Normal 4 2 2 4 2 6 3 3" xfId="14817" xr:uid="{50854BF7-0813-4A9C-B1DE-1AED64D7A2C7}"/>
    <cellStyle name="Normal 4 2 2 4 2 6 4" xfId="19034" xr:uid="{7B284E66-6FF1-4A76-BD5E-70350D923D9C}"/>
    <cellStyle name="Normal 4 2 2 4 2 6 5" xfId="10600" xr:uid="{4FB9110E-6C23-41F1-BC92-C6FC10FDE2E9}"/>
    <cellStyle name="Normal 4 2 2 4 2 7" xfId="2508" xr:uid="{00000000-0005-0000-0000-0000B8120000}"/>
    <cellStyle name="Normal 4 2 2 4 2 7 2" xfId="6792" xr:uid="{00000000-0005-0000-0000-0000B9120000}"/>
    <cellStyle name="Normal 4 2 2 4 2 7 2 2" xfId="23664" xr:uid="{DCA8CCF5-C2EE-4638-86F1-7919C2CD26DE}"/>
    <cellStyle name="Normal 4 2 2 4 2 7 2 3" xfId="15230" xr:uid="{A8C49FF0-8830-4B33-906C-157250C4BD5A}"/>
    <cellStyle name="Normal 4 2 2 4 2 7 3" xfId="19447" xr:uid="{DB8A7EF2-5701-490C-8850-1A5C324FF045}"/>
    <cellStyle name="Normal 4 2 2 4 2 7 4" xfId="11013" xr:uid="{1BD1AAD2-F809-4EFC-B745-5C37FCE38683}"/>
    <cellStyle name="Normal 4 2 2 4 2 8" xfId="4727" xr:uid="{00000000-0005-0000-0000-0000BA120000}"/>
    <cellStyle name="Normal 4 2 2 4 2 8 2" xfId="21599" xr:uid="{CDADBF15-76D2-4EAC-ADD9-49439937EBAA}"/>
    <cellStyle name="Normal 4 2 2 4 2 8 3" xfId="13165" xr:uid="{35B7E8BC-2C77-4A99-AE62-E207C5F569A8}"/>
    <cellStyle name="Normal 4 2 2 4 2 9" xfId="17382" xr:uid="{AECD23CA-45BC-4223-AC43-BCA8B4ACBDB9}"/>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24159" xr:uid="{7A8B3511-1B91-4BA0-82D4-BA2516BDDD1F}"/>
    <cellStyle name="Normal 4 2 2 4 3 2 2 2 3" xfId="15725" xr:uid="{00C94740-7E24-4504-86FA-ADAD3D7D6797}"/>
    <cellStyle name="Normal 4 2 2 4 3 2 2 3" xfId="19942" xr:uid="{62BF784A-0B27-4C6B-830B-88725D4E56CB}"/>
    <cellStyle name="Normal 4 2 2 4 3 2 2 4" xfId="11508" xr:uid="{5BC899F9-7557-4A20-AB0B-8A55F54BAD33}"/>
    <cellStyle name="Normal 4 2 2 4 3 2 3" xfId="5142" xr:uid="{00000000-0005-0000-0000-0000BF120000}"/>
    <cellStyle name="Normal 4 2 2 4 3 2 3 2" xfId="22014" xr:uid="{426B26AF-13DC-497E-9DC4-833CEB4BEA73}"/>
    <cellStyle name="Normal 4 2 2 4 3 2 3 3" xfId="13580" xr:uid="{9CEF9F83-9F0B-4D60-935C-C0A63A31DD2E}"/>
    <cellStyle name="Normal 4 2 2 4 3 2 4" xfId="17797" xr:uid="{9396179B-CC2E-4CC1-9D61-2C29D04D254A}"/>
    <cellStyle name="Normal 4 2 2 4 3 2 5" xfId="9363" xr:uid="{64FAB2D1-A240-4446-9F26-380DE75423CC}"/>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24572" xr:uid="{63429CC8-BED5-40BB-8439-438490D3279D}"/>
    <cellStyle name="Normal 4 2 2 4 3 3 2 2 3" xfId="16138" xr:uid="{86F52409-CD14-40ED-926E-39104E1E9414}"/>
    <cellStyle name="Normal 4 2 2 4 3 3 2 3" xfId="20355" xr:uid="{53D12F03-6294-4D4C-83FB-35DFC3370143}"/>
    <cellStyle name="Normal 4 2 2 4 3 3 2 4" xfId="11921" xr:uid="{BB6646DD-D79B-4771-A93E-E54B7573E247}"/>
    <cellStyle name="Normal 4 2 2 4 3 3 3" xfId="5555" xr:uid="{00000000-0005-0000-0000-0000C3120000}"/>
    <cellStyle name="Normal 4 2 2 4 3 3 3 2" xfId="22427" xr:uid="{DEBD12A9-E8C5-4008-84DC-4690E0D6B402}"/>
    <cellStyle name="Normal 4 2 2 4 3 3 3 3" xfId="13993" xr:uid="{AF1DA88F-CF43-45A1-942D-C5C4AC1BAC0B}"/>
    <cellStyle name="Normal 4 2 2 4 3 3 4" xfId="18210" xr:uid="{1250320F-EF66-43C7-9DFF-BA90F38A6CCE}"/>
    <cellStyle name="Normal 4 2 2 4 3 3 5" xfId="9776" xr:uid="{ADCA2618-26DA-4070-87A7-E764DBB07794}"/>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24985" xr:uid="{DD0A90F1-1B1F-41D7-84D7-D6D1CA60B9D7}"/>
    <cellStyle name="Normal 4 2 2 4 3 4 2 2 3" xfId="16551" xr:uid="{FF48B011-9373-4A81-A67A-6E452B673F57}"/>
    <cellStyle name="Normal 4 2 2 4 3 4 2 3" xfId="20768" xr:uid="{F0680490-2AFC-4D23-9664-0F7DD5B6259D}"/>
    <cellStyle name="Normal 4 2 2 4 3 4 2 4" xfId="12334" xr:uid="{A5F38F01-406C-402F-A8D5-9C0A79FDBFAB}"/>
    <cellStyle name="Normal 4 2 2 4 3 4 3" xfId="5968" xr:uid="{00000000-0005-0000-0000-0000C7120000}"/>
    <cellStyle name="Normal 4 2 2 4 3 4 3 2" xfId="22840" xr:uid="{D31A6FB3-33B4-4EBE-B774-F8693F54975C}"/>
    <cellStyle name="Normal 4 2 2 4 3 4 3 3" xfId="14406" xr:uid="{345E7788-2725-4682-AD0E-3557C3289EA4}"/>
    <cellStyle name="Normal 4 2 2 4 3 4 4" xfId="18623" xr:uid="{8F74FFFB-15C7-4C36-9DA4-6EFA213A60C0}"/>
    <cellStyle name="Normal 4 2 2 4 3 4 5" xfId="10189" xr:uid="{927997FD-0AD0-44F8-930B-46B4FA9FE974}"/>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25398" xr:uid="{E8030EC9-59F1-454F-B1BD-D5BEE61D0F0E}"/>
    <cellStyle name="Normal 4 2 2 4 3 5 2 2 3" xfId="16964" xr:uid="{37C2FA2D-4017-41FA-9F89-FC333AFA74F2}"/>
    <cellStyle name="Normal 4 2 2 4 3 5 2 3" xfId="21181" xr:uid="{1BD8464B-313B-4C88-9C3B-9034910FC276}"/>
    <cellStyle name="Normal 4 2 2 4 3 5 2 4" xfId="12747" xr:uid="{62EDBF35-A371-45C8-889B-D19A56FC76E2}"/>
    <cellStyle name="Normal 4 2 2 4 3 5 3" xfId="6381" xr:uid="{00000000-0005-0000-0000-0000CB120000}"/>
    <cellStyle name="Normal 4 2 2 4 3 5 3 2" xfId="23253" xr:uid="{51FD0F31-2E49-4E4D-AB6E-8C69AF95C157}"/>
    <cellStyle name="Normal 4 2 2 4 3 5 3 3" xfId="14819" xr:uid="{C3931CA4-86A8-48BB-8E77-5184086A07C4}"/>
    <cellStyle name="Normal 4 2 2 4 3 5 4" xfId="19036" xr:uid="{C81C4FDD-41EE-458E-97A4-EE5672E11CA8}"/>
    <cellStyle name="Normal 4 2 2 4 3 5 5" xfId="10602" xr:uid="{57E54D20-A916-48FB-967B-EAA3D03C2A0C}"/>
    <cellStyle name="Normal 4 2 2 4 3 6" xfId="2510" xr:uid="{00000000-0005-0000-0000-0000CC120000}"/>
    <cellStyle name="Normal 4 2 2 4 3 6 2" xfId="6794" xr:uid="{00000000-0005-0000-0000-0000CD120000}"/>
    <cellStyle name="Normal 4 2 2 4 3 6 2 2" xfId="23666" xr:uid="{B38F4A39-9B24-42B9-958E-434BED4E14C8}"/>
    <cellStyle name="Normal 4 2 2 4 3 6 2 3" xfId="15232" xr:uid="{86A88EEC-5C91-489E-BFF8-7004C453CB4E}"/>
    <cellStyle name="Normal 4 2 2 4 3 6 3" xfId="19449" xr:uid="{BA997051-8847-4AE5-877B-A7387AF4C2EB}"/>
    <cellStyle name="Normal 4 2 2 4 3 6 4" xfId="11015" xr:uid="{FE8027CD-E6D9-4E5D-BF02-47B02BC66CCA}"/>
    <cellStyle name="Normal 4 2 2 4 3 7" xfId="4729" xr:uid="{00000000-0005-0000-0000-0000CE120000}"/>
    <cellStyle name="Normal 4 2 2 4 3 7 2" xfId="21601" xr:uid="{9FA59E2A-DBDF-4F0D-8059-25995E5D3191}"/>
    <cellStyle name="Normal 4 2 2 4 3 7 3" xfId="13167" xr:uid="{9815C049-5FBD-4C6E-B2D0-D31A5333E50C}"/>
    <cellStyle name="Normal 4 2 2 4 3 8" xfId="17384" xr:uid="{453375BB-E15B-48B7-8C1A-5DA988E1F1D8}"/>
    <cellStyle name="Normal 4 2 2 4 3 9" xfId="8950" xr:uid="{17ABFDC6-A124-4D14-A2BF-2122D30AED28}"/>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24156" xr:uid="{DDF884D7-0382-449C-A53B-2A9BDCE62267}"/>
    <cellStyle name="Normal 4 2 2 4 4 2 2 3" xfId="15722" xr:uid="{B6868E81-3EC6-463C-8C54-AB5F2EB774B7}"/>
    <cellStyle name="Normal 4 2 2 4 4 2 3" xfId="19939" xr:uid="{CA49ED10-607D-492E-B2C0-0F8BD6A88EB2}"/>
    <cellStyle name="Normal 4 2 2 4 4 2 4" xfId="11505" xr:uid="{647BF646-86D2-4874-A9E1-CA7E0E898410}"/>
    <cellStyle name="Normal 4 2 2 4 4 3" xfId="5139" xr:uid="{00000000-0005-0000-0000-0000D2120000}"/>
    <cellStyle name="Normal 4 2 2 4 4 3 2" xfId="22011" xr:uid="{9EF5E182-8E68-498D-90A9-243D451856EF}"/>
    <cellStyle name="Normal 4 2 2 4 4 3 3" xfId="13577" xr:uid="{6E563358-1B61-4E02-B978-0EDA6AC26581}"/>
    <cellStyle name="Normal 4 2 2 4 4 4" xfId="17794" xr:uid="{B761D538-E19D-4EDE-967B-75E8DDC6C2BA}"/>
    <cellStyle name="Normal 4 2 2 4 4 5" xfId="9360" xr:uid="{64EC3ECF-7379-4846-A75D-412CDCE014E7}"/>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24569" xr:uid="{4FDB0F21-097E-48B9-A9DF-901A96190DA9}"/>
    <cellStyle name="Normal 4 2 2 4 5 2 2 3" xfId="16135" xr:uid="{2C3ED7B2-8539-4C02-9D1F-B452FA96C610}"/>
    <cellStyle name="Normal 4 2 2 4 5 2 3" xfId="20352" xr:uid="{8A8151B9-948B-4A08-8BE6-536C086ABDA2}"/>
    <cellStyle name="Normal 4 2 2 4 5 2 4" xfId="11918" xr:uid="{719868E8-439A-41F6-8038-6111E32888BC}"/>
    <cellStyle name="Normal 4 2 2 4 5 3" xfId="5552" xr:uid="{00000000-0005-0000-0000-0000D6120000}"/>
    <cellStyle name="Normal 4 2 2 4 5 3 2" xfId="22424" xr:uid="{D0DB448D-2AE0-4F6F-A823-AE3DFE027D47}"/>
    <cellStyle name="Normal 4 2 2 4 5 3 3" xfId="13990" xr:uid="{A84D143D-846E-424A-BA94-82BE921332F7}"/>
    <cellStyle name="Normal 4 2 2 4 5 4" xfId="18207" xr:uid="{04DFAF9B-B4E7-4E94-BB20-9EBA76DC8145}"/>
    <cellStyle name="Normal 4 2 2 4 5 5" xfId="9773" xr:uid="{60A68833-10D4-4BCA-8EE2-3059119EA914}"/>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24982" xr:uid="{627B391C-C181-4BAA-AEF9-1F0E30CD07D8}"/>
    <cellStyle name="Normal 4 2 2 4 6 2 2 3" xfId="16548" xr:uid="{85E57D07-4D82-483A-90E2-68B4711489C3}"/>
    <cellStyle name="Normal 4 2 2 4 6 2 3" xfId="20765" xr:uid="{3F07D3C5-8052-4E63-89C2-7216A422415B}"/>
    <cellStyle name="Normal 4 2 2 4 6 2 4" xfId="12331" xr:uid="{DBFF97F4-EFBD-445E-86C6-5F0DD1C076F2}"/>
    <cellStyle name="Normal 4 2 2 4 6 3" xfId="5965" xr:uid="{00000000-0005-0000-0000-0000DA120000}"/>
    <cellStyle name="Normal 4 2 2 4 6 3 2" xfId="22837" xr:uid="{EAC3540E-4449-4DAD-B59A-C36FA39D906A}"/>
    <cellStyle name="Normal 4 2 2 4 6 3 3" xfId="14403" xr:uid="{CC3D9D86-1C0F-44C9-84E7-945F023F7F48}"/>
    <cellStyle name="Normal 4 2 2 4 6 4" xfId="18620" xr:uid="{5EF1A626-542E-41D4-9C48-E8639ABF676D}"/>
    <cellStyle name="Normal 4 2 2 4 6 5" xfId="10186" xr:uid="{6BF34A8B-F80E-4779-BFC5-B3814BD80181}"/>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25395" xr:uid="{D50F69C6-20BE-4BDE-BE46-C1CCEE9BEEEF}"/>
    <cellStyle name="Normal 4 2 2 4 7 2 2 3" xfId="16961" xr:uid="{7235DD8E-B913-42C9-A078-2002AAD628AE}"/>
    <cellStyle name="Normal 4 2 2 4 7 2 3" xfId="21178" xr:uid="{A2CA0E3C-987A-4FDC-B7ED-D1C2C164CA29}"/>
    <cellStyle name="Normal 4 2 2 4 7 2 4" xfId="12744" xr:uid="{A13CB044-3C87-4D0A-B69B-52D79F574C83}"/>
    <cellStyle name="Normal 4 2 2 4 7 3" xfId="6378" xr:uid="{00000000-0005-0000-0000-0000DE120000}"/>
    <cellStyle name="Normal 4 2 2 4 7 3 2" xfId="23250" xr:uid="{CFC5AA55-9A01-4178-9279-F16A6105FCFB}"/>
    <cellStyle name="Normal 4 2 2 4 7 3 3" xfId="14816" xr:uid="{4E23FCBB-D4AE-4416-B3F2-3F0105DDFFCB}"/>
    <cellStyle name="Normal 4 2 2 4 7 4" xfId="19033" xr:uid="{0FC07007-9E55-464F-93B9-A96381F12208}"/>
    <cellStyle name="Normal 4 2 2 4 7 5" xfId="10599" xr:uid="{60D3D126-4CB4-486E-B895-A6B0814E7D58}"/>
    <cellStyle name="Normal 4 2 2 4 8" xfId="2507" xr:uid="{00000000-0005-0000-0000-0000DF120000}"/>
    <cellStyle name="Normal 4 2 2 4 8 2" xfId="6791" xr:uid="{00000000-0005-0000-0000-0000E0120000}"/>
    <cellStyle name="Normal 4 2 2 4 8 2 2" xfId="23663" xr:uid="{29B60CE6-F2D5-4440-841C-7932A9C7F74C}"/>
    <cellStyle name="Normal 4 2 2 4 8 2 3" xfId="15229" xr:uid="{5297C8AD-73CF-481E-ACCF-8AB3150952D5}"/>
    <cellStyle name="Normal 4 2 2 4 8 3" xfId="19446" xr:uid="{8C087964-FCF2-474A-8970-FA45ED4D9455}"/>
    <cellStyle name="Normal 4 2 2 4 8 4" xfId="11012" xr:uid="{E8B3ACEB-FF8F-4F41-9AFF-2A7A5FAB1B22}"/>
    <cellStyle name="Normal 4 2 2 4 9" xfId="4726" xr:uid="{00000000-0005-0000-0000-0000E1120000}"/>
    <cellStyle name="Normal 4 2 2 4 9 2" xfId="21598" xr:uid="{FAA39238-BEE1-4059-89BC-EF1642F90211}"/>
    <cellStyle name="Normal 4 2 2 4 9 3" xfId="13164" xr:uid="{5A8B5233-950B-45E6-9A12-4BEB66C8E5C6}"/>
    <cellStyle name="Normal 4 2 2 5" xfId="351" xr:uid="{00000000-0005-0000-0000-0000E2120000}"/>
    <cellStyle name="Normal 4 2 2 5 10" xfId="8951" xr:uid="{66106CD7-8BC6-4620-8B42-51B5F6B461D2}"/>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24161" xr:uid="{702A9763-C7D2-4453-8136-8A0B7DEB0B2B}"/>
    <cellStyle name="Normal 4 2 2 5 2 2 2 2 3" xfId="15727" xr:uid="{C2650EC6-7701-405F-9BC6-EF8AD552F5E2}"/>
    <cellStyle name="Normal 4 2 2 5 2 2 2 3" xfId="19944" xr:uid="{385B0FEA-34F4-404C-97AD-03A28ECE6716}"/>
    <cellStyle name="Normal 4 2 2 5 2 2 2 4" xfId="11510" xr:uid="{7F4B599C-90B1-422D-AB45-12F9DD1D33B4}"/>
    <cellStyle name="Normal 4 2 2 5 2 2 3" xfId="5144" xr:uid="{00000000-0005-0000-0000-0000E7120000}"/>
    <cellStyle name="Normal 4 2 2 5 2 2 3 2" xfId="22016" xr:uid="{36CF15E4-0EE3-4AAE-8F11-8911F6B36D5D}"/>
    <cellStyle name="Normal 4 2 2 5 2 2 3 3" xfId="13582" xr:uid="{40B9217D-DD2E-4251-9C6C-BBDE602D82EA}"/>
    <cellStyle name="Normal 4 2 2 5 2 2 4" xfId="17799" xr:uid="{C998DD9E-FC96-4F3E-9887-182015BF1BFC}"/>
    <cellStyle name="Normal 4 2 2 5 2 2 5" xfId="9365" xr:uid="{8CB961AD-E8B8-4950-AFCB-6C998E0BBF4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24574" xr:uid="{4E0D8102-BAD5-4192-AB38-3308554E599F}"/>
    <cellStyle name="Normal 4 2 2 5 2 3 2 2 3" xfId="16140" xr:uid="{36238B05-327E-4E31-B3E2-ED4D81225B7D}"/>
    <cellStyle name="Normal 4 2 2 5 2 3 2 3" xfId="20357" xr:uid="{D852A33A-6BC6-45FF-8FF8-8A6DAC771150}"/>
    <cellStyle name="Normal 4 2 2 5 2 3 2 4" xfId="11923" xr:uid="{ECE876BF-9529-4E2C-9852-CFC2591C5921}"/>
    <cellStyle name="Normal 4 2 2 5 2 3 3" xfId="5557" xr:uid="{00000000-0005-0000-0000-0000EB120000}"/>
    <cellStyle name="Normal 4 2 2 5 2 3 3 2" xfId="22429" xr:uid="{099B99D7-D92C-4934-AE44-81D34813B68F}"/>
    <cellStyle name="Normal 4 2 2 5 2 3 3 3" xfId="13995" xr:uid="{974C2DD0-4220-4106-BB29-EFC72ED9933F}"/>
    <cellStyle name="Normal 4 2 2 5 2 3 4" xfId="18212" xr:uid="{C3294AC1-C820-46BC-A277-CA78B92454F1}"/>
    <cellStyle name="Normal 4 2 2 5 2 3 5" xfId="9778" xr:uid="{C56A9B2E-14FB-43CE-A8F3-32C3181EC777}"/>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24987" xr:uid="{BE62159E-9E41-4038-B0CB-6C6AEE780D01}"/>
    <cellStyle name="Normal 4 2 2 5 2 4 2 2 3" xfId="16553" xr:uid="{883E2EE3-44F2-4710-BAB9-B398636A1CB5}"/>
    <cellStyle name="Normal 4 2 2 5 2 4 2 3" xfId="20770" xr:uid="{D6C42524-E854-4B2B-AD5F-DC531F1AB84A}"/>
    <cellStyle name="Normal 4 2 2 5 2 4 2 4" xfId="12336" xr:uid="{482EDFB3-5A60-4EC0-97F1-402FEEE00A38}"/>
    <cellStyle name="Normal 4 2 2 5 2 4 3" xfId="5970" xr:uid="{00000000-0005-0000-0000-0000EF120000}"/>
    <cellStyle name="Normal 4 2 2 5 2 4 3 2" xfId="22842" xr:uid="{893DCF64-8ADB-405B-B4E6-6C7F6B4D9CE0}"/>
    <cellStyle name="Normal 4 2 2 5 2 4 3 3" xfId="14408" xr:uid="{B0010C20-A2EE-4E59-83AF-CDC4EFF0D9EA}"/>
    <cellStyle name="Normal 4 2 2 5 2 4 4" xfId="18625" xr:uid="{1794C38D-5477-4761-AFC7-42457F9D50F1}"/>
    <cellStyle name="Normal 4 2 2 5 2 4 5" xfId="10191" xr:uid="{D6901452-6422-41C1-9D06-0F8D62EC38D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25400" xr:uid="{66F1578C-42ED-46CC-ACBD-506C017968D0}"/>
    <cellStyle name="Normal 4 2 2 5 2 5 2 2 3" xfId="16966" xr:uid="{A178183E-9BAF-44A9-AF4B-DE8A0F821B1D}"/>
    <cellStyle name="Normal 4 2 2 5 2 5 2 3" xfId="21183" xr:uid="{E3E64711-18D1-41D4-B3D9-1AE524979217}"/>
    <cellStyle name="Normal 4 2 2 5 2 5 2 4" xfId="12749" xr:uid="{822604D9-60D7-4DDC-81C4-A0143CB4C4E0}"/>
    <cellStyle name="Normal 4 2 2 5 2 5 3" xfId="6383" xr:uid="{00000000-0005-0000-0000-0000F3120000}"/>
    <cellStyle name="Normal 4 2 2 5 2 5 3 2" xfId="23255" xr:uid="{F35AF543-1D41-4429-8FA9-65FDAED9BD32}"/>
    <cellStyle name="Normal 4 2 2 5 2 5 3 3" xfId="14821" xr:uid="{6D6F2A42-2D2D-4028-8CAA-13B916B218C7}"/>
    <cellStyle name="Normal 4 2 2 5 2 5 4" xfId="19038" xr:uid="{8305E433-32CA-48C7-BA91-8DE3648DEC8D}"/>
    <cellStyle name="Normal 4 2 2 5 2 5 5" xfId="10604" xr:uid="{D50A6935-0A96-45C2-B3F7-101F03A621C7}"/>
    <cellStyle name="Normal 4 2 2 5 2 6" xfId="2512" xr:uid="{00000000-0005-0000-0000-0000F4120000}"/>
    <cellStyle name="Normal 4 2 2 5 2 6 2" xfId="6796" xr:uid="{00000000-0005-0000-0000-0000F5120000}"/>
    <cellStyle name="Normal 4 2 2 5 2 6 2 2" xfId="23668" xr:uid="{87F9CB30-424B-410F-B98D-5E4C62F06390}"/>
    <cellStyle name="Normal 4 2 2 5 2 6 2 3" xfId="15234" xr:uid="{B2BDCF84-F08F-4ED8-B1DB-AE64E49D5B48}"/>
    <cellStyle name="Normal 4 2 2 5 2 6 3" xfId="19451" xr:uid="{84E2B5AB-0950-47FB-8650-1625DD1F7CBF}"/>
    <cellStyle name="Normal 4 2 2 5 2 6 4" xfId="11017" xr:uid="{940AB95D-A141-4C86-AD98-23F5D2AFF87F}"/>
    <cellStyle name="Normal 4 2 2 5 2 7" xfId="4731" xr:uid="{00000000-0005-0000-0000-0000F6120000}"/>
    <cellStyle name="Normal 4 2 2 5 2 7 2" xfId="21603" xr:uid="{71FC05D8-C118-48A8-B784-2381FB2497B1}"/>
    <cellStyle name="Normal 4 2 2 5 2 7 3" xfId="13169" xr:uid="{3FDA56F6-FB5D-469D-8A0E-033495ED8F1B}"/>
    <cellStyle name="Normal 4 2 2 5 2 8" xfId="17386" xr:uid="{DCCD48EE-039A-420E-ACC0-A7FAB9ED1D3F}"/>
    <cellStyle name="Normal 4 2 2 5 2 9" xfId="8952" xr:uid="{4302571E-081D-4D91-ABD8-849DFFF5D49C}"/>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24160" xr:uid="{82AAC50D-0C47-443F-B23E-5CCE640E7971}"/>
    <cellStyle name="Normal 4 2 2 5 3 2 2 3" xfId="15726" xr:uid="{7E51B6FC-28F3-42CD-B40D-8414771E9108}"/>
    <cellStyle name="Normal 4 2 2 5 3 2 3" xfId="19943" xr:uid="{D6F30045-0D03-4A9C-B312-4C6D190F3639}"/>
    <cellStyle name="Normal 4 2 2 5 3 2 4" xfId="11509" xr:uid="{D9D8F7B7-461D-4E24-AD0A-805C1790DCA0}"/>
    <cellStyle name="Normal 4 2 2 5 3 3" xfId="5143" xr:uid="{00000000-0005-0000-0000-0000FA120000}"/>
    <cellStyle name="Normal 4 2 2 5 3 3 2" xfId="22015" xr:uid="{F5520275-D4D3-40B1-8397-C42BA0F979CF}"/>
    <cellStyle name="Normal 4 2 2 5 3 3 3" xfId="13581" xr:uid="{9E1F85B3-EF53-4F1D-BA71-466234F4BB80}"/>
    <cellStyle name="Normal 4 2 2 5 3 4" xfId="17798" xr:uid="{C140F9C7-E4D8-475E-85FD-477C1C4300DC}"/>
    <cellStyle name="Normal 4 2 2 5 3 5" xfId="9364" xr:uid="{DBA0D6C6-2FE3-46A1-8AFA-1C97688DB7C9}"/>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24573" xr:uid="{1F87B551-2C90-4BE0-A488-A125FCF48C22}"/>
    <cellStyle name="Normal 4 2 2 5 4 2 2 3" xfId="16139" xr:uid="{A017E569-1F1F-40FC-8B34-C7BF48B902A6}"/>
    <cellStyle name="Normal 4 2 2 5 4 2 3" xfId="20356" xr:uid="{45A4F101-9827-4103-A5E7-10A799F7D833}"/>
    <cellStyle name="Normal 4 2 2 5 4 2 4" xfId="11922" xr:uid="{25FF919A-7D36-4274-AF7B-FF90CA0E59C0}"/>
    <cellStyle name="Normal 4 2 2 5 4 3" xfId="5556" xr:uid="{00000000-0005-0000-0000-0000FE120000}"/>
    <cellStyle name="Normal 4 2 2 5 4 3 2" xfId="22428" xr:uid="{779CEAB5-6F4B-422B-BC96-FDCF689FBCDB}"/>
    <cellStyle name="Normal 4 2 2 5 4 3 3" xfId="13994" xr:uid="{5A6096B5-1856-4462-B98F-79D4B6CB0BE6}"/>
    <cellStyle name="Normal 4 2 2 5 4 4" xfId="18211" xr:uid="{6AEA790E-A823-406C-9E07-1127E52A22D3}"/>
    <cellStyle name="Normal 4 2 2 5 4 5" xfId="9777" xr:uid="{83D811FB-A1DF-4D84-BC34-D56941BDCA50}"/>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24986" xr:uid="{0C2546A3-AC60-438B-85C3-FABF21D8311F}"/>
    <cellStyle name="Normal 4 2 2 5 5 2 2 3" xfId="16552" xr:uid="{5285D668-C380-4DEB-B28D-3BDEAE5743BB}"/>
    <cellStyle name="Normal 4 2 2 5 5 2 3" xfId="20769" xr:uid="{91275F5D-E8B2-4250-872C-3E52CF3E8ACD}"/>
    <cellStyle name="Normal 4 2 2 5 5 2 4" xfId="12335" xr:uid="{97C9E536-8C97-4E42-873E-04DFDD5E541D}"/>
    <cellStyle name="Normal 4 2 2 5 5 3" xfId="5969" xr:uid="{00000000-0005-0000-0000-000002130000}"/>
    <cellStyle name="Normal 4 2 2 5 5 3 2" xfId="22841" xr:uid="{61DCE788-D9E1-4660-867E-664D33A6F6DD}"/>
    <cellStyle name="Normal 4 2 2 5 5 3 3" xfId="14407" xr:uid="{BDE845DE-046B-4CDA-A3E5-616AEFE8DA4E}"/>
    <cellStyle name="Normal 4 2 2 5 5 4" xfId="18624" xr:uid="{8F4317A9-F04E-40EE-9991-3C712B6BFFAD}"/>
    <cellStyle name="Normal 4 2 2 5 5 5" xfId="10190" xr:uid="{E538907C-B1FD-460F-AB27-703A94E833D5}"/>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25399" xr:uid="{955BAE19-11A1-41EF-A6E2-95847B42170C}"/>
    <cellStyle name="Normal 4 2 2 5 6 2 2 3" xfId="16965" xr:uid="{776D9994-1351-4CEA-A2AC-5AC2E98386A5}"/>
    <cellStyle name="Normal 4 2 2 5 6 2 3" xfId="21182" xr:uid="{8B7BEBC2-2C88-4444-BA24-70EDEF81DC9D}"/>
    <cellStyle name="Normal 4 2 2 5 6 2 4" xfId="12748" xr:uid="{C276D426-A090-49D0-9F2B-A9A2C4636A47}"/>
    <cellStyle name="Normal 4 2 2 5 6 3" xfId="6382" xr:uid="{00000000-0005-0000-0000-000006130000}"/>
    <cellStyle name="Normal 4 2 2 5 6 3 2" xfId="23254" xr:uid="{309BDC71-0734-4187-B053-025466DC9E57}"/>
    <cellStyle name="Normal 4 2 2 5 6 3 3" xfId="14820" xr:uid="{72099CF4-04C6-4F93-ACD1-42377BC03FE7}"/>
    <cellStyle name="Normal 4 2 2 5 6 4" xfId="19037" xr:uid="{C344B4CA-3415-4D1C-A9A1-442EB5A9725C}"/>
    <cellStyle name="Normal 4 2 2 5 6 5" xfId="10603" xr:uid="{82D235C2-7A5C-4AF6-8914-0B2E531F0910}"/>
    <cellStyle name="Normal 4 2 2 5 7" xfId="2511" xr:uid="{00000000-0005-0000-0000-000007130000}"/>
    <cellStyle name="Normal 4 2 2 5 7 2" xfId="6795" xr:uid="{00000000-0005-0000-0000-000008130000}"/>
    <cellStyle name="Normal 4 2 2 5 7 2 2" xfId="23667" xr:uid="{2DDCAD83-5C71-4793-B56E-47A3FF4DF2BA}"/>
    <cellStyle name="Normal 4 2 2 5 7 2 3" xfId="15233" xr:uid="{0F7C8965-2875-49E2-8DF6-07AF928912ED}"/>
    <cellStyle name="Normal 4 2 2 5 7 3" xfId="19450" xr:uid="{7DB76C26-79C6-4552-8246-5E26DCC02E9B}"/>
    <cellStyle name="Normal 4 2 2 5 7 4" xfId="11016" xr:uid="{94C7545B-E7EA-4A75-A1BF-662C2346120A}"/>
    <cellStyle name="Normal 4 2 2 5 8" xfId="4730" xr:uid="{00000000-0005-0000-0000-000009130000}"/>
    <cellStyle name="Normal 4 2 2 5 8 2" xfId="21602" xr:uid="{60D5AB35-85EB-44D9-850F-A6A4EA2005C4}"/>
    <cellStyle name="Normal 4 2 2 5 8 3" xfId="13168" xr:uid="{6F15A684-79F8-4DB6-90A0-7986BB1F56E3}"/>
    <cellStyle name="Normal 4 2 2 5 9" xfId="17385" xr:uid="{A861E964-7BE3-42EE-A2B2-28587759E8F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24162" xr:uid="{C8B787D6-9D4C-4569-A720-EB28C1DD8395}"/>
    <cellStyle name="Normal 4 2 2 6 2 2 2 3" xfId="15728" xr:uid="{1DE24BDA-6C9C-4A9F-BC75-FEA036B9CA6C}"/>
    <cellStyle name="Normal 4 2 2 6 2 2 3" xfId="19945" xr:uid="{F28676D7-5375-4D35-A4B1-830F43E4AC51}"/>
    <cellStyle name="Normal 4 2 2 6 2 2 4" xfId="11511" xr:uid="{46A8BCEF-D724-44C0-8BA8-4FD7F063F581}"/>
    <cellStyle name="Normal 4 2 2 6 2 3" xfId="5145" xr:uid="{00000000-0005-0000-0000-00000E130000}"/>
    <cellStyle name="Normal 4 2 2 6 2 3 2" xfId="22017" xr:uid="{515767EA-7696-431A-A689-FDCBAA4E60F0}"/>
    <cellStyle name="Normal 4 2 2 6 2 3 3" xfId="13583" xr:uid="{8AEBA308-0B75-4735-94C8-02B146373E97}"/>
    <cellStyle name="Normal 4 2 2 6 2 4" xfId="17800" xr:uid="{22C58B1A-69A5-419C-82B2-167658A3F7DF}"/>
    <cellStyle name="Normal 4 2 2 6 2 5" xfId="9366" xr:uid="{25FACC40-FE70-4FF3-9B44-B9DEE7D8CC3A}"/>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24575" xr:uid="{9994AD79-3AD3-4947-9251-2A9425F93BC5}"/>
    <cellStyle name="Normal 4 2 2 6 3 2 2 3" xfId="16141" xr:uid="{5FE8EE2A-6DE9-446C-9DF8-D31D9263FC47}"/>
    <cellStyle name="Normal 4 2 2 6 3 2 3" xfId="20358" xr:uid="{69637683-9835-4654-ACEB-1328603F0D4C}"/>
    <cellStyle name="Normal 4 2 2 6 3 2 4" xfId="11924" xr:uid="{28101445-7AC9-4FF4-B827-4A44904F19E4}"/>
    <cellStyle name="Normal 4 2 2 6 3 3" xfId="5558" xr:uid="{00000000-0005-0000-0000-000012130000}"/>
    <cellStyle name="Normal 4 2 2 6 3 3 2" xfId="22430" xr:uid="{A816537E-59B7-4696-A483-6F74728BC2EB}"/>
    <cellStyle name="Normal 4 2 2 6 3 3 3" xfId="13996" xr:uid="{2E5AD89F-ABA2-4184-B2FE-CCC8503742E6}"/>
    <cellStyle name="Normal 4 2 2 6 3 4" xfId="18213" xr:uid="{13700931-F26D-468F-99D1-811E8292AB1B}"/>
    <cellStyle name="Normal 4 2 2 6 3 5" xfId="9779" xr:uid="{434AB79F-09E1-4779-9D01-D8CD5DF8E610}"/>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24988" xr:uid="{529F4A0E-364C-449F-B43F-0CBAC77AAC3F}"/>
    <cellStyle name="Normal 4 2 2 6 4 2 2 3" xfId="16554" xr:uid="{0153E9D4-C148-43F4-AC6B-0FD2C5EB5A8D}"/>
    <cellStyle name="Normal 4 2 2 6 4 2 3" xfId="20771" xr:uid="{E7DD1808-2136-49CA-8F8D-28A37B30F1EF}"/>
    <cellStyle name="Normal 4 2 2 6 4 2 4" xfId="12337" xr:uid="{570EE6F1-81A5-4803-976C-02D4B5A62E31}"/>
    <cellStyle name="Normal 4 2 2 6 4 3" xfId="5971" xr:uid="{00000000-0005-0000-0000-000016130000}"/>
    <cellStyle name="Normal 4 2 2 6 4 3 2" xfId="22843" xr:uid="{64DFF875-CB84-4173-9BF3-E234A1146882}"/>
    <cellStyle name="Normal 4 2 2 6 4 3 3" xfId="14409" xr:uid="{A0FB0496-F55F-4995-ADF5-9FBBED484D06}"/>
    <cellStyle name="Normal 4 2 2 6 4 4" xfId="18626" xr:uid="{F9474600-080C-4CCE-95A3-6D935AD30DFF}"/>
    <cellStyle name="Normal 4 2 2 6 4 5" xfId="10192" xr:uid="{EBA75821-0444-4D28-882E-82448078C9E3}"/>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25401" xr:uid="{9BDE4764-B163-4B16-98E3-65D7CD557BA2}"/>
    <cellStyle name="Normal 4 2 2 6 5 2 2 3" xfId="16967" xr:uid="{518A7654-ED3A-4EB7-8753-D7379AB20C82}"/>
    <cellStyle name="Normal 4 2 2 6 5 2 3" xfId="21184" xr:uid="{6004014C-6954-444E-93C2-DC148B4F733A}"/>
    <cellStyle name="Normal 4 2 2 6 5 2 4" xfId="12750" xr:uid="{D84C8CD2-DA7A-455A-8533-2666546ED433}"/>
    <cellStyle name="Normal 4 2 2 6 5 3" xfId="6384" xr:uid="{00000000-0005-0000-0000-00001A130000}"/>
    <cellStyle name="Normal 4 2 2 6 5 3 2" xfId="23256" xr:uid="{EB82AA16-11C1-4768-9F4D-0DAA320AE5CF}"/>
    <cellStyle name="Normal 4 2 2 6 5 3 3" xfId="14822" xr:uid="{47818B15-86AA-4041-BECA-57737D1E8B19}"/>
    <cellStyle name="Normal 4 2 2 6 5 4" xfId="19039" xr:uid="{5459AB34-6C91-454A-95FE-CAEEB1CEC50A}"/>
    <cellStyle name="Normal 4 2 2 6 5 5" xfId="10605" xr:uid="{67EFDCA4-01A9-461D-8CB0-6C0851E80C93}"/>
    <cellStyle name="Normal 4 2 2 6 6" xfId="2513" xr:uid="{00000000-0005-0000-0000-00001B130000}"/>
    <cellStyle name="Normal 4 2 2 6 6 2" xfId="6797" xr:uid="{00000000-0005-0000-0000-00001C130000}"/>
    <cellStyle name="Normal 4 2 2 6 6 2 2" xfId="23669" xr:uid="{8859F3BC-A78E-40FE-A7AE-892ED740A004}"/>
    <cellStyle name="Normal 4 2 2 6 6 2 3" xfId="15235" xr:uid="{47F2C352-F520-448B-A55C-E4A23A926C38}"/>
    <cellStyle name="Normal 4 2 2 6 6 3" xfId="19452" xr:uid="{8B9DC553-B680-413D-87D0-7EF3338A5C15}"/>
    <cellStyle name="Normal 4 2 2 6 6 4" xfId="11018" xr:uid="{5459CE72-8317-4500-89A6-CAE1111554E3}"/>
    <cellStyle name="Normal 4 2 2 6 7" xfId="4732" xr:uid="{00000000-0005-0000-0000-00001D130000}"/>
    <cellStyle name="Normal 4 2 2 6 7 2" xfId="21604" xr:uid="{63B245D3-4289-4CF9-8ED0-49FDE9CF9090}"/>
    <cellStyle name="Normal 4 2 2 6 7 3" xfId="13170" xr:uid="{DEF59174-8DAA-48CE-9C9B-6E65E71AB43B}"/>
    <cellStyle name="Normal 4 2 2 6 8" xfId="17387" xr:uid="{87143561-032D-420E-8941-EF08907D8CB4}"/>
    <cellStyle name="Normal 4 2 2 6 9" xfId="8953" xr:uid="{F91B0B9D-1870-4E94-AC57-BA030C3D4F99}"/>
    <cellStyle name="Normal 4 2 2 7" xfId="815" xr:uid="{00000000-0005-0000-0000-00001E130000}"/>
    <cellStyle name="Normal 4 2 2 7 2" xfId="3052" xr:uid="{00000000-0005-0000-0000-00001F130000}"/>
    <cellStyle name="Normal 4 2 2 7 2 2" xfId="7275" xr:uid="{00000000-0005-0000-0000-000020130000}"/>
    <cellStyle name="Normal 4 2 2 7 2 2 2" xfId="24147" xr:uid="{DA454872-8D86-4564-B46D-2EB60B4D95E6}"/>
    <cellStyle name="Normal 4 2 2 7 2 2 3" xfId="15713" xr:uid="{C0CED1E1-81A7-4570-98BB-7148E65932F1}"/>
    <cellStyle name="Normal 4 2 2 7 2 3" xfId="19930" xr:uid="{2332BEB3-3D6A-4DE7-9B51-C13231AE4DBC}"/>
    <cellStyle name="Normal 4 2 2 7 2 4" xfId="11496" xr:uid="{588B3C2C-D370-4461-87D0-D737AB1780D3}"/>
    <cellStyle name="Normal 4 2 2 7 3" xfId="5130" xr:uid="{00000000-0005-0000-0000-000021130000}"/>
    <cellStyle name="Normal 4 2 2 7 3 2" xfId="22002" xr:uid="{FE4F0D5D-E3DD-4B10-982E-7F946D6ED272}"/>
    <cellStyle name="Normal 4 2 2 7 3 3" xfId="13568" xr:uid="{9730AC2D-3F01-436F-9040-25E174CFF56D}"/>
    <cellStyle name="Normal 4 2 2 7 4" xfId="17785" xr:uid="{DC0EA59B-F53F-4554-955A-A9FA0F1783F7}"/>
    <cellStyle name="Normal 4 2 2 7 5" xfId="9351" xr:uid="{B8CD8DF2-BD8E-46F7-B221-FDD793694AAA}"/>
    <cellStyle name="Normal 4 2 2 8" xfId="1235" xr:uid="{00000000-0005-0000-0000-000022130000}"/>
    <cellStyle name="Normal 4 2 2 8 2" xfId="3465" xr:uid="{00000000-0005-0000-0000-000023130000}"/>
    <cellStyle name="Normal 4 2 2 8 2 2" xfId="7688" xr:uid="{00000000-0005-0000-0000-000024130000}"/>
    <cellStyle name="Normal 4 2 2 8 2 2 2" xfId="24560" xr:uid="{A9898AC5-2F8D-4F07-87F0-2411A0054CE7}"/>
    <cellStyle name="Normal 4 2 2 8 2 2 3" xfId="16126" xr:uid="{8DBAC4E8-C794-400A-80A6-EA335C2A0872}"/>
    <cellStyle name="Normal 4 2 2 8 2 3" xfId="20343" xr:uid="{EE7D5078-93B3-48B5-B5BE-91FC291299B9}"/>
    <cellStyle name="Normal 4 2 2 8 2 4" xfId="11909" xr:uid="{A5165F20-CB82-49F1-85C9-4BD83DE25518}"/>
    <cellStyle name="Normal 4 2 2 8 3" xfId="5543" xr:uid="{00000000-0005-0000-0000-000025130000}"/>
    <cellStyle name="Normal 4 2 2 8 3 2" xfId="22415" xr:uid="{BB4A876E-9EDA-435B-8B74-EEA69A97A7B0}"/>
    <cellStyle name="Normal 4 2 2 8 3 3" xfId="13981" xr:uid="{6E0B4D01-DC0F-4E32-A874-A59724DE6FF9}"/>
    <cellStyle name="Normal 4 2 2 8 4" xfId="18198" xr:uid="{D6EDCDD0-7B96-4400-A239-153E80B62A04}"/>
    <cellStyle name="Normal 4 2 2 8 5" xfId="9764" xr:uid="{4EDAC846-D790-4C7E-8C87-0DC46E65CF81}"/>
    <cellStyle name="Normal 4 2 2 9" xfId="1648" xr:uid="{00000000-0005-0000-0000-000026130000}"/>
    <cellStyle name="Normal 4 2 2 9 2" xfId="3878" xr:uid="{00000000-0005-0000-0000-000027130000}"/>
    <cellStyle name="Normal 4 2 2 9 2 2" xfId="8101" xr:uid="{00000000-0005-0000-0000-000028130000}"/>
    <cellStyle name="Normal 4 2 2 9 2 2 2" xfId="24973" xr:uid="{D9FA971F-6177-4B84-A38C-C54CCD13900F}"/>
    <cellStyle name="Normal 4 2 2 9 2 2 3" xfId="16539" xr:uid="{6B9E94B5-B748-4A29-938F-A9CD3A885501}"/>
    <cellStyle name="Normal 4 2 2 9 2 3" xfId="20756" xr:uid="{2716978F-8FBC-48A2-B64F-B41FB02F3880}"/>
    <cellStyle name="Normal 4 2 2 9 2 4" xfId="12322" xr:uid="{72EF0F44-CF8F-41C6-8144-B670CD2EDA62}"/>
    <cellStyle name="Normal 4 2 2 9 3" xfId="5956" xr:uid="{00000000-0005-0000-0000-000029130000}"/>
    <cellStyle name="Normal 4 2 2 9 3 2" xfId="22828" xr:uid="{782CB5E3-4337-4F3C-A1AF-013EE3BB928A}"/>
    <cellStyle name="Normal 4 2 2 9 3 3" xfId="14394" xr:uid="{D46776B2-9749-4194-8D29-FBF7DDBD0F37}"/>
    <cellStyle name="Normal 4 2 2 9 4" xfId="18611" xr:uid="{DA4A638B-722B-45F3-8076-36DC57AEC175}"/>
    <cellStyle name="Normal 4 2 2 9 5" xfId="10177" xr:uid="{146E2706-2C58-472A-8695-BC42A76BA686}"/>
    <cellStyle name="Normal 4 2 3" xfId="354" xr:uid="{00000000-0005-0000-0000-00002A130000}"/>
    <cellStyle name="Normal 4 2 4" xfId="355" xr:uid="{00000000-0005-0000-0000-00002B130000}"/>
    <cellStyle name="Normal 4 2 4 10" xfId="4733" xr:uid="{00000000-0005-0000-0000-00002C130000}"/>
    <cellStyle name="Normal 4 2 4 10 2" xfId="21605" xr:uid="{8BA683D6-FD87-465C-95DA-8328D6C75DFD}"/>
    <cellStyle name="Normal 4 2 4 10 3" xfId="13171" xr:uid="{E3E01AA5-9CCE-4AF7-9244-A882CC96ED03}"/>
    <cellStyle name="Normal 4 2 4 11" xfId="17388" xr:uid="{0C3C2DA8-FFEA-4C5D-BB73-40B0F12C6A47}"/>
    <cellStyle name="Normal 4 2 4 12" xfId="8954" xr:uid="{D386AB73-26BE-4615-8C8C-D8E78D1F6902}"/>
    <cellStyle name="Normal 4 2 4 2" xfId="356" xr:uid="{00000000-0005-0000-0000-00002D130000}"/>
    <cellStyle name="Normal 4 2 4 2 10" xfId="17389" xr:uid="{07F3F5F8-7302-4B7B-A884-99F1E392C5D7}"/>
    <cellStyle name="Normal 4 2 4 2 11" xfId="8955" xr:uid="{F2E7A6CC-D420-416D-A399-CA1A43A03131}"/>
    <cellStyle name="Normal 4 2 4 2 2" xfId="357" xr:uid="{00000000-0005-0000-0000-00002E130000}"/>
    <cellStyle name="Normal 4 2 4 2 2 10" xfId="8956" xr:uid="{C4BB54A4-FD4F-4E32-A0E8-6264D3199437}"/>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24166" xr:uid="{C50E47B6-2D8A-4DFF-9E97-F6B0B9CE9DC7}"/>
    <cellStyle name="Normal 4 2 4 2 2 2 2 2 2 3" xfId="15732" xr:uid="{664938E1-8067-44C5-93E6-FA503BE62327}"/>
    <cellStyle name="Normal 4 2 4 2 2 2 2 2 3" xfId="19949" xr:uid="{C5359F87-3F3E-41DC-A0D0-5ED00A9B7785}"/>
    <cellStyle name="Normal 4 2 4 2 2 2 2 2 4" xfId="11515" xr:uid="{38B948C8-8062-4CAB-ABB4-28DA7C2CB13C}"/>
    <cellStyle name="Normal 4 2 4 2 2 2 2 3" xfId="5149" xr:uid="{00000000-0005-0000-0000-000033130000}"/>
    <cellStyle name="Normal 4 2 4 2 2 2 2 3 2" xfId="22021" xr:uid="{3DAB7619-E16E-41A7-AB01-7C15DE381DD0}"/>
    <cellStyle name="Normal 4 2 4 2 2 2 2 3 3" xfId="13587" xr:uid="{ED832EB0-0DB6-4842-B804-06DD1D9D81A6}"/>
    <cellStyle name="Normal 4 2 4 2 2 2 2 4" xfId="17804" xr:uid="{3FE07972-A311-48A5-B407-ED901DF5E91B}"/>
    <cellStyle name="Normal 4 2 4 2 2 2 2 5" xfId="9370" xr:uid="{2A078DE2-C10E-4650-A58A-95F356DD4314}"/>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24579" xr:uid="{3F6658DC-0D50-427E-81E8-3A77BB95172F}"/>
    <cellStyle name="Normal 4 2 4 2 2 2 3 2 2 3" xfId="16145" xr:uid="{74020035-FF81-4245-95D6-E3266A316857}"/>
    <cellStyle name="Normal 4 2 4 2 2 2 3 2 3" xfId="20362" xr:uid="{3C1326BF-879F-4610-A618-4E61360FBA24}"/>
    <cellStyle name="Normal 4 2 4 2 2 2 3 2 4" xfId="11928" xr:uid="{CE7F2206-F649-4AA9-9B0D-CACD52DF5F55}"/>
    <cellStyle name="Normal 4 2 4 2 2 2 3 3" xfId="5562" xr:uid="{00000000-0005-0000-0000-000037130000}"/>
    <cellStyle name="Normal 4 2 4 2 2 2 3 3 2" xfId="22434" xr:uid="{D4754E24-2EC2-409E-974A-83E7F8B8E32C}"/>
    <cellStyle name="Normal 4 2 4 2 2 2 3 3 3" xfId="14000" xr:uid="{47D5E06D-FA41-4024-8547-47D7DF6AE18E}"/>
    <cellStyle name="Normal 4 2 4 2 2 2 3 4" xfId="18217" xr:uid="{4A8CBE53-34B1-4EDF-87E1-A0D3A120C6E4}"/>
    <cellStyle name="Normal 4 2 4 2 2 2 3 5" xfId="9783" xr:uid="{B685AE3B-6F3C-43EA-9BD1-31C4D2B25E16}"/>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24992" xr:uid="{C676026B-9F71-43B6-8E84-3EF353AD58AC}"/>
    <cellStyle name="Normal 4 2 4 2 2 2 4 2 2 3" xfId="16558" xr:uid="{17F0866D-7AD8-4017-B0D6-57E2AC8215FE}"/>
    <cellStyle name="Normal 4 2 4 2 2 2 4 2 3" xfId="20775" xr:uid="{4925E435-F18F-4F3E-8DCF-6278B6E6AEF5}"/>
    <cellStyle name="Normal 4 2 4 2 2 2 4 2 4" xfId="12341" xr:uid="{2AF7B7B8-8583-493B-9565-2476CC021520}"/>
    <cellStyle name="Normal 4 2 4 2 2 2 4 3" xfId="5975" xr:uid="{00000000-0005-0000-0000-00003B130000}"/>
    <cellStyle name="Normal 4 2 4 2 2 2 4 3 2" xfId="22847" xr:uid="{91A7E119-8D59-4102-910E-66CF982021DD}"/>
    <cellStyle name="Normal 4 2 4 2 2 2 4 3 3" xfId="14413" xr:uid="{AFBB99BC-5E33-4CEE-819A-5568508C216C}"/>
    <cellStyle name="Normal 4 2 4 2 2 2 4 4" xfId="18630" xr:uid="{2740165E-A617-4384-9AB9-2269067A66C6}"/>
    <cellStyle name="Normal 4 2 4 2 2 2 4 5" xfId="10196" xr:uid="{955DD70F-8C33-48FB-B1DB-DCE5CCD2BE6A}"/>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25405" xr:uid="{7DB7977E-AE95-47FE-8662-B79FFA8B2E3B}"/>
    <cellStyle name="Normal 4 2 4 2 2 2 5 2 2 3" xfId="16971" xr:uid="{118EA721-4512-41E6-A7DE-931AE93F89C9}"/>
    <cellStyle name="Normal 4 2 4 2 2 2 5 2 3" xfId="21188" xr:uid="{9C362240-F3C6-453D-B4AC-0056FA5EF82E}"/>
    <cellStyle name="Normal 4 2 4 2 2 2 5 2 4" xfId="12754" xr:uid="{5B486ED9-A448-41B1-BFC1-C823422061CA}"/>
    <cellStyle name="Normal 4 2 4 2 2 2 5 3" xfId="6388" xr:uid="{00000000-0005-0000-0000-00003F130000}"/>
    <cellStyle name="Normal 4 2 4 2 2 2 5 3 2" xfId="23260" xr:uid="{CC002D54-2679-4867-8394-9118156A9EB3}"/>
    <cellStyle name="Normal 4 2 4 2 2 2 5 3 3" xfId="14826" xr:uid="{B2226CEA-EBC4-4288-BBBD-310B455425EB}"/>
    <cellStyle name="Normal 4 2 4 2 2 2 5 4" xfId="19043" xr:uid="{8EBB57C8-B144-4D2D-A3ED-0E6F19142FD1}"/>
    <cellStyle name="Normal 4 2 4 2 2 2 5 5" xfId="10609" xr:uid="{382292DD-F51E-4F52-8633-22D755140196}"/>
    <cellStyle name="Normal 4 2 4 2 2 2 6" xfId="2517" xr:uid="{00000000-0005-0000-0000-000040130000}"/>
    <cellStyle name="Normal 4 2 4 2 2 2 6 2" xfId="6801" xr:uid="{00000000-0005-0000-0000-000041130000}"/>
    <cellStyle name="Normal 4 2 4 2 2 2 6 2 2" xfId="23673" xr:uid="{DD0D70E2-F060-4B98-9FE9-B26F4CE6081B}"/>
    <cellStyle name="Normal 4 2 4 2 2 2 6 2 3" xfId="15239" xr:uid="{D533EC3B-F5F7-4383-A55C-40E02EE158FC}"/>
    <cellStyle name="Normal 4 2 4 2 2 2 6 3" xfId="19456" xr:uid="{40698686-B4E9-4DCB-AC9A-88A91F3E9F79}"/>
    <cellStyle name="Normal 4 2 4 2 2 2 6 4" xfId="11022" xr:uid="{90F34070-C2CC-4155-AD09-BFA6A19E7207}"/>
    <cellStyle name="Normal 4 2 4 2 2 2 7" xfId="4736" xr:uid="{00000000-0005-0000-0000-000042130000}"/>
    <cellStyle name="Normal 4 2 4 2 2 2 7 2" xfId="21608" xr:uid="{1E6AC10F-8C96-4E8B-8D73-FB7FBEA4E958}"/>
    <cellStyle name="Normal 4 2 4 2 2 2 7 3" xfId="13174" xr:uid="{8B683DDB-49D6-494D-94CE-EE2C5E18B9FC}"/>
    <cellStyle name="Normal 4 2 4 2 2 2 8" xfId="17391" xr:uid="{8AC873E6-6BFA-4B72-9027-3E6421E97612}"/>
    <cellStyle name="Normal 4 2 4 2 2 2 9" xfId="8957" xr:uid="{19A2756F-5B63-4214-B569-A7D6E8719771}"/>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24165" xr:uid="{8AB7120E-7370-4C07-9F4A-085589737A19}"/>
    <cellStyle name="Normal 4 2 4 2 2 3 2 2 3" xfId="15731" xr:uid="{3525CCF0-EBC1-4211-8444-50EA1EC30A08}"/>
    <cellStyle name="Normal 4 2 4 2 2 3 2 3" xfId="19948" xr:uid="{5389479C-72AD-421B-9545-5B0A83A57971}"/>
    <cellStyle name="Normal 4 2 4 2 2 3 2 4" xfId="11514" xr:uid="{FBAC57EF-2CC4-4C2A-B774-FD500E4C0A2A}"/>
    <cellStyle name="Normal 4 2 4 2 2 3 3" xfId="5148" xr:uid="{00000000-0005-0000-0000-000046130000}"/>
    <cellStyle name="Normal 4 2 4 2 2 3 3 2" xfId="22020" xr:uid="{DCF0691D-3DE4-4F5F-B943-CB50096F1513}"/>
    <cellStyle name="Normal 4 2 4 2 2 3 3 3" xfId="13586" xr:uid="{25A6922D-A5BC-4AF9-A923-ABFD52ECB8D8}"/>
    <cellStyle name="Normal 4 2 4 2 2 3 4" xfId="17803" xr:uid="{D9C22395-28C9-4815-96A1-3FD93E25A612}"/>
    <cellStyle name="Normal 4 2 4 2 2 3 5" xfId="9369" xr:uid="{846BBBA6-D802-409F-95F3-107CD153682E}"/>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24578" xr:uid="{4EECEA51-9B6D-4F22-ABD5-84A602039E53}"/>
    <cellStyle name="Normal 4 2 4 2 2 4 2 2 3" xfId="16144" xr:uid="{3EF5CE2F-5727-4CEC-B1B3-B71BC40502E0}"/>
    <cellStyle name="Normal 4 2 4 2 2 4 2 3" xfId="20361" xr:uid="{4BA2B088-5BAD-466F-A6E1-A04BC1B44789}"/>
    <cellStyle name="Normal 4 2 4 2 2 4 2 4" xfId="11927" xr:uid="{72B2336B-462B-4A84-95D1-DF3F8E4DCA31}"/>
    <cellStyle name="Normal 4 2 4 2 2 4 3" xfId="5561" xr:uid="{00000000-0005-0000-0000-00004A130000}"/>
    <cellStyle name="Normal 4 2 4 2 2 4 3 2" xfId="22433" xr:uid="{6E1863CE-72B3-4A55-9D99-A76DAE161299}"/>
    <cellStyle name="Normal 4 2 4 2 2 4 3 3" xfId="13999" xr:uid="{A146DA28-66D6-4277-8CFD-2871D4504D33}"/>
    <cellStyle name="Normal 4 2 4 2 2 4 4" xfId="18216" xr:uid="{FE87CE69-9C6F-4660-968B-4CA73413ADE2}"/>
    <cellStyle name="Normal 4 2 4 2 2 4 5" xfId="9782" xr:uid="{6EE3BE97-A0B6-423A-B925-30A0296C0A03}"/>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24991" xr:uid="{F07F84AE-DBDE-4519-B660-0ECFD0AD19B9}"/>
    <cellStyle name="Normal 4 2 4 2 2 5 2 2 3" xfId="16557" xr:uid="{9AC252B0-8142-4E67-B5D0-37B921098DBD}"/>
    <cellStyle name="Normal 4 2 4 2 2 5 2 3" xfId="20774" xr:uid="{C5FF6FE7-074B-4591-AFC2-3EA6C1FC5B20}"/>
    <cellStyle name="Normal 4 2 4 2 2 5 2 4" xfId="12340" xr:uid="{8B8EC750-3C7E-4F09-BBA8-8BCDDB5C4EDC}"/>
    <cellStyle name="Normal 4 2 4 2 2 5 3" xfId="5974" xr:uid="{00000000-0005-0000-0000-00004E130000}"/>
    <cellStyle name="Normal 4 2 4 2 2 5 3 2" xfId="22846" xr:uid="{CA899F15-42B1-4C9C-9410-130C70EB9A62}"/>
    <cellStyle name="Normal 4 2 4 2 2 5 3 3" xfId="14412" xr:uid="{A7E2BEE0-2467-4EB0-A3FE-BE48A212E08B}"/>
    <cellStyle name="Normal 4 2 4 2 2 5 4" xfId="18629" xr:uid="{D302C2E8-BD37-4D91-9F4F-EECA4E061BFE}"/>
    <cellStyle name="Normal 4 2 4 2 2 5 5" xfId="10195" xr:uid="{A1BA78F6-AB67-40EB-ABC3-E4426BDA9CE9}"/>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25404" xr:uid="{6CA844A6-B3DA-4D36-B0AB-0E03990B95DF}"/>
    <cellStyle name="Normal 4 2 4 2 2 6 2 2 3" xfId="16970" xr:uid="{E6A18E17-6240-4267-B3F5-D2AB175CEDFC}"/>
    <cellStyle name="Normal 4 2 4 2 2 6 2 3" xfId="21187" xr:uid="{D6CD473A-212F-44A5-83D8-137577927A48}"/>
    <cellStyle name="Normal 4 2 4 2 2 6 2 4" xfId="12753" xr:uid="{BE58092F-A263-42AD-8C52-B5E6D44002AC}"/>
    <cellStyle name="Normal 4 2 4 2 2 6 3" xfId="6387" xr:uid="{00000000-0005-0000-0000-000052130000}"/>
    <cellStyle name="Normal 4 2 4 2 2 6 3 2" xfId="23259" xr:uid="{56E3AC19-2B5E-4D8A-A243-F3CA9883AB2A}"/>
    <cellStyle name="Normal 4 2 4 2 2 6 3 3" xfId="14825" xr:uid="{3477BF33-4C4E-4AC6-ADA5-24D2F9E27DA2}"/>
    <cellStyle name="Normal 4 2 4 2 2 6 4" xfId="19042" xr:uid="{4AFFD273-203A-4DDF-BB1B-0B9F003CDFAA}"/>
    <cellStyle name="Normal 4 2 4 2 2 6 5" xfId="10608" xr:uid="{66401F69-7CDD-4C08-8B94-5304ED9F510B}"/>
    <cellStyle name="Normal 4 2 4 2 2 7" xfId="2516" xr:uid="{00000000-0005-0000-0000-000053130000}"/>
    <cellStyle name="Normal 4 2 4 2 2 7 2" xfId="6800" xr:uid="{00000000-0005-0000-0000-000054130000}"/>
    <cellStyle name="Normal 4 2 4 2 2 7 2 2" xfId="23672" xr:uid="{1EE7B7BD-7284-49B0-B278-60B92A946075}"/>
    <cellStyle name="Normal 4 2 4 2 2 7 2 3" xfId="15238" xr:uid="{8B9FC9C0-BF01-4BD6-BE79-0E9C8D76A22D}"/>
    <cellStyle name="Normal 4 2 4 2 2 7 3" xfId="19455" xr:uid="{05117722-C337-4E90-8553-86FD36706F58}"/>
    <cellStyle name="Normal 4 2 4 2 2 7 4" xfId="11021" xr:uid="{67E3FC7F-A954-4CE7-89C3-0A0E165D5BF5}"/>
    <cellStyle name="Normal 4 2 4 2 2 8" xfId="4735" xr:uid="{00000000-0005-0000-0000-000055130000}"/>
    <cellStyle name="Normal 4 2 4 2 2 8 2" xfId="21607" xr:uid="{5B484549-7439-4513-A7CA-45929E4F0157}"/>
    <cellStyle name="Normal 4 2 4 2 2 8 3" xfId="13173" xr:uid="{DF327FC8-0B39-464F-8BE8-E0F8263A66B6}"/>
    <cellStyle name="Normal 4 2 4 2 2 9" xfId="17390" xr:uid="{2DB4A80E-D377-492A-82BB-AD4E1287EF09}"/>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24167" xr:uid="{46A2444C-4C20-4BEC-80A6-A197DA6589BE}"/>
    <cellStyle name="Normal 4 2 4 2 3 2 2 2 3" xfId="15733" xr:uid="{A427738B-CA79-4F25-BC82-E6D6A6871B73}"/>
    <cellStyle name="Normal 4 2 4 2 3 2 2 3" xfId="19950" xr:uid="{C217DBA4-0CDD-40D4-8F38-34CC7148D99B}"/>
    <cellStyle name="Normal 4 2 4 2 3 2 2 4" xfId="11516" xr:uid="{7239B5C5-B7BB-43C5-B2CA-32BD6283C6B8}"/>
    <cellStyle name="Normal 4 2 4 2 3 2 3" xfId="5150" xr:uid="{00000000-0005-0000-0000-00005A130000}"/>
    <cellStyle name="Normal 4 2 4 2 3 2 3 2" xfId="22022" xr:uid="{429DFFCE-F6BB-4A0A-A3F2-DD98C9C30759}"/>
    <cellStyle name="Normal 4 2 4 2 3 2 3 3" xfId="13588" xr:uid="{9ADA2B97-997E-4644-B87F-73CC2753B7E1}"/>
    <cellStyle name="Normal 4 2 4 2 3 2 4" xfId="17805" xr:uid="{45D4E072-8AAE-4E93-8DF8-0873D0DA5E5F}"/>
    <cellStyle name="Normal 4 2 4 2 3 2 5" xfId="9371" xr:uid="{BA325E4B-EE84-42C8-861B-74B520DFFD7B}"/>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24580" xr:uid="{A3D03622-C0CB-4982-A682-6336F200A5CE}"/>
    <cellStyle name="Normal 4 2 4 2 3 3 2 2 3" xfId="16146" xr:uid="{CC0C3CA4-AE2B-4469-90B0-1C6B90608034}"/>
    <cellStyle name="Normal 4 2 4 2 3 3 2 3" xfId="20363" xr:uid="{8FACEC15-0738-4FE1-AEDB-86A9D18AE8D5}"/>
    <cellStyle name="Normal 4 2 4 2 3 3 2 4" xfId="11929" xr:uid="{F4A4A87D-6C8B-415F-98C4-7D064FBD9152}"/>
    <cellStyle name="Normal 4 2 4 2 3 3 3" xfId="5563" xr:uid="{00000000-0005-0000-0000-00005E130000}"/>
    <cellStyle name="Normal 4 2 4 2 3 3 3 2" xfId="22435" xr:uid="{927E4CB6-3C13-4926-95BE-D2B6233463F1}"/>
    <cellStyle name="Normal 4 2 4 2 3 3 3 3" xfId="14001" xr:uid="{F6AE25B2-C285-45F1-996D-FD26287E23CD}"/>
    <cellStyle name="Normal 4 2 4 2 3 3 4" xfId="18218" xr:uid="{E230CD51-EA51-4F54-A7DF-6728876B5431}"/>
    <cellStyle name="Normal 4 2 4 2 3 3 5" xfId="9784" xr:uid="{DDCBF90E-5057-4299-AA3B-258D7D7A0276}"/>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24993" xr:uid="{9E29377D-F97C-4C11-9752-6B5971E391A5}"/>
    <cellStyle name="Normal 4 2 4 2 3 4 2 2 3" xfId="16559" xr:uid="{6FF8BA0D-5580-4ECC-8D9F-4FEF5BDA9275}"/>
    <cellStyle name="Normal 4 2 4 2 3 4 2 3" xfId="20776" xr:uid="{7EAE5359-5C17-4273-AD47-818821ABBDA5}"/>
    <cellStyle name="Normal 4 2 4 2 3 4 2 4" xfId="12342" xr:uid="{ED2682F8-E423-43FC-AE56-354319348DA2}"/>
    <cellStyle name="Normal 4 2 4 2 3 4 3" xfId="5976" xr:uid="{00000000-0005-0000-0000-000062130000}"/>
    <cellStyle name="Normal 4 2 4 2 3 4 3 2" xfId="22848" xr:uid="{72BA36C9-74DE-4F7D-ACF6-E07094F27A00}"/>
    <cellStyle name="Normal 4 2 4 2 3 4 3 3" xfId="14414" xr:uid="{E7F71F7E-8545-438F-B0A3-A920A90B5289}"/>
    <cellStyle name="Normal 4 2 4 2 3 4 4" xfId="18631" xr:uid="{383F6E57-E97E-438A-8083-3E62DF2B33B7}"/>
    <cellStyle name="Normal 4 2 4 2 3 4 5" xfId="10197" xr:uid="{F38FB385-C444-4458-8B3F-49885886F731}"/>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25406" xr:uid="{C383624F-3FD6-4959-84F3-23869A677236}"/>
    <cellStyle name="Normal 4 2 4 2 3 5 2 2 3" xfId="16972" xr:uid="{B23EC1FD-D0D8-4324-B877-19B4AE6A38CC}"/>
    <cellStyle name="Normal 4 2 4 2 3 5 2 3" xfId="21189" xr:uid="{D63FD8F7-1FA1-4454-9B0E-4A39B8C993C9}"/>
    <cellStyle name="Normal 4 2 4 2 3 5 2 4" xfId="12755" xr:uid="{183849DD-CAE2-4F92-A45C-4BACF140F16C}"/>
    <cellStyle name="Normal 4 2 4 2 3 5 3" xfId="6389" xr:uid="{00000000-0005-0000-0000-000066130000}"/>
    <cellStyle name="Normal 4 2 4 2 3 5 3 2" xfId="23261" xr:uid="{243D2D30-148E-41EE-BE79-2E4407928734}"/>
    <cellStyle name="Normal 4 2 4 2 3 5 3 3" xfId="14827" xr:uid="{BF20F729-39D7-4E6F-9AC2-FFC4E54A95DA}"/>
    <cellStyle name="Normal 4 2 4 2 3 5 4" xfId="19044" xr:uid="{A96C729E-C07F-47F4-87AB-E59F404F7107}"/>
    <cellStyle name="Normal 4 2 4 2 3 5 5" xfId="10610" xr:uid="{5A33766B-7457-41C8-8659-44222E814B4A}"/>
    <cellStyle name="Normal 4 2 4 2 3 6" xfId="2518" xr:uid="{00000000-0005-0000-0000-000067130000}"/>
    <cellStyle name="Normal 4 2 4 2 3 6 2" xfId="6802" xr:uid="{00000000-0005-0000-0000-000068130000}"/>
    <cellStyle name="Normal 4 2 4 2 3 6 2 2" xfId="23674" xr:uid="{54FB3C54-4414-4C5F-A0D7-17FEAFE8D3A9}"/>
    <cellStyle name="Normal 4 2 4 2 3 6 2 3" xfId="15240" xr:uid="{CC94524D-8BDF-46E3-9B02-82B1D73D6406}"/>
    <cellStyle name="Normal 4 2 4 2 3 6 3" xfId="19457" xr:uid="{B007E6FB-59C6-4809-831C-411BBB901248}"/>
    <cellStyle name="Normal 4 2 4 2 3 6 4" xfId="11023" xr:uid="{0FD2B810-7CFB-4099-820F-BF176469A3FC}"/>
    <cellStyle name="Normal 4 2 4 2 3 7" xfId="4737" xr:uid="{00000000-0005-0000-0000-000069130000}"/>
    <cellStyle name="Normal 4 2 4 2 3 7 2" xfId="21609" xr:uid="{D9046E43-5CA8-4AEC-BE35-944C7891452C}"/>
    <cellStyle name="Normal 4 2 4 2 3 7 3" xfId="13175" xr:uid="{74464273-9431-44E0-BF6D-57E9D2538EC3}"/>
    <cellStyle name="Normal 4 2 4 2 3 8" xfId="17392" xr:uid="{4238E78E-B62B-4979-847A-B098BAE8BD6C}"/>
    <cellStyle name="Normal 4 2 4 2 3 9" xfId="8958" xr:uid="{A58B006D-A770-4E66-A680-72D24BFC13D5}"/>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24164" xr:uid="{CF344CAD-DFDD-4F95-B2F7-5E3C5A6932A3}"/>
    <cellStyle name="Normal 4 2 4 2 4 2 2 3" xfId="15730" xr:uid="{490CEF49-AF39-48CE-A009-CE9F6506D236}"/>
    <cellStyle name="Normal 4 2 4 2 4 2 3" xfId="19947" xr:uid="{8B05377C-60C1-423A-AAD2-E77220469F71}"/>
    <cellStyle name="Normal 4 2 4 2 4 2 4" xfId="11513" xr:uid="{E607E469-DF68-45ED-A82E-8C04A92DFC49}"/>
    <cellStyle name="Normal 4 2 4 2 4 3" xfId="5147" xr:uid="{00000000-0005-0000-0000-00006D130000}"/>
    <cellStyle name="Normal 4 2 4 2 4 3 2" xfId="22019" xr:uid="{D96BF1B3-024D-497D-A1AF-1684DEA67E43}"/>
    <cellStyle name="Normal 4 2 4 2 4 3 3" xfId="13585" xr:uid="{4A5CD775-D827-45AE-82A3-C4D901BC74FA}"/>
    <cellStyle name="Normal 4 2 4 2 4 4" xfId="17802" xr:uid="{1AEFBBD2-86FF-43A9-8F62-CDE941F09D6B}"/>
    <cellStyle name="Normal 4 2 4 2 4 5" xfId="9368" xr:uid="{5D0F2736-BA19-48A6-979B-B8DB3044D660}"/>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24577" xr:uid="{4E1CFAF9-8186-411A-8164-1298EAB1D809}"/>
    <cellStyle name="Normal 4 2 4 2 5 2 2 3" xfId="16143" xr:uid="{17CE6160-7ECE-4FE8-8E8A-2DA85650604B}"/>
    <cellStyle name="Normal 4 2 4 2 5 2 3" xfId="20360" xr:uid="{2CEC6181-32CE-41B9-9218-0C002643992F}"/>
    <cellStyle name="Normal 4 2 4 2 5 2 4" xfId="11926" xr:uid="{CF76240F-5A48-4813-AE3D-8E5A59BAF18A}"/>
    <cellStyle name="Normal 4 2 4 2 5 3" xfId="5560" xr:uid="{00000000-0005-0000-0000-000071130000}"/>
    <cellStyle name="Normal 4 2 4 2 5 3 2" xfId="22432" xr:uid="{A7A9D385-5783-4AFF-826D-5A20B9FB5ADB}"/>
    <cellStyle name="Normal 4 2 4 2 5 3 3" xfId="13998" xr:uid="{8509C6C3-98EB-4415-8574-482ED744CAB1}"/>
    <cellStyle name="Normal 4 2 4 2 5 4" xfId="18215" xr:uid="{F444B89A-A45D-44DF-B930-E0CA12C307E8}"/>
    <cellStyle name="Normal 4 2 4 2 5 5" xfId="9781" xr:uid="{46226AEE-5CF1-4E75-A530-881559417619}"/>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24990" xr:uid="{09F9D9F4-7A62-4B0A-B375-CDA8D5E3E59C}"/>
    <cellStyle name="Normal 4 2 4 2 6 2 2 3" xfId="16556" xr:uid="{22467093-3A09-4224-8847-A765B02B5F72}"/>
    <cellStyle name="Normal 4 2 4 2 6 2 3" xfId="20773" xr:uid="{7D99B3E9-FC45-44E3-810D-5F9ADC1DA2D1}"/>
    <cellStyle name="Normal 4 2 4 2 6 2 4" xfId="12339" xr:uid="{9B9D8F68-1B8D-4FCD-94F7-56178ABA1E3A}"/>
    <cellStyle name="Normal 4 2 4 2 6 3" xfId="5973" xr:uid="{00000000-0005-0000-0000-000075130000}"/>
    <cellStyle name="Normal 4 2 4 2 6 3 2" xfId="22845" xr:uid="{68C0A5CE-4FC6-4EDB-8E55-F8B1491D0971}"/>
    <cellStyle name="Normal 4 2 4 2 6 3 3" xfId="14411" xr:uid="{DA592C0C-9C06-474E-85DF-E8E437941882}"/>
    <cellStyle name="Normal 4 2 4 2 6 4" xfId="18628" xr:uid="{A4B4E5A3-4C25-48C6-87B3-FA0C9FF6B517}"/>
    <cellStyle name="Normal 4 2 4 2 6 5" xfId="10194" xr:uid="{B49A6221-2D10-4449-9798-7123673D1F9E}"/>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25403" xr:uid="{9C9E6B45-D7BA-4A7C-BF35-E99E88144AE0}"/>
    <cellStyle name="Normal 4 2 4 2 7 2 2 3" xfId="16969" xr:uid="{1B2AD7EF-1F2C-4F87-B664-6E7C1F9774E3}"/>
    <cellStyle name="Normal 4 2 4 2 7 2 3" xfId="21186" xr:uid="{D22C73DF-F199-42AA-AA6E-0F5A6A418596}"/>
    <cellStyle name="Normal 4 2 4 2 7 2 4" xfId="12752" xr:uid="{8CD7BC6E-890D-4D38-8149-B1A72F2FC6B2}"/>
    <cellStyle name="Normal 4 2 4 2 7 3" xfId="6386" xr:uid="{00000000-0005-0000-0000-000079130000}"/>
    <cellStyle name="Normal 4 2 4 2 7 3 2" xfId="23258" xr:uid="{5B05A6AF-0FEE-464D-B844-86D82AA0C1E8}"/>
    <cellStyle name="Normal 4 2 4 2 7 3 3" xfId="14824" xr:uid="{DEBCE881-67F0-4003-9A2A-D4654E65633C}"/>
    <cellStyle name="Normal 4 2 4 2 7 4" xfId="19041" xr:uid="{4BB1298F-76E2-4425-9572-D2337E3C53AC}"/>
    <cellStyle name="Normal 4 2 4 2 7 5" xfId="10607" xr:uid="{6FAF37E7-7A01-4D8D-A802-681DB4D1E1EF}"/>
    <cellStyle name="Normal 4 2 4 2 8" xfId="2515" xr:uid="{00000000-0005-0000-0000-00007A130000}"/>
    <cellStyle name="Normal 4 2 4 2 8 2" xfId="6799" xr:uid="{00000000-0005-0000-0000-00007B130000}"/>
    <cellStyle name="Normal 4 2 4 2 8 2 2" xfId="23671" xr:uid="{2A3E0BAB-26E4-4212-8B0F-2AC5ABC8A732}"/>
    <cellStyle name="Normal 4 2 4 2 8 2 3" xfId="15237" xr:uid="{8567547B-468D-4129-AF0C-7DDD7C038CAE}"/>
    <cellStyle name="Normal 4 2 4 2 8 3" xfId="19454" xr:uid="{D3FECCBE-0E0F-46FF-A342-FB12BB238AD4}"/>
    <cellStyle name="Normal 4 2 4 2 8 4" xfId="11020" xr:uid="{229F0B92-E3A2-4B21-B801-21CEF2CF74DA}"/>
    <cellStyle name="Normal 4 2 4 2 9" xfId="4734" xr:uid="{00000000-0005-0000-0000-00007C130000}"/>
    <cellStyle name="Normal 4 2 4 2 9 2" xfId="21606" xr:uid="{ADEB6CFF-5540-41A2-ABAF-109E7F4F422F}"/>
    <cellStyle name="Normal 4 2 4 2 9 3" xfId="13172" xr:uid="{B66AF9CF-F0C0-404C-A78E-4E7DAE72D3DA}"/>
    <cellStyle name="Normal 4 2 4 3" xfId="360" xr:uid="{00000000-0005-0000-0000-00007D130000}"/>
    <cellStyle name="Normal 4 2 4 3 10" xfId="8959" xr:uid="{55DBBCA4-51CF-477F-B82C-BAC099C66A4F}"/>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24169" xr:uid="{69C28E69-9553-45BA-8CCE-6D92171912D2}"/>
    <cellStyle name="Normal 4 2 4 3 2 2 2 2 3" xfId="15735" xr:uid="{B6F8066A-8F31-442B-A96F-18C6EC731247}"/>
    <cellStyle name="Normal 4 2 4 3 2 2 2 3" xfId="19952" xr:uid="{5D33C59B-9591-47D7-91BD-C85A767C2148}"/>
    <cellStyle name="Normal 4 2 4 3 2 2 2 4" xfId="11518" xr:uid="{989DB0DA-2384-436A-A01E-A237A6C0CE6D}"/>
    <cellStyle name="Normal 4 2 4 3 2 2 3" xfId="5152" xr:uid="{00000000-0005-0000-0000-000082130000}"/>
    <cellStyle name="Normal 4 2 4 3 2 2 3 2" xfId="22024" xr:uid="{B4D085E2-79EE-429A-A941-C98A7A96BD4B}"/>
    <cellStyle name="Normal 4 2 4 3 2 2 3 3" xfId="13590" xr:uid="{3D034061-E952-4023-ADFC-F6FA3BF9F67B}"/>
    <cellStyle name="Normal 4 2 4 3 2 2 4" xfId="17807" xr:uid="{83209C63-09D7-4DD5-B7A1-C577EB1A6833}"/>
    <cellStyle name="Normal 4 2 4 3 2 2 5" xfId="9373" xr:uid="{A7468B53-A6F0-492A-BF70-D4C123F8E78D}"/>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24582" xr:uid="{08887596-A551-4973-B118-B25C70FCE3B3}"/>
    <cellStyle name="Normal 4 2 4 3 2 3 2 2 3" xfId="16148" xr:uid="{7810669F-6383-4785-9385-A3F50F0B449B}"/>
    <cellStyle name="Normal 4 2 4 3 2 3 2 3" xfId="20365" xr:uid="{217A4DDE-D7B9-4F3C-9E08-D4FDF4BA2E89}"/>
    <cellStyle name="Normal 4 2 4 3 2 3 2 4" xfId="11931" xr:uid="{2C14EECA-083B-448C-9EAD-7A8BB18308CF}"/>
    <cellStyle name="Normal 4 2 4 3 2 3 3" xfId="5565" xr:uid="{00000000-0005-0000-0000-000086130000}"/>
    <cellStyle name="Normal 4 2 4 3 2 3 3 2" xfId="22437" xr:uid="{2585C00A-6478-434D-87BE-2C8D2B6AFFBE}"/>
    <cellStyle name="Normal 4 2 4 3 2 3 3 3" xfId="14003" xr:uid="{F8FF74AD-E98E-4ADB-BCED-9023A351675D}"/>
    <cellStyle name="Normal 4 2 4 3 2 3 4" xfId="18220" xr:uid="{5271EB87-74E6-4F81-ACAD-519BFCD9868A}"/>
    <cellStyle name="Normal 4 2 4 3 2 3 5" xfId="9786" xr:uid="{BE8D39DA-6FE7-44F8-B724-EC3E62FD9B1C}"/>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24995" xr:uid="{F93CA9A9-98A7-44C5-B0CC-911FE1EE932D}"/>
    <cellStyle name="Normal 4 2 4 3 2 4 2 2 3" xfId="16561" xr:uid="{5B352A3A-7355-4F71-AA84-25C7F1AD04F3}"/>
    <cellStyle name="Normal 4 2 4 3 2 4 2 3" xfId="20778" xr:uid="{E785AC22-DA21-40A8-8844-391F2F4BA0B8}"/>
    <cellStyle name="Normal 4 2 4 3 2 4 2 4" xfId="12344" xr:uid="{EA94E088-ECD4-490E-8DFA-B50D51E5F04F}"/>
    <cellStyle name="Normal 4 2 4 3 2 4 3" xfId="5978" xr:uid="{00000000-0005-0000-0000-00008A130000}"/>
    <cellStyle name="Normal 4 2 4 3 2 4 3 2" xfId="22850" xr:uid="{7EF62BB6-DF12-4312-B9ED-A3B71465BF5C}"/>
    <cellStyle name="Normal 4 2 4 3 2 4 3 3" xfId="14416" xr:uid="{8C527AC8-5B19-4740-992E-9F50B4FCD59F}"/>
    <cellStyle name="Normal 4 2 4 3 2 4 4" xfId="18633" xr:uid="{AD6C67AF-1FA3-4D97-83D3-F64684B15E0B}"/>
    <cellStyle name="Normal 4 2 4 3 2 4 5" xfId="10199" xr:uid="{70D5817A-E149-4DF2-843D-FFC04CA36C6E}"/>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25408" xr:uid="{81128B16-1DA5-4CF5-8E54-6E2D33273128}"/>
    <cellStyle name="Normal 4 2 4 3 2 5 2 2 3" xfId="16974" xr:uid="{05116B20-0160-44D2-9ADD-62175D13B118}"/>
    <cellStyle name="Normal 4 2 4 3 2 5 2 3" xfId="21191" xr:uid="{035B0F5D-5E89-4213-8747-F2F6219EC978}"/>
    <cellStyle name="Normal 4 2 4 3 2 5 2 4" xfId="12757" xr:uid="{9BA0856F-E9F9-4FBF-8B1A-F1FD3B8C9619}"/>
    <cellStyle name="Normal 4 2 4 3 2 5 3" xfId="6391" xr:uid="{00000000-0005-0000-0000-00008E130000}"/>
    <cellStyle name="Normal 4 2 4 3 2 5 3 2" xfId="23263" xr:uid="{AFBE0B86-A8FD-4A57-88A9-6AF3C2C1669E}"/>
    <cellStyle name="Normal 4 2 4 3 2 5 3 3" xfId="14829" xr:uid="{D91E6066-89BE-4720-A351-7033FD93210E}"/>
    <cellStyle name="Normal 4 2 4 3 2 5 4" xfId="19046" xr:uid="{26344F7C-C251-4785-9BDA-6D58A638942B}"/>
    <cellStyle name="Normal 4 2 4 3 2 5 5" xfId="10612" xr:uid="{9F2A34F3-413B-4746-B8A0-6EFE388B377F}"/>
    <cellStyle name="Normal 4 2 4 3 2 6" xfId="2520" xr:uid="{00000000-0005-0000-0000-00008F130000}"/>
    <cellStyle name="Normal 4 2 4 3 2 6 2" xfId="6804" xr:uid="{00000000-0005-0000-0000-000090130000}"/>
    <cellStyle name="Normal 4 2 4 3 2 6 2 2" xfId="23676" xr:uid="{1B85A043-C0B8-4B5C-A5B6-9648EBE914C8}"/>
    <cellStyle name="Normal 4 2 4 3 2 6 2 3" xfId="15242" xr:uid="{3468546F-AABD-4972-973F-F8B1BDA55AC9}"/>
    <cellStyle name="Normal 4 2 4 3 2 6 3" xfId="19459" xr:uid="{DCCE835F-348B-4969-8595-06B07244B417}"/>
    <cellStyle name="Normal 4 2 4 3 2 6 4" xfId="11025" xr:uid="{A12A544F-4052-4A18-AEB5-B18608D5C361}"/>
    <cellStyle name="Normal 4 2 4 3 2 7" xfId="4739" xr:uid="{00000000-0005-0000-0000-000091130000}"/>
    <cellStyle name="Normal 4 2 4 3 2 7 2" xfId="21611" xr:uid="{3B3D3E9A-E943-4023-9F9D-D970D552B053}"/>
    <cellStyle name="Normal 4 2 4 3 2 7 3" xfId="13177" xr:uid="{F1F4AA92-6E46-4286-BBD6-C5582E804FF7}"/>
    <cellStyle name="Normal 4 2 4 3 2 8" xfId="17394" xr:uid="{92D39FF9-21FB-45DB-AC65-77E78846DB07}"/>
    <cellStyle name="Normal 4 2 4 3 2 9" xfId="8960" xr:uid="{6C701FD1-557E-4AD5-B7C3-F13AD7ADFDCE}"/>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24168" xr:uid="{4A3D6B44-22C0-49BE-A9B2-5107AA7B0DBF}"/>
    <cellStyle name="Normal 4 2 4 3 3 2 2 3" xfId="15734" xr:uid="{9DE62EBD-72E4-4D56-8140-E30C8440E158}"/>
    <cellStyle name="Normal 4 2 4 3 3 2 3" xfId="19951" xr:uid="{C880BE21-4E7A-481B-A588-1DCBF95AC072}"/>
    <cellStyle name="Normal 4 2 4 3 3 2 4" xfId="11517" xr:uid="{BB9BACF1-4A8B-4826-AF27-DDAFCE2A7AC3}"/>
    <cellStyle name="Normal 4 2 4 3 3 3" xfId="5151" xr:uid="{00000000-0005-0000-0000-000095130000}"/>
    <cellStyle name="Normal 4 2 4 3 3 3 2" xfId="22023" xr:uid="{7B8E7754-C461-4C00-820B-035D220567FF}"/>
    <cellStyle name="Normal 4 2 4 3 3 3 3" xfId="13589" xr:uid="{B4A334F0-EA64-407C-B517-28DE4ED4553B}"/>
    <cellStyle name="Normal 4 2 4 3 3 4" xfId="17806" xr:uid="{489CDEB7-EEAB-4941-B1E2-4E45B3AB4013}"/>
    <cellStyle name="Normal 4 2 4 3 3 5" xfId="9372" xr:uid="{432D3382-0106-4A5B-A8E1-E40F43F711DD}"/>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24581" xr:uid="{2E7DAA59-DC0C-4053-8519-A81775A0969B}"/>
    <cellStyle name="Normal 4 2 4 3 4 2 2 3" xfId="16147" xr:uid="{8DF92E0C-5561-45BC-8050-0C79CC70DD56}"/>
    <cellStyle name="Normal 4 2 4 3 4 2 3" xfId="20364" xr:uid="{B4926EAB-9E59-493D-9739-B4A38B80972D}"/>
    <cellStyle name="Normal 4 2 4 3 4 2 4" xfId="11930" xr:uid="{F7841BD0-6E89-478C-B2E3-585BE6796634}"/>
    <cellStyle name="Normal 4 2 4 3 4 3" xfId="5564" xr:uid="{00000000-0005-0000-0000-000099130000}"/>
    <cellStyle name="Normal 4 2 4 3 4 3 2" xfId="22436" xr:uid="{FF6FD6AF-852B-40E2-B50D-908B47F67027}"/>
    <cellStyle name="Normal 4 2 4 3 4 3 3" xfId="14002" xr:uid="{FB426984-D120-4082-A005-9B27638BE97D}"/>
    <cellStyle name="Normal 4 2 4 3 4 4" xfId="18219" xr:uid="{0884FCD7-36DC-48CC-A821-BD0BC10C58A6}"/>
    <cellStyle name="Normal 4 2 4 3 4 5" xfId="9785" xr:uid="{9D4B941C-01DF-42B2-BBAB-D89A61354848}"/>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24994" xr:uid="{3CC80874-9015-4619-A37A-F5C0ED079787}"/>
    <cellStyle name="Normal 4 2 4 3 5 2 2 3" xfId="16560" xr:uid="{1C6AEBB5-43B2-4D1F-862D-BA1B3C490583}"/>
    <cellStyle name="Normal 4 2 4 3 5 2 3" xfId="20777" xr:uid="{C4447914-9B0F-4250-822B-3373137A6D4A}"/>
    <cellStyle name="Normal 4 2 4 3 5 2 4" xfId="12343" xr:uid="{EFBDDF00-426E-4247-9804-A04279E4ABC1}"/>
    <cellStyle name="Normal 4 2 4 3 5 3" xfId="5977" xr:uid="{00000000-0005-0000-0000-00009D130000}"/>
    <cellStyle name="Normal 4 2 4 3 5 3 2" xfId="22849" xr:uid="{83D02888-822E-4675-B343-CD7B104363A7}"/>
    <cellStyle name="Normal 4 2 4 3 5 3 3" xfId="14415" xr:uid="{48B9816A-CEAD-4319-AB8B-13FDD993DBF5}"/>
    <cellStyle name="Normal 4 2 4 3 5 4" xfId="18632" xr:uid="{80F42669-3153-4D20-B301-A3E0C47ADD05}"/>
    <cellStyle name="Normal 4 2 4 3 5 5" xfId="10198" xr:uid="{57CFC5F3-54BE-488B-A4A7-2F8FD5F59441}"/>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25407" xr:uid="{0F0D2D32-FB53-4CCA-8291-DBE85B04EB72}"/>
    <cellStyle name="Normal 4 2 4 3 6 2 2 3" xfId="16973" xr:uid="{76AAE2EB-559A-4D96-B517-635CD35C063E}"/>
    <cellStyle name="Normal 4 2 4 3 6 2 3" xfId="21190" xr:uid="{6063EA8E-3EA8-4396-8260-79B400AC6ED0}"/>
    <cellStyle name="Normal 4 2 4 3 6 2 4" xfId="12756" xr:uid="{D83B4A9D-1F15-421C-BE30-B9EBC21D0381}"/>
    <cellStyle name="Normal 4 2 4 3 6 3" xfId="6390" xr:uid="{00000000-0005-0000-0000-0000A1130000}"/>
    <cellStyle name="Normal 4 2 4 3 6 3 2" xfId="23262" xr:uid="{34A6ACC3-6183-4C94-BB08-1D651AE605A0}"/>
    <cellStyle name="Normal 4 2 4 3 6 3 3" xfId="14828" xr:uid="{F3D65E48-1B0C-4427-909C-BFCE29039726}"/>
    <cellStyle name="Normal 4 2 4 3 6 4" xfId="19045" xr:uid="{7511D18D-4D98-4118-A069-D050B5EA6FB5}"/>
    <cellStyle name="Normal 4 2 4 3 6 5" xfId="10611" xr:uid="{0487D6C1-4962-47D1-A6B7-F8A30F1ED920}"/>
    <cellStyle name="Normal 4 2 4 3 7" xfId="2519" xr:uid="{00000000-0005-0000-0000-0000A2130000}"/>
    <cellStyle name="Normal 4 2 4 3 7 2" xfId="6803" xr:uid="{00000000-0005-0000-0000-0000A3130000}"/>
    <cellStyle name="Normal 4 2 4 3 7 2 2" xfId="23675" xr:uid="{EF811FE7-40BD-41CA-B838-F49A747CD64F}"/>
    <cellStyle name="Normal 4 2 4 3 7 2 3" xfId="15241" xr:uid="{CCD040FE-C668-4721-B180-85FF5012396E}"/>
    <cellStyle name="Normal 4 2 4 3 7 3" xfId="19458" xr:uid="{BB0C4D86-476A-44FA-9C54-51DFA6BA1BE5}"/>
    <cellStyle name="Normal 4 2 4 3 7 4" xfId="11024" xr:uid="{141C9FF3-9835-4216-8706-B142CB363226}"/>
    <cellStyle name="Normal 4 2 4 3 8" xfId="4738" xr:uid="{00000000-0005-0000-0000-0000A4130000}"/>
    <cellStyle name="Normal 4 2 4 3 8 2" xfId="21610" xr:uid="{306D3496-E48B-444D-A652-1F02B83000CE}"/>
    <cellStyle name="Normal 4 2 4 3 8 3" xfId="13176" xr:uid="{D7519FCF-F233-403E-846C-850B332D6E87}"/>
    <cellStyle name="Normal 4 2 4 3 9" xfId="17393" xr:uid="{239CC6CB-834E-4AD7-834E-12946E2DE18C}"/>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24170" xr:uid="{655951ED-D005-41CE-85C7-2B8D024D7683}"/>
    <cellStyle name="Normal 4 2 4 4 2 2 2 3" xfId="15736" xr:uid="{4745F694-7304-4AD7-9A24-EF9084C2DD1F}"/>
    <cellStyle name="Normal 4 2 4 4 2 2 3" xfId="19953" xr:uid="{FDAD7A9F-6EA9-4BAF-BCEA-270CFFCD555C}"/>
    <cellStyle name="Normal 4 2 4 4 2 2 4" xfId="11519" xr:uid="{76B854FA-A937-4C6D-9095-D2F299D1DA1C}"/>
    <cellStyle name="Normal 4 2 4 4 2 3" xfId="5153" xr:uid="{00000000-0005-0000-0000-0000A9130000}"/>
    <cellStyle name="Normal 4 2 4 4 2 3 2" xfId="22025" xr:uid="{0717A778-A6E1-42FA-99AF-D9B03DEBC1E8}"/>
    <cellStyle name="Normal 4 2 4 4 2 3 3" xfId="13591" xr:uid="{78DA3271-5B42-40A9-8539-3F333886CB6B}"/>
    <cellStyle name="Normal 4 2 4 4 2 4" xfId="17808" xr:uid="{7AC3ECBD-1D45-4157-8D95-6069C9BD385E}"/>
    <cellStyle name="Normal 4 2 4 4 2 5" xfId="9374" xr:uid="{FFEB4E52-D767-4A34-896E-41524E70B260}"/>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24583" xr:uid="{A37ACEDE-79F1-4933-8D97-39DD79FD3CA4}"/>
    <cellStyle name="Normal 4 2 4 4 3 2 2 3" xfId="16149" xr:uid="{D26A22E2-9999-4C5F-BF06-3A9B4124CC2D}"/>
    <cellStyle name="Normal 4 2 4 4 3 2 3" xfId="20366" xr:uid="{AB6F3079-F68D-4914-860C-FF484D60D332}"/>
    <cellStyle name="Normal 4 2 4 4 3 2 4" xfId="11932" xr:uid="{1CDFCD4F-BF6D-4B51-BC06-6649DFE0E565}"/>
    <cellStyle name="Normal 4 2 4 4 3 3" xfId="5566" xr:uid="{00000000-0005-0000-0000-0000AD130000}"/>
    <cellStyle name="Normal 4 2 4 4 3 3 2" xfId="22438" xr:uid="{8358B0F5-8FA6-4A6C-BA6B-58D74E9579EE}"/>
    <cellStyle name="Normal 4 2 4 4 3 3 3" xfId="14004" xr:uid="{E2DB65AF-4154-4316-B23B-7DC670A0FAF7}"/>
    <cellStyle name="Normal 4 2 4 4 3 4" xfId="18221" xr:uid="{FE21830E-71D3-4971-AE81-1E6F9A1D0126}"/>
    <cellStyle name="Normal 4 2 4 4 3 5" xfId="9787" xr:uid="{A9E23FA7-DCD1-40B5-9E2D-A61609FB8B17}"/>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24996" xr:uid="{DC5CB461-E279-4E37-B2B8-7348A4D4F410}"/>
    <cellStyle name="Normal 4 2 4 4 4 2 2 3" xfId="16562" xr:uid="{B66A79CD-559D-4171-BE70-F9BBB8C8919D}"/>
    <cellStyle name="Normal 4 2 4 4 4 2 3" xfId="20779" xr:uid="{06CD34EE-AAC1-4BED-BD88-5FA94F2BAE51}"/>
    <cellStyle name="Normal 4 2 4 4 4 2 4" xfId="12345" xr:uid="{6222E88D-DD1C-4F30-85DF-7C107162E60E}"/>
    <cellStyle name="Normal 4 2 4 4 4 3" xfId="5979" xr:uid="{00000000-0005-0000-0000-0000B1130000}"/>
    <cellStyle name="Normal 4 2 4 4 4 3 2" xfId="22851" xr:uid="{819C98D3-C722-4031-AD10-574674B8C843}"/>
    <cellStyle name="Normal 4 2 4 4 4 3 3" xfId="14417" xr:uid="{1184D30F-7807-4A93-8888-91E1340BAD5F}"/>
    <cellStyle name="Normal 4 2 4 4 4 4" xfId="18634" xr:uid="{8725A172-0B97-4A35-BDB1-E648536DD29E}"/>
    <cellStyle name="Normal 4 2 4 4 4 5" xfId="10200" xr:uid="{3779D7B5-748C-4330-B8C0-5E53666F9EE6}"/>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25409" xr:uid="{9868EC0C-B1D7-48C4-B380-1A4717B388B3}"/>
    <cellStyle name="Normal 4 2 4 4 5 2 2 3" xfId="16975" xr:uid="{A2DAF01C-0B64-4B2E-8210-87E6FCF3460E}"/>
    <cellStyle name="Normal 4 2 4 4 5 2 3" xfId="21192" xr:uid="{3B9D884E-31DB-4CD0-BF8A-48BDCCE7D219}"/>
    <cellStyle name="Normal 4 2 4 4 5 2 4" xfId="12758" xr:uid="{DDEE3143-451E-4F6B-B3D8-099B08EEC951}"/>
    <cellStyle name="Normal 4 2 4 4 5 3" xfId="6392" xr:uid="{00000000-0005-0000-0000-0000B5130000}"/>
    <cellStyle name="Normal 4 2 4 4 5 3 2" xfId="23264" xr:uid="{3D02C17B-60A3-443B-A89B-A9650D4C43EF}"/>
    <cellStyle name="Normal 4 2 4 4 5 3 3" xfId="14830" xr:uid="{A54EF4F9-73B1-4B3A-90C5-C8C29661EF93}"/>
    <cellStyle name="Normal 4 2 4 4 5 4" xfId="19047" xr:uid="{E50E3FBF-269A-4A62-820B-5166A97E432E}"/>
    <cellStyle name="Normal 4 2 4 4 5 5" xfId="10613" xr:uid="{C2B3D6D4-70C6-430E-9DF6-F68A1B30377C}"/>
    <cellStyle name="Normal 4 2 4 4 6" xfId="2521" xr:uid="{00000000-0005-0000-0000-0000B6130000}"/>
    <cellStyle name="Normal 4 2 4 4 6 2" xfId="6805" xr:uid="{00000000-0005-0000-0000-0000B7130000}"/>
    <cellStyle name="Normal 4 2 4 4 6 2 2" xfId="23677" xr:uid="{77967635-AE97-420E-AFAB-54DBA617E057}"/>
    <cellStyle name="Normal 4 2 4 4 6 2 3" xfId="15243" xr:uid="{789049AF-F839-4481-8672-2473902AC25B}"/>
    <cellStyle name="Normal 4 2 4 4 6 3" xfId="19460" xr:uid="{64C13429-FB0E-4F4E-8733-3BF64BB5F517}"/>
    <cellStyle name="Normal 4 2 4 4 6 4" xfId="11026" xr:uid="{1F8AA7B7-1989-4CC6-95A6-7681C62EF893}"/>
    <cellStyle name="Normal 4 2 4 4 7" xfId="4740" xr:uid="{00000000-0005-0000-0000-0000B8130000}"/>
    <cellStyle name="Normal 4 2 4 4 7 2" xfId="21612" xr:uid="{CCBDAE94-6A23-4629-932B-31D326BF65D5}"/>
    <cellStyle name="Normal 4 2 4 4 7 3" xfId="13178" xr:uid="{D49C191B-ED61-470D-BB28-52B0FD715C22}"/>
    <cellStyle name="Normal 4 2 4 4 8" xfId="17395" xr:uid="{60CE9CD4-559E-462F-9A89-9C70345FB95B}"/>
    <cellStyle name="Normal 4 2 4 4 9" xfId="8961" xr:uid="{17F0C625-67EA-44E6-85E8-31DCC3FDE6F5}"/>
    <cellStyle name="Normal 4 2 4 5" xfId="831" xr:uid="{00000000-0005-0000-0000-0000B9130000}"/>
    <cellStyle name="Normal 4 2 4 5 2" xfId="3068" xr:uid="{00000000-0005-0000-0000-0000BA130000}"/>
    <cellStyle name="Normal 4 2 4 5 2 2" xfId="7291" xr:uid="{00000000-0005-0000-0000-0000BB130000}"/>
    <cellStyle name="Normal 4 2 4 5 2 2 2" xfId="24163" xr:uid="{65CC7057-7D8E-4AFD-91CE-FBF0652FABF8}"/>
    <cellStyle name="Normal 4 2 4 5 2 2 3" xfId="15729" xr:uid="{A3953EBD-7C66-43D2-873B-53B65C811FE3}"/>
    <cellStyle name="Normal 4 2 4 5 2 3" xfId="19946" xr:uid="{4248B3FE-F9CC-44E8-BEF3-305108DBE087}"/>
    <cellStyle name="Normal 4 2 4 5 2 4" xfId="11512" xr:uid="{7DDC8CEB-A66A-44A8-9ABD-E34E27802760}"/>
    <cellStyle name="Normal 4 2 4 5 3" xfId="5146" xr:uid="{00000000-0005-0000-0000-0000BC130000}"/>
    <cellStyle name="Normal 4 2 4 5 3 2" xfId="22018" xr:uid="{0E888941-FA09-4D2D-AA76-FC534756571B}"/>
    <cellStyle name="Normal 4 2 4 5 3 3" xfId="13584" xr:uid="{1570A389-B673-43C5-85BE-FCE3995DE69A}"/>
    <cellStyle name="Normal 4 2 4 5 4" xfId="17801" xr:uid="{479ADC20-8403-4270-9DB5-FC2447BD838A}"/>
    <cellStyle name="Normal 4 2 4 5 5" xfId="9367" xr:uid="{53AD238D-F51B-485B-AEFE-C4F58E2FD39C}"/>
    <cellStyle name="Normal 4 2 4 6" xfId="1251" xr:uid="{00000000-0005-0000-0000-0000BD130000}"/>
    <cellStyle name="Normal 4 2 4 6 2" xfId="3481" xr:uid="{00000000-0005-0000-0000-0000BE130000}"/>
    <cellStyle name="Normal 4 2 4 6 2 2" xfId="7704" xr:uid="{00000000-0005-0000-0000-0000BF130000}"/>
    <cellStyle name="Normal 4 2 4 6 2 2 2" xfId="24576" xr:uid="{CCC43FF6-517A-42AB-8E43-CA97E2634883}"/>
    <cellStyle name="Normal 4 2 4 6 2 2 3" xfId="16142" xr:uid="{3394828A-F5AF-40CA-A5A9-384553BA7E5F}"/>
    <cellStyle name="Normal 4 2 4 6 2 3" xfId="20359" xr:uid="{40A43683-FDE5-4AE8-9D7F-304B1E2EA309}"/>
    <cellStyle name="Normal 4 2 4 6 2 4" xfId="11925" xr:uid="{1F6EF8BC-E2D8-4042-9AD5-81A1323AA7F5}"/>
    <cellStyle name="Normal 4 2 4 6 3" xfId="5559" xr:uid="{00000000-0005-0000-0000-0000C0130000}"/>
    <cellStyle name="Normal 4 2 4 6 3 2" xfId="22431" xr:uid="{4F71863A-7E51-445D-88E8-4B2660B59C76}"/>
    <cellStyle name="Normal 4 2 4 6 3 3" xfId="13997" xr:uid="{B1421228-3C05-4875-857A-1A2349B8086A}"/>
    <cellStyle name="Normal 4 2 4 6 4" xfId="18214" xr:uid="{3ABA884F-2133-43ED-A9C9-C09D6D300BD2}"/>
    <cellStyle name="Normal 4 2 4 6 5" xfId="9780" xr:uid="{C8343500-6964-4C08-AE67-DC9DDAA6BA7A}"/>
    <cellStyle name="Normal 4 2 4 7" xfId="1664" xr:uid="{00000000-0005-0000-0000-0000C1130000}"/>
    <cellStyle name="Normal 4 2 4 7 2" xfId="3894" xr:uid="{00000000-0005-0000-0000-0000C2130000}"/>
    <cellStyle name="Normal 4 2 4 7 2 2" xfId="8117" xr:uid="{00000000-0005-0000-0000-0000C3130000}"/>
    <cellStyle name="Normal 4 2 4 7 2 2 2" xfId="24989" xr:uid="{5872DC93-A6EB-4947-B0BF-3800D666847D}"/>
    <cellStyle name="Normal 4 2 4 7 2 2 3" xfId="16555" xr:uid="{203261C9-6AC1-4CA1-BE19-313A288D4115}"/>
    <cellStyle name="Normal 4 2 4 7 2 3" xfId="20772" xr:uid="{EBF367EB-8864-42AD-A42B-4EA4BEBCB870}"/>
    <cellStyle name="Normal 4 2 4 7 2 4" xfId="12338" xr:uid="{FC412AD0-3C8E-4541-8BBA-D356E1AA2DF2}"/>
    <cellStyle name="Normal 4 2 4 7 3" xfId="5972" xr:uid="{00000000-0005-0000-0000-0000C4130000}"/>
    <cellStyle name="Normal 4 2 4 7 3 2" xfId="22844" xr:uid="{66B76C77-E975-4545-AEC5-FD55FF13D53D}"/>
    <cellStyle name="Normal 4 2 4 7 3 3" xfId="14410" xr:uid="{45A01FB1-BE44-4874-8A61-FCDAC9F55027}"/>
    <cellStyle name="Normal 4 2 4 7 4" xfId="18627" xr:uid="{2F6F08B7-D23F-4EFE-B9C1-706F9A52EB1F}"/>
    <cellStyle name="Normal 4 2 4 7 5" xfId="10193" xr:uid="{F78EF8F5-9A97-4751-98FF-01E48AEEC868}"/>
    <cellStyle name="Normal 4 2 4 8" xfId="2078" xr:uid="{00000000-0005-0000-0000-0000C5130000}"/>
    <cellStyle name="Normal 4 2 4 8 2" xfId="4307" xr:uid="{00000000-0005-0000-0000-0000C6130000}"/>
    <cellStyle name="Normal 4 2 4 8 2 2" xfId="8530" xr:uid="{00000000-0005-0000-0000-0000C7130000}"/>
    <cellStyle name="Normal 4 2 4 8 2 2 2" xfId="25402" xr:uid="{5D939125-F6E5-42A2-BC22-C5C41EFD0D10}"/>
    <cellStyle name="Normal 4 2 4 8 2 2 3" xfId="16968" xr:uid="{37C3110A-7F4B-4CAF-921E-D5E0DA4B3C6C}"/>
    <cellStyle name="Normal 4 2 4 8 2 3" xfId="21185" xr:uid="{EDB033BC-DFA0-411E-ACFA-15E235B9BF8A}"/>
    <cellStyle name="Normal 4 2 4 8 2 4" xfId="12751" xr:uid="{E8015D92-5841-4499-AB25-C7F07130FAA7}"/>
    <cellStyle name="Normal 4 2 4 8 3" xfId="6385" xr:uid="{00000000-0005-0000-0000-0000C8130000}"/>
    <cellStyle name="Normal 4 2 4 8 3 2" xfId="23257" xr:uid="{C2C93363-4956-4198-800E-19F8ED030EEF}"/>
    <cellStyle name="Normal 4 2 4 8 3 3" xfId="14823" xr:uid="{79E56446-A26D-4D10-9878-B60978127365}"/>
    <cellStyle name="Normal 4 2 4 8 4" xfId="19040" xr:uid="{ADE399FE-40A5-47DB-8E8F-EA91835FA5C0}"/>
    <cellStyle name="Normal 4 2 4 8 5" xfId="10606" xr:uid="{7E62D711-1528-4F65-8BD1-A5B7449CDA54}"/>
    <cellStyle name="Normal 4 2 4 9" xfId="2514" xr:uid="{00000000-0005-0000-0000-0000C9130000}"/>
    <cellStyle name="Normal 4 2 4 9 2" xfId="6798" xr:uid="{00000000-0005-0000-0000-0000CA130000}"/>
    <cellStyle name="Normal 4 2 4 9 2 2" xfId="23670" xr:uid="{69FBF5E2-2E05-41FE-B25A-4B61730D9474}"/>
    <cellStyle name="Normal 4 2 4 9 2 3" xfId="15236" xr:uid="{38233D48-FF65-4C3F-BE2E-03A6E6634C73}"/>
    <cellStyle name="Normal 4 2 4 9 3" xfId="19453" xr:uid="{ED6DE4FE-DD79-4388-BD67-255FB9F62943}"/>
    <cellStyle name="Normal 4 2 4 9 4" xfId="11019" xr:uid="{74F830C7-72E2-4FC5-A628-1295EC07D04A}"/>
    <cellStyle name="Normal 4 2 5" xfId="363" xr:uid="{00000000-0005-0000-0000-0000CB130000}"/>
    <cellStyle name="Normal 4 2 5 10" xfId="8962" xr:uid="{C82D110A-ADCA-4ED7-B0E4-840A113F0243}"/>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24172" xr:uid="{6990A81E-6A99-4FA2-A92D-3C063513F395}"/>
    <cellStyle name="Normal 4 2 5 2 2 2 2 3" xfId="15738" xr:uid="{F1A40475-C14E-49C7-BE6A-B953CA2A5196}"/>
    <cellStyle name="Normal 4 2 5 2 2 2 3" xfId="19955" xr:uid="{CF030EF3-CFFF-433F-A259-635255D19052}"/>
    <cellStyle name="Normal 4 2 5 2 2 2 4" xfId="11521" xr:uid="{FAA5249E-E7D7-4785-A34B-A4CECA54B4AB}"/>
    <cellStyle name="Normal 4 2 5 2 2 3" xfId="5155" xr:uid="{00000000-0005-0000-0000-0000D0130000}"/>
    <cellStyle name="Normal 4 2 5 2 2 3 2" xfId="22027" xr:uid="{BD94A835-9699-4A18-9A5F-C8FA6DD88D74}"/>
    <cellStyle name="Normal 4 2 5 2 2 3 3" xfId="13593" xr:uid="{B2447653-59B7-4391-A2E5-EC0A8B6855B4}"/>
    <cellStyle name="Normal 4 2 5 2 2 4" xfId="17810" xr:uid="{1DBCF5E2-582E-464E-8B67-BB3A67E9B6C4}"/>
    <cellStyle name="Normal 4 2 5 2 2 5" xfId="9376" xr:uid="{0E140FF1-D77A-40FA-A50D-9F8818FA8216}"/>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24585" xr:uid="{8EA4C4C9-0A35-4D0C-AFE0-07109BAB1FC8}"/>
    <cellStyle name="Normal 4 2 5 2 3 2 2 3" xfId="16151" xr:uid="{FF9B72FA-FBFE-4C78-BE8C-112B0444352E}"/>
    <cellStyle name="Normal 4 2 5 2 3 2 3" xfId="20368" xr:uid="{A4205288-3326-43BF-958F-D3DB07D21589}"/>
    <cellStyle name="Normal 4 2 5 2 3 2 4" xfId="11934" xr:uid="{A84E2C71-11CD-46BF-8609-7A0A47401BF3}"/>
    <cellStyle name="Normal 4 2 5 2 3 3" xfId="5568" xr:uid="{00000000-0005-0000-0000-0000D4130000}"/>
    <cellStyle name="Normal 4 2 5 2 3 3 2" xfId="22440" xr:uid="{249F7292-8099-44B3-9B32-65DA5E71F039}"/>
    <cellStyle name="Normal 4 2 5 2 3 3 3" xfId="14006" xr:uid="{F0C3E7E4-B0D4-4E64-9FA2-E9DEE3716AD1}"/>
    <cellStyle name="Normal 4 2 5 2 3 4" xfId="18223" xr:uid="{742C6F28-710C-4D42-81D8-59D65D0158C3}"/>
    <cellStyle name="Normal 4 2 5 2 3 5" xfId="9789" xr:uid="{603DCC1D-1613-4A6A-8FA8-60F8EF2F88A2}"/>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24998" xr:uid="{84AE7DFB-6692-4700-ACCA-E241BC566BCC}"/>
    <cellStyle name="Normal 4 2 5 2 4 2 2 3" xfId="16564" xr:uid="{8AFF07C0-952F-4A7F-8FAA-1C4DD461DFA6}"/>
    <cellStyle name="Normal 4 2 5 2 4 2 3" xfId="20781" xr:uid="{003776B8-4176-4A97-9673-BF54B23AEED2}"/>
    <cellStyle name="Normal 4 2 5 2 4 2 4" xfId="12347" xr:uid="{DE93AA37-A7B5-4CB2-88AC-CE1A8AB6FC8E}"/>
    <cellStyle name="Normal 4 2 5 2 4 3" xfId="5981" xr:uid="{00000000-0005-0000-0000-0000D8130000}"/>
    <cellStyle name="Normal 4 2 5 2 4 3 2" xfId="22853" xr:uid="{4C280683-06E9-4A3F-B6EA-B8C4FA5378A5}"/>
    <cellStyle name="Normal 4 2 5 2 4 3 3" xfId="14419" xr:uid="{46396292-F3F2-461B-BCDE-EA2DD8C5FD0C}"/>
    <cellStyle name="Normal 4 2 5 2 4 4" xfId="18636" xr:uid="{82BE75EB-78F2-460D-990A-6D3DC723F625}"/>
    <cellStyle name="Normal 4 2 5 2 4 5" xfId="10202" xr:uid="{BE8AA1C7-9F8A-4B49-9B25-89DA9FB06DB8}"/>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25411" xr:uid="{41F6509E-C830-4FC0-8735-1B9B444B827C}"/>
    <cellStyle name="Normal 4 2 5 2 5 2 2 3" xfId="16977" xr:uid="{D98F8D53-C8A7-4F2B-8644-D6513B353337}"/>
    <cellStyle name="Normal 4 2 5 2 5 2 3" xfId="21194" xr:uid="{15DFA2A8-99AE-4F67-954C-561480F1318D}"/>
    <cellStyle name="Normal 4 2 5 2 5 2 4" xfId="12760" xr:uid="{AACA9208-57CB-4FBF-8230-F540A244BCDA}"/>
    <cellStyle name="Normal 4 2 5 2 5 3" xfId="6394" xr:uid="{00000000-0005-0000-0000-0000DC130000}"/>
    <cellStyle name="Normal 4 2 5 2 5 3 2" xfId="23266" xr:uid="{CC530D29-7335-4118-9C4F-06AB6AAD2184}"/>
    <cellStyle name="Normal 4 2 5 2 5 3 3" xfId="14832" xr:uid="{D85AB599-E2F4-4313-9627-7ADE73017A50}"/>
    <cellStyle name="Normal 4 2 5 2 5 4" xfId="19049" xr:uid="{C1ADC020-61B0-43BC-97C2-BECE719C543B}"/>
    <cellStyle name="Normal 4 2 5 2 5 5" xfId="10615" xr:uid="{CA62D281-2A19-45DA-9F2B-FCA461FBD0AF}"/>
    <cellStyle name="Normal 4 2 5 2 6" xfId="2523" xr:uid="{00000000-0005-0000-0000-0000DD130000}"/>
    <cellStyle name="Normal 4 2 5 2 6 2" xfId="6807" xr:uid="{00000000-0005-0000-0000-0000DE130000}"/>
    <cellStyle name="Normal 4 2 5 2 6 2 2" xfId="23679" xr:uid="{4B2A0AAF-968E-4606-AE47-227C6882F94E}"/>
    <cellStyle name="Normal 4 2 5 2 6 2 3" xfId="15245" xr:uid="{2340F84E-CBDF-400B-8659-DD651E1AD032}"/>
    <cellStyle name="Normal 4 2 5 2 6 3" xfId="19462" xr:uid="{F674E351-861A-4131-9696-B78C91C2A2E9}"/>
    <cellStyle name="Normal 4 2 5 2 6 4" xfId="11028" xr:uid="{C64C067A-11DF-45F7-A053-7424BD91B7A7}"/>
    <cellStyle name="Normal 4 2 5 2 7" xfId="4742" xr:uid="{00000000-0005-0000-0000-0000DF130000}"/>
    <cellStyle name="Normal 4 2 5 2 7 2" xfId="21614" xr:uid="{7554B55E-3735-4BA0-8D24-65CBE618C218}"/>
    <cellStyle name="Normal 4 2 5 2 7 3" xfId="13180" xr:uid="{2455D71F-8D52-4730-8B0F-02868BF76E21}"/>
    <cellStyle name="Normal 4 2 5 2 8" xfId="17397" xr:uid="{714D2ADA-9867-4A7E-A244-D8FE7BA5412F}"/>
    <cellStyle name="Normal 4 2 5 2 9" xfId="8963" xr:uid="{6494DB81-64C8-48D4-80D9-1B8CA6446D81}"/>
    <cellStyle name="Normal 4 2 5 3" xfId="839" xr:uid="{00000000-0005-0000-0000-0000E0130000}"/>
    <cellStyle name="Normal 4 2 5 3 2" xfId="3076" xr:uid="{00000000-0005-0000-0000-0000E1130000}"/>
    <cellStyle name="Normal 4 2 5 3 2 2" xfId="7299" xr:uid="{00000000-0005-0000-0000-0000E2130000}"/>
    <cellStyle name="Normal 4 2 5 3 2 2 2" xfId="24171" xr:uid="{3BEDC274-F0AE-4341-83D0-7FD19B41294A}"/>
    <cellStyle name="Normal 4 2 5 3 2 2 3" xfId="15737" xr:uid="{A9F7E5FF-72AF-47B8-9BC4-63BA943BF548}"/>
    <cellStyle name="Normal 4 2 5 3 2 3" xfId="19954" xr:uid="{5BAE2985-2003-4075-946F-725A023FCA5E}"/>
    <cellStyle name="Normal 4 2 5 3 2 4" xfId="11520" xr:uid="{06E61F4B-AD4A-4F34-98D3-5FA2158C306B}"/>
    <cellStyle name="Normal 4 2 5 3 3" xfId="5154" xr:uid="{00000000-0005-0000-0000-0000E3130000}"/>
    <cellStyle name="Normal 4 2 5 3 3 2" xfId="22026" xr:uid="{72F84069-0155-4D68-8E7F-8BCA207110D7}"/>
    <cellStyle name="Normal 4 2 5 3 3 3" xfId="13592" xr:uid="{8FF4BDEE-FC6A-4921-A421-26D635E6E71A}"/>
    <cellStyle name="Normal 4 2 5 3 4" xfId="17809" xr:uid="{64923301-6175-46BD-B952-2AA6FE294C0A}"/>
    <cellStyle name="Normal 4 2 5 3 5" xfId="9375" xr:uid="{7B289BDD-137B-4EE0-A71B-A6082261C3C7}"/>
    <cellStyle name="Normal 4 2 5 4" xfId="1259" xr:uid="{00000000-0005-0000-0000-0000E4130000}"/>
    <cellStyle name="Normal 4 2 5 4 2" xfId="3489" xr:uid="{00000000-0005-0000-0000-0000E5130000}"/>
    <cellStyle name="Normal 4 2 5 4 2 2" xfId="7712" xr:uid="{00000000-0005-0000-0000-0000E6130000}"/>
    <cellStyle name="Normal 4 2 5 4 2 2 2" xfId="24584" xr:uid="{19CDF1FD-045F-490A-9467-C884AFB38033}"/>
    <cellStyle name="Normal 4 2 5 4 2 2 3" xfId="16150" xr:uid="{6781F7F7-6E85-421E-A262-1C25BE45F7D7}"/>
    <cellStyle name="Normal 4 2 5 4 2 3" xfId="20367" xr:uid="{092CE78F-3E27-415A-9E17-D0069FF5CF03}"/>
    <cellStyle name="Normal 4 2 5 4 2 4" xfId="11933" xr:uid="{F330F301-7931-48C8-9D62-2D5949C5D8D0}"/>
    <cellStyle name="Normal 4 2 5 4 3" xfId="5567" xr:uid="{00000000-0005-0000-0000-0000E7130000}"/>
    <cellStyle name="Normal 4 2 5 4 3 2" xfId="22439" xr:uid="{95120DED-F0B4-406C-8481-DB629F31524D}"/>
    <cellStyle name="Normal 4 2 5 4 3 3" xfId="14005" xr:uid="{DCF98667-E041-4312-85B5-6C7528810309}"/>
    <cellStyle name="Normal 4 2 5 4 4" xfId="18222" xr:uid="{6F10508B-A549-4E63-932F-03C7599B1C3E}"/>
    <cellStyle name="Normal 4 2 5 4 5" xfId="9788" xr:uid="{A42EB981-C8D9-4100-8AAF-9E7ABD20A74A}"/>
    <cellStyle name="Normal 4 2 5 5" xfId="1672" xr:uid="{00000000-0005-0000-0000-0000E8130000}"/>
    <cellStyle name="Normal 4 2 5 5 2" xfId="3902" xr:uid="{00000000-0005-0000-0000-0000E9130000}"/>
    <cellStyle name="Normal 4 2 5 5 2 2" xfId="8125" xr:uid="{00000000-0005-0000-0000-0000EA130000}"/>
    <cellStyle name="Normal 4 2 5 5 2 2 2" xfId="24997" xr:uid="{6D784394-C2A7-4290-8F7C-4A45CF39F441}"/>
    <cellStyle name="Normal 4 2 5 5 2 2 3" xfId="16563" xr:uid="{7A2685FA-DD17-43EC-8607-059C1013F556}"/>
    <cellStyle name="Normal 4 2 5 5 2 3" xfId="20780" xr:uid="{202AE573-95EC-4A37-930A-A30C17BB0079}"/>
    <cellStyle name="Normal 4 2 5 5 2 4" xfId="12346" xr:uid="{13C25CAF-1245-486D-B99B-EB073BD9072A}"/>
    <cellStyle name="Normal 4 2 5 5 3" xfId="5980" xr:uid="{00000000-0005-0000-0000-0000EB130000}"/>
    <cellStyle name="Normal 4 2 5 5 3 2" xfId="22852" xr:uid="{EB2D8AC4-4876-46EF-A85E-61DC6CA70551}"/>
    <cellStyle name="Normal 4 2 5 5 3 3" xfId="14418" xr:uid="{2EC59F52-B3C2-43DE-833A-92675AA85276}"/>
    <cellStyle name="Normal 4 2 5 5 4" xfId="18635" xr:uid="{498C77D7-9515-4CA9-9E4E-9518BADDEEAA}"/>
    <cellStyle name="Normal 4 2 5 5 5" xfId="10201" xr:uid="{7C75B6BE-FDA9-47D7-8152-11C597EB5D39}"/>
    <cellStyle name="Normal 4 2 5 6" xfId="2086" xr:uid="{00000000-0005-0000-0000-0000EC130000}"/>
    <cellStyle name="Normal 4 2 5 6 2" xfId="4315" xr:uid="{00000000-0005-0000-0000-0000ED130000}"/>
    <cellStyle name="Normal 4 2 5 6 2 2" xfId="8538" xr:uid="{00000000-0005-0000-0000-0000EE130000}"/>
    <cellStyle name="Normal 4 2 5 6 2 2 2" xfId="25410" xr:uid="{9592B7D7-D3D2-42D0-9083-32B0B638CFDC}"/>
    <cellStyle name="Normal 4 2 5 6 2 2 3" xfId="16976" xr:uid="{2E226414-9CA5-43CC-B7D5-34E0CE86EDDB}"/>
    <cellStyle name="Normal 4 2 5 6 2 3" xfId="21193" xr:uid="{30EFFBF1-21DB-4EF0-B1DE-F74468FF3E66}"/>
    <cellStyle name="Normal 4 2 5 6 2 4" xfId="12759" xr:uid="{AB8E6981-0A0A-4801-BFB1-100421DE0BEE}"/>
    <cellStyle name="Normal 4 2 5 6 3" xfId="6393" xr:uid="{00000000-0005-0000-0000-0000EF130000}"/>
    <cellStyle name="Normal 4 2 5 6 3 2" xfId="23265" xr:uid="{C4844F13-D995-4CBD-9B6F-1BC87EDFDD1B}"/>
    <cellStyle name="Normal 4 2 5 6 3 3" xfId="14831" xr:uid="{8506BD26-C3FD-4270-B01C-F9B9DFD61550}"/>
    <cellStyle name="Normal 4 2 5 6 4" xfId="19048" xr:uid="{422BCDCA-37B7-4B72-85C7-E531CFE3E917}"/>
    <cellStyle name="Normal 4 2 5 6 5" xfId="10614" xr:uid="{5D75C76A-0DB7-46F6-A40D-5E6FF97E782A}"/>
    <cellStyle name="Normal 4 2 5 7" xfId="2522" xr:uid="{00000000-0005-0000-0000-0000F0130000}"/>
    <cellStyle name="Normal 4 2 5 7 2" xfId="6806" xr:uid="{00000000-0005-0000-0000-0000F1130000}"/>
    <cellStyle name="Normal 4 2 5 7 2 2" xfId="23678" xr:uid="{6245C290-B5F0-4C51-86DC-A70868000462}"/>
    <cellStyle name="Normal 4 2 5 7 2 3" xfId="15244" xr:uid="{ACBDC822-BE88-499E-8528-3C0AB4B32933}"/>
    <cellStyle name="Normal 4 2 5 7 3" xfId="19461" xr:uid="{B951C6DF-18FE-4A79-B4C2-5C5DC6F7A6BF}"/>
    <cellStyle name="Normal 4 2 5 7 4" xfId="11027" xr:uid="{545ABFF6-70CD-4114-A728-444B01D8B725}"/>
    <cellStyle name="Normal 4 2 5 8" xfId="4741" xr:uid="{00000000-0005-0000-0000-0000F2130000}"/>
    <cellStyle name="Normal 4 2 5 8 2" xfId="21613" xr:uid="{08EA09CF-23AC-46CE-A888-9CD29876A6E6}"/>
    <cellStyle name="Normal 4 2 5 8 3" xfId="13179" xr:uid="{BC87B564-DF49-49B0-91A6-5147C0885F02}"/>
    <cellStyle name="Normal 4 2 5 9" xfId="17396" xr:uid="{E62CBFAC-2AA6-4BC6-8821-F5032EEE3F18}"/>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24173" xr:uid="{B44BA608-12A7-467F-8571-F3AB9454768D}"/>
    <cellStyle name="Normal 4 2 6 2 2 2 3" xfId="15739" xr:uid="{732E6834-2185-405E-BCEA-74D0A2260C09}"/>
    <cellStyle name="Normal 4 2 6 2 2 3" xfId="19956" xr:uid="{0FDD7752-899D-418F-81CF-161E430D300D}"/>
    <cellStyle name="Normal 4 2 6 2 2 4" xfId="11522" xr:uid="{BD39C5C9-CB48-467E-87C0-B5013CC785C7}"/>
    <cellStyle name="Normal 4 2 6 2 3" xfId="5156" xr:uid="{00000000-0005-0000-0000-0000F7130000}"/>
    <cellStyle name="Normal 4 2 6 2 3 2" xfId="22028" xr:uid="{91C64272-3230-4D20-9C1B-57B9AAA29435}"/>
    <cellStyle name="Normal 4 2 6 2 3 3" xfId="13594" xr:uid="{5B1607C8-9191-456E-913C-EAEDDC3F8333}"/>
    <cellStyle name="Normal 4 2 6 2 4" xfId="17811" xr:uid="{ACF9EB2C-9804-4769-BA25-0F3A043ED54E}"/>
    <cellStyle name="Normal 4 2 6 2 5" xfId="9377" xr:uid="{A5AC75BE-D69C-4FB3-BA02-744D0824723E}"/>
    <cellStyle name="Normal 4 2 6 3" xfId="1261" xr:uid="{00000000-0005-0000-0000-0000F8130000}"/>
    <cellStyle name="Normal 4 2 6 3 2" xfId="3491" xr:uid="{00000000-0005-0000-0000-0000F9130000}"/>
    <cellStyle name="Normal 4 2 6 3 2 2" xfId="7714" xr:uid="{00000000-0005-0000-0000-0000FA130000}"/>
    <cellStyle name="Normal 4 2 6 3 2 2 2" xfId="24586" xr:uid="{F79464BB-4BE9-4C8F-B226-1AB9AAE5744C}"/>
    <cellStyle name="Normal 4 2 6 3 2 2 3" xfId="16152" xr:uid="{C0E8C971-9A46-49E0-BDCF-C3E585D6F3E2}"/>
    <cellStyle name="Normal 4 2 6 3 2 3" xfId="20369" xr:uid="{4CF8C740-54EE-4BB1-9478-11DAA21852D7}"/>
    <cellStyle name="Normal 4 2 6 3 2 4" xfId="11935" xr:uid="{2BE8F13F-6F84-4830-9A91-C3CC496B442B}"/>
    <cellStyle name="Normal 4 2 6 3 3" xfId="5569" xr:uid="{00000000-0005-0000-0000-0000FB130000}"/>
    <cellStyle name="Normal 4 2 6 3 3 2" xfId="22441" xr:uid="{FB6DD451-01D4-4ECA-9B21-07EEC354F9A4}"/>
    <cellStyle name="Normal 4 2 6 3 3 3" xfId="14007" xr:uid="{49E54EE8-4DCA-4B44-9640-B7FB8DDA2BB9}"/>
    <cellStyle name="Normal 4 2 6 3 4" xfId="18224" xr:uid="{CC3112BF-B80D-412C-BC7F-EDDF8735349D}"/>
    <cellStyle name="Normal 4 2 6 3 5" xfId="9790" xr:uid="{5F66E525-FE4B-4C69-825B-67A38EED3CDE}"/>
    <cellStyle name="Normal 4 2 6 4" xfId="1674" xr:uid="{00000000-0005-0000-0000-0000FC130000}"/>
    <cellStyle name="Normal 4 2 6 4 2" xfId="3904" xr:uid="{00000000-0005-0000-0000-0000FD130000}"/>
    <cellStyle name="Normal 4 2 6 4 2 2" xfId="8127" xr:uid="{00000000-0005-0000-0000-0000FE130000}"/>
    <cellStyle name="Normal 4 2 6 4 2 2 2" xfId="24999" xr:uid="{639B74C3-DE20-4256-83DF-FAECFC0BE4FD}"/>
    <cellStyle name="Normal 4 2 6 4 2 2 3" xfId="16565" xr:uid="{7BA08BB1-592E-4280-884F-CB599055570B}"/>
    <cellStyle name="Normal 4 2 6 4 2 3" xfId="20782" xr:uid="{92FEF1B0-793C-4A0C-B2DA-2F527C31C946}"/>
    <cellStyle name="Normal 4 2 6 4 2 4" xfId="12348" xr:uid="{B5460DBF-9492-4EA5-83A6-0A4410100CF1}"/>
    <cellStyle name="Normal 4 2 6 4 3" xfId="5982" xr:uid="{00000000-0005-0000-0000-0000FF130000}"/>
    <cellStyle name="Normal 4 2 6 4 3 2" xfId="22854" xr:uid="{487EF67E-D45F-49CE-A226-209EC65E76C5}"/>
    <cellStyle name="Normal 4 2 6 4 3 3" xfId="14420" xr:uid="{96798F14-FA3F-4D10-9D72-87ECBC281416}"/>
    <cellStyle name="Normal 4 2 6 4 4" xfId="18637" xr:uid="{BF770106-CED7-4436-8307-A522D27C2ABB}"/>
    <cellStyle name="Normal 4 2 6 4 5" xfId="10203" xr:uid="{621E877C-C148-49A7-AAFF-0DE151F74AC7}"/>
    <cellStyle name="Normal 4 2 6 5" xfId="2088" xr:uid="{00000000-0005-0000-0000-000000140000}"/>
    <cellStyle name="Normal 4 2 6 5 2" xfId="4317" xr:uid="{00000000-0005-0000-0000-000001140000}"/>
    <cellStyle name="Normal 4 2 6 5 2 2" xfId="8540" xr:uid="{00000000-0005-0000-0000-000002140000}"/>
    <cellStyle name="Normal 4 2 6 5 2 2 2" xfId="25412" xr:uid="{BE7DCEC8-A0EB-4C1B-9180-066E7493DD67}"/>
    <cellStyle name="Normal 4 2 6 5 2 2 3" xfId="16978" xr:uid="{B8BBCBA5-904C-4F93-8927-4487192CAC87}"/>
    <cellStyle name="Normal 4 2 6 5 2 3" xfId="21195" xr:uid="{080414FF-67F9-4BCC-A305-C8A9F468F546}"/>
    <cellStyle name="Normal 4 2 6 5 2 4" xfId="12761" xr:uid="{2BD16651-AF8E-428C-B39F-FB3EFDD22590}"/>
    <cellStyle name="Normal 4 2 6 5 3" xfId="6395" xr:uid="{00000000-0005-0000-0000-000003140000}"/>
    <cellStyle name="Normal 4 2 6 5 3 2" xfId="23267" xr:uid="{439BEF54-2674-4321-9D42-EF8330EB6C69}"/>
    <cellStyle name="Normal 4 2 6 5 3 3" xfId="14833" xr:uid="{0FD49EAA-298D-4F36-8BD2-A915219D6DAF}"/>
    <cellStyle name="Normal 4 2 6 5 4" xfId="19050" xr:uid="{F2C8972D-CA88-4B4B-9549-7CDD97787881}"/>
    <cellStyle name="Normal 4 2 6 5 5" xfId="10616" xr:uid="{94382D18-C4C5-471D-A60A-2DC86F2EFDB0}"/>
    <cellStyle name="Normal 4 2 6 6" xfId="2524" xr:uid="{00000000-0005-0000-0000-000004140000}"/>
    <cellStyle name="Normal 4 2 6 6 2" xfId="6808" xr:uid="{00000000-0005-0000-0000-000005140000}"/>
    <cellStyle name="Normal 4 2 6 6 2 2" xfId="23680" xr:uid="{C0412551-AD53-4508-8FDC-D11BBA1DFADE}"/>
    <cellStyle name="Normal 4 2 6 6 2 3" xfId="15246" xr:uid="{BC3E544F-CA72-46BD-B8C4-481E93497154}"/>
    <cellStyle name="Normal 4 2 6 6 3" xfId="19463" xr:uid="{0A2DA965-B7A4-46CE-B04C-461FDDBB7C2C}"/>
    <cellStyle name="Normal 4 2 6 6 4" xfId="11029" xr:uid="{2BA00B1A-D065-4307-ABCF-9C0718820312}"/>
    <cellStyle name="Normal 4 2 6 7" xfId="4743" xr:uid="{00000000-0005-0000-0000-000006140000}"/>
    <cellStyle name="Normal 4 2 6 7 2" xfId="21615" xr:uid="{3E2EACE1-00FB-4716-A52A-78A6015ADD3A}"/>
    <cellStyle name="Normal 4 2 6 7 3" xfId="13181" xr:uid="{5C6E7DB8-8C7C-4DB2-8545-57B83EEB953C}"/>
    <cellStyle name="Normal 4 2 6 8" xfId="17398" xr:uid="{AAA12890-2B30-4F36-A03B-2B7D87AE7573}"/>
    <cellStyle name="Normal 4 2 6 9" xfId="8964" xr:uid="{161FCF0D-7B11-435E-91CD-550887B194F0}"/>
    <cellStyle name="Normal 4 3" xfId="366" xr:uid="{00000000-0005-0000-0000-000007140000}"/>
    <cellStyle name="Normal 4 3 10" xfId="17399" xr:uid="{10896B83-FA40-48BD-A390-C64C5EF03B5D}"/>
    <cellStyle name="Normal 4 3 11" xfId="8965" xr:uid="{153764A6-6A91-49C6-9BF0-894212407F9D}"/>
    <cellStyle name="Normal 4 3 2" xfId="367" xr:uid="{00000000-0005-0000-0000-000008140000}"/>
    <cellStyle name="Normal 4 3 2 2" xfId="368" xr:uid="{00000000-0005-0000-0000-000009140000}"/>
    <cellStyle name="Normal 4 3 2 2 2" xfId="369" xr:uid="{00000000-0005-0000-0000-00000A140000}"/>
    <cellStyle name="Normal 4 3 2 2 2 10" xfId="17400" xr:uid="{FFD03025-F8A3-4E0C-9BAC-90ABE1965A09}"/>
    <cellStyle name="Normal 4 3 2 2 2 11" xfId="8966" xr:uid="{68DCAEBA-74DF-4B20-B297-289B240FE417}"/>
    <cellStyle name="Normal 4 3 2 2 2 2" xfId="370" xr:uid="{00000000-0005-0000-0000-00000B140000}"/>
    <cellStyle name="Normal 4 3 2 2 2 2 10" xfId="8967" xr:uid="{86EC55E3-6E91-4FE5-B2B8-D3545C5EAB3D}"/>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24177" xr:uid="{801C920B-6CD4-4728-903A-DF8F850F489D}"/>
    <cellStyle name="Normal 4 3 2 2 2 2 2 2 2 2 3" xfId="15743" xr:uid="{2D501A61-11BC-4505-AE6E-DCF1F2F35612}"/>
    <cellStyle name="Normal 4 3 2 2 2 2 2 2 2 3" xfId="19960" xr:uid="{14DDBBFA-1330-4A83-9284-541A2C0D664E}"/>
    <cellStyle name="Normal 4 3 2 2 2 2 2 2 2 4" xfId="11526" xr:uid="{078E05E1-BDD4-4DF9-AE7D-4C3B62C79214}"/>
    <cellStyle name="Normal 4 3 2 2 2 2 2 2 3" xfId="5160" xr:uid="{00000000-0005-0000-0000-000010140000}"/>
    <cellStyle name="Normal 4 3 2 2 2 2 2 2 3 2" xfId="22032" xr:uid="{4CC2EC47-90CF-4E74-BC3C-1FBF456E64CF}"/>
    <cellStyle name="Normal 4 3 2 2 2 2 2 2 3 3" xfId="13598" xr:uid="{FFDCDA29-EA76-476B-B20E-E72207797B4E}"/>
    <cellStyle name="Normal 4 3 2 2 2 2 2 2 4" xfId="17815" xr:uid="{E12191DD-AA68-4A1C-B482-4A5A5F558FED}"/>
    <cellStyle name="Normal 4 3 2 2 2 2 2 2 5" xfId="9381" xr:uid="{A229850B-ED63-49AC-BB4E-0960206EADF2}"/>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24590" xr:uid="{21FC1EB1-C419-474C-9D90-26FBA88EE09C}"/>
    <cellStyle name="Normal 4 3 2 2 2 2 2 3 2 2 3" xfId="16156" xr:uid="{87020243-C363-4FA8-98EF-52535F9533BD}"/>
    <cellStyle name="Normal 4 3 2 2 2 2 2 3 2 3" xfId="20373" xr:uid="{77BE25EE-A0ED-44B3-B395-90BF5785456A}"/>
    <cellStyle name="Normal 4 3 2 2 2 2 2 3 2 4" xfId="11939" xr:uid="{9E723725-BE31-466D-AB4D-D7E38C8977B1}"/>
    <cellStyle name="Normal 4 3 2 2 2 2 2 3 3" xfId="5573" xr:uid="{00000000-0005-0000-0000-000014140000}"/>
    <cellStyle name="Normal 4 3 2 2 2 2 2 3 3 2" xfId="22445" xr:uid="{0968FE4B-CBAE-454D-94DE-1BFC8057E8AC}"/>
    <cellStyle name="Normal 4 3 2 2 2 2 2 3 3 3" xfId="14011" xr:uid="{0464CEE3-F212-42FE-A85E-9E5BD1E540DF}"/>
    <cellStyle name="Normal 4 3 2 2 2 2 2 3 4" xfId="18228" xr:uid="{EB92A83B-7FF4-45FE-9FA5-D3073E2E0EB4}"/>
    <cellStyle name="Normal 4 3 2 2 2 2 2 3 5" xfId="9794" xr:uid="{10C73FC6-A213-4F4A-A0F7-68984F92F866}"/>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25003" xr:uid="{66EC8AA3-376E-408E-AA5B-05397F90B6A1}"/>
    <cellStyle name="Normal 4 3 2 2 2 2 2 4 2 2 3" xfId="16569" xr:uid="{FA73F0F1-8DD5-4EFE-B3FF-63AC094718D5}"/>
    <cellStyle name="Normal 4 3 2 2 2 2 2 4 2 3" xfId="20786" xr:uid="{DB596B89-2D86-4907-8968-EE4D2513B50E}"/>
    <cellStyle name="Normal 4 3 2 2 2 2 2 4 2 4" xfId="12352" xr:uid="{ECFA7C18-1653-4EEC-9312-2C654272A94C}"/>
    <cellStyle name="Normal 4 3 2 2 2 2 2 4 3" xfId="5986" xr:uid="{00000000-0005-0000-0000-000018140000}"/>
    <cellStyle name="Normal 4 3 2 2 2 2 2 4 3 2" xfId="22858" xr:uid="{0976FF48-C0D2-4D2E-A74D-3DF7BDD85947}"/>
    <cellStyle name="Normal 4 3 2 2 2 2 2 4 3 3" xfId="14424" xr:uid="{F95D8C46-0CE8-4E75-9662-68A24C52E965}"/>
    <cellStyle name="Normal 4 3 2 2 2 2 2 4 4" xfId="18641" xr:uid="{4C25D51E-329F-451B-B19F-43AB212EC0D5}"/>
    <cellStyle name="Normal 4 3 2 2 2 2 2 4 5" xfId="10207" xr:uid="{3F789F51-1CD4-4BED-95E4-D672206DBC9C}"/>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25416" xr:uid="{F483F4A9-C48B-4680-95F8-65E5FB7B6038}"/>
    <cellStyle name="Normal 4 3 2 2 2 2 2 5 2 2 3" xfId="16982" xr:uid="{BC4D0E07-571D-49A2-A1A0-CFACAF500B2D}"/>
    <cellStyle name="Normal 4 3 2 2 2 2 2 5 2 3" xfId="21199" xr:uid="{C4F3723D-2E52-4D27-87C7-9ED6D2ED5179}"/>
    <cellStyle name="Normal 4 3 2 2 2 2 2 5 2 4" xfId="12765" xr:uid="{4DDA723F-2E73-49EF-8D1A-4EF212D0002B}"/>
    <cellStyle name="Normal 4 3 2 2 2 2 2 5 3" xfId="6399" xr:uid="{00000000-0005-0000-0000-00001C140000}"/>
    <cellStyle name="Normal 4 3 2 2 2 2 2 5 3 2" xfId="23271" xr:uid="{FA122266-6CC2-4FB7-A72B-44C5E2993114}"/>
    <cellStyle name="Normal 4 3 2 2 2 2 2 5 3 3" xfId="14837" xr:uid="{76FCBE0A-59E4-40E7-AD07-542F62A49B14}"/>
    <cellStyle name="Normal 4 3 2 2 2 2 2 5 4" xfId="19054" xr:uid="{82100FFC-1A17-4765-A5B8-EBE13EB8DD55}"/>
    <cellStyle name="Normal 4 3 2 2 2 2 2 5 5" xfId="10620" xr:uid="{0561CAD2-8461-4A29-B0C5-686117025EBC}"/>
    <cellStyle name="Normal 4 3 2 2 2 2 2 6" xfId="2528" xr:uid="{00000000-0005-0000-0000-00001D140000}"/>
    <cellStyle name="Normal 4 3 2 2 2 2 2 6 2" xfId="6812" xr:uid="{00000000-0005-0000-0000-00001E140000}"/>
    <cellStyle name="Normal 4 3 2 2 2 2 2 6 2 2" xfId="23684" xr:uid="{A6C530BA-42E8-4B85-A576-9E2BFA3FB88C}"/>
    <cellStyle name="Normal 4 3 2 2 2 2 2 6 2 3" xfId="15250" xr:uid="{1B5825BA-1CBC-439A-8727-72C2793097FC}"/>
    <cellStyle name="Normal 4 3 2 2 2 2 2 6 3" xfId="19467" xr:uid="{51547B93-89B8-4541-B705-52CEF1C7D3E0}"/>
    <cellStyle name="Normal 4 3 2 2 2 2 2 6 4" xfId="11033" xr:uid="{39A85EB2-3013-45AD-8C67-004F32EC0BBC}"/>
    <cellStyle name="Normal 4 3 2 2 2 2 2 7" xfId="4747" xr:uid="{00000000-0005-0000-0000-00001F140000}"/>
    <cellStyle name="Normal 4 3 2 2 2 2 2 7 2" xfId="21619" xr:uid="{9149B19D-27C3-46F5-9270-3113BE7FF6CE}"/>
    <cellStyle name="Normal 4 3 2 2 2 2 2 7 3" xfId="13185" xr:uid="{84798445-BFC4-4738-A36E-11E2AC90F83F}"/>
    <cellStyle name="Normal 4 3 2 2 2 2 2 8" xfId="17402" xr:uid="{272BB252-0585-42B7-A8E9-1E01DDFA5D60}"/>
    <cellStyle name="Normal 4 3 2 2 2 2 2 9" xfId="8968" xr:uid="{BDE961B1-F2CC-49D9-8CB8-1D27A4E44B31}"/>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24176" xr:uid="{1121918E-AC61-4B2E-9A1B-41053B982694}"/>
    <cellStyle name="Normal 4 3 2 2 2 2 3 2 2 3" xfId="15742" xr:uid="{B12C5320-B0CC-4176-8F91-BD87725833D5}"/>
    <cellStyle name="Normal 4 3 2 2 2 2 3 2 3" xfId="19959" xr:uid="{30AAEE85-A5C8-4EC1-8D0A-6D4305D63599}"/>
    <cellStyle name="Normal 4 3 2 2 2 2 3 2 4" xfId="11525" xr:uid="{90BD384E-0756-410B-A5CA-EF26B5506980}"/>
    <cellStyle name="Normal 4 3 2 2 2 2 3 3" xfId="5159" xr:uid="{00000000-0005-0000-0000-000023140000}"/>
    <cellStyle name="Normal 4 3 2 2 2 2 3 3 2" xfId="22031" xr:uid="{271613E5-4FE4-4AAD-8F33-B9B90C5F3B81}"/>
    <cellStyle name="Normal 4 3 2 2 2 2 3 3 3" xfId="13597" xr:uid="{B87C10E9-3FB6-4FA9-98D4-A41BED61867C}"/>
    <cellStyle name="Normal 4 3 2 2 2 2 3 4" xfId="17814" xr:uid="{DB74EA7E-797C-4BFA-9979-8305516E098E}"/>
    <cellStyle name="Normal 4 3 2 2 2 2 3 5" xfId="9380" xr:uid="{72BAC24A-D291-4E84-BE0E-D13E88A209AD}"/>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24589" xr:uid="{6C6A57E0-8A31-46FF-8957-8EB0B1DF5F01}"/>
    <cellStyle name="Normal 4 3 2 2 2 2 4 2 2 3" xfId="16155" xr:uid="{087316F2-A404-4D22-942E-C2D6F5801789}"/>
    <cellStyle name="Normal 4 3 2 2 2 2 4 2 3" xfId="20372" xr:uid="{FD0651A7-4BF9-4D7E-A2D2-D861805AD47F}"/>
    <cellStyle name="Normal 4 3 2 2 2 2 4 2 4" xfId="11938" xr:uid="{FF6E5E5A-BEBA-4272-B8EB-8F23422D9FA1}"/>
    <cellStyle name="Normal 4 3 2 2 2 2 4 3" xfId="5572" xr:uid="{00000000-0005-0000-0000-000027140000}"/>
    <cellStyle name="Normal 4 3 2 2 2 2 4 3 2" xfId="22444" xr:uid="{6531C9BF-CB64-48CE-92DB-5930A5582856}"/>
    <cellStyle name="Normal 4 3 2 2 2 2 4 3 3" xfId="14010" xr:uid="{7359CA0C-D5B7-478C-BBFF-14C3C0114717}"/>
    <cellStyle name="Normal 4 3 2 2 2 2 4 4" xfId="18227" xr:uid="{54AC3867-BCA4-43DA-8276-999BE72B208E}"/>
    <cellStyle name="Normal 4 3 2 2 2 2 4 5" xfId="9793" xr:uid="{5688ECB3-FD0D-427A-8AC8-5241572E5B7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25002" xr:uid="{BDE479E0-4609-45EA-8172-6F461D36D8B6}"/>
    <cellStyle name="Normal 4 3 2 2 2 2 5 2 2 3" xfId="16568" xr:uid="{07B3D125-8C4A-47CE-A251-E58511EE69E0}"/>
    <cellStyle name="Normal 4 3 2 2 2 2 5 2 3" xfId="20785" xr:uid="{854C2287-3441-469B-99A8-8C6FB83E8E42}"/>
    <cellStyle name="Normal 4 3 2 2 2 2 5 2 4" xfId="12351" xr:uid="{C1334E4B-332A-4E0C-B959-863243DCB61C}"/>
    <cellStyle name="Normal 4 3 2 2 2 2 5 3" xfId="5985" xr:uid="{00000000-0005-0000-0000-00002B140000}"/>
    <cellStyle name="Normal 4 3 2 2 2 2 5 3 2" xfId="22857" xr:uid="{568FE11C-5122-4C88-8013-1D5949600C17}"/>
    <cellStyle name="Normal 4 3 2 2 2 2 5 3 3" xfId="14423" xr:uid="{A27C29EF-F31F-4F4A-B017-B0ECB012329D}"/>
    <cellStyle name="Normal 4 3 2 2 2 2 5 4" xfId="18640" xr:uid="{5BEEC8CB-70E9-4A14-92C3-89819306212C}"/>
    <cellStyle name="Normal 4 3 2 2 2 2 5 5" xfId="10206" xr:uid="{1BE742C2-2194-48F0-88E9-AE59AF6E0578}"/>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25415" xr:uid="{B3AB9A1D-55FD-48D6-BABA-F253A06AC639}"/>
    <cellStyle name="Normal 4 3 2 2 2 2 6 2 2 3" xfId="16981" xr:uid="{6BF2FF63-0C8A-46B5-992C-CEC44F585C1C}"/>
    <cellStyle name="Normal 4 3 2 2 2 2 6 2 3" xfId="21198" xr:uid="{5042B231-C4DB-4837-BFA8-9340CCB6C227}"/>
    <cellStyle name="Normal 4 3 2 2 2 2 6 2 4" xfId="12764" xr:uid="{59A83452-EE37-4FD0-A2D1-E50FAD8FE873}"/>
    <cellStyle name="Normal 4 3 2 2 2 2 6 3" xfId="6398" xr:uid="{00000000-0005-0000-0000-00002F140000}"/>
    <cellStyle name="Normal 4 3 2 2 2 2 6 3 2" xfId="23270" xr:uid="{FF3ADBA8-0435-43D5-A0BD-CAF1F1B7F8B6}"/>
    <cellStyle name="Normal 4 3 2 2 2 2 6 3 3" xfId="14836" xr:uid="{C5088BE4-C257-4784-B567-96DE7BCC8AF4}"/>
    <cellStyle name="Normal 4 3 2 2 2 2 6 4" xfId="19053" xr:uid="{57E747C2-E6DD-4F1E-94ED-540796ACA137}"/>
    <cellStyle name="Normal 4 3 2 2 2 2 6 5" xfId="10619" xr:uid="{EBC05719-2015-4942-B4FB-703E78A43DB1}"/>
    <cellStyle name="Normal 4 3 2 2 2 2 7" xfId="2527" xr:uid="{00000000-0005-0000-0000-000030140000}"/>
    <cellStyle name="Normal 4 3 2 2 2 2 7 2" xfId="6811" xr:uid="{00000000-0005-0000-0000-000031140000}"/>
    <cellStyle name="Normal 4 3 2 2 2 2 7 2 2" xfId="23683" xr:uid="{434E4595-43D3-4885-B551-15C71626AB39}"/>
    <cellStyle name="Normal 4 3 2 2 2 2 7 2 3" xfId="15249" xr:uid="{EDD92A70-8B5C-4088-9578-F3AB86E0AB62}"/>
    <cellStyle name="Normal 4 3 2 2 2 2 7 3" xfId="19466" xr:uid="{D007B220-9C71-4867-B68B-229F2A62DF83}"/>
    <cellStyle name="Normal 4 3 2 2 2 2 7 4" xfId="11032" xr:uid="{D89E295B-CA10-4BCB-9A01-3B0DD204DC70}"/>
    <cellStyle name="Normal 4 3 2 2 2 2 8" xfId="4746" xr:uid="{00000000-0005-0000-0000-000032140000}"/>
    <cellStyle name="Normal 4 3 2 2 2 2 8 2" xfId="21618" xr:uid="{65EEAFCC-EBD2-43B2-8BCD-A2F9AFDBBE37}"/>
    <cellStyle name="Normal 4 3 2 2 2 2 8 3" xfId="13184" xr:uid="{49EA6FBA-8A21-4307-AA44-6867D5E69C24}"/>
    <cellStyle name="Normal 4 3 2 2 2 2 9" xfId="17401" xr:uid="{B180F134-403A-45D5-AC33-BF787CCD945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24178" xr:uid="{EB1BFC8B-2562-4098-8E6A-4DB4B03EA661}"/>
    <cellStyle name="Normal 4 3 2 2 2 3 2 2 2 3" xfId="15744" xr:uid="{59D9B9F9-84E7-4600-B134-0E584DFD4A38}"/>
    <cellStyle name="Normal 4 3 2 2 2 3 2 2 3" xfId="19961" xr:uid="{ADBCB41C-5A7E-4A90-9B3F-B26F2CD6964A}"/>
    <cellStyle name="Normal 4 3 2 2 2 3 2 2 4" xfId="11527" xr:uid="{EBD0A2F2-D80F-42B7-846B-742C7415C42D}"/>
    <cellStyle name="Normal 4 3 2 2 2 3 2 3" xfId="5161" xr:uid="{00000000-0005-0000-0000-000037140000}"/>
    <cellStyle name="Normal 4 3 2 2 2 3 2 3 2" xfId="22033" xr:uid="{321BD63F-AF1A-4AC9-918D-09D7579031CA}"/>
    <cellStyle name="Normal 4 3 2 2 2 3 2 3 3" xfId="13599" xr:uid="{B1659A93-6FB3-472B-9D50-B6B9A0E749D6}"/>
    <cellStyle name="Normal 4 3 2 2 2 3 2 4" xfId="17816" xr:uid="{91D7ED10-1403-40E1-811E-9E0E15C176D5}"/>
    <cellStyle name="Normal 4 3 2 2 2 3 2 5" xfId="9382" xr:uid="{D912D8E0-42A1-432C-B11D-920B9795AAB4}"/>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24591" xr:uid="{D97DC47F-38B5-4939-A5F5-A1D83490F535}"/>
    <cellStyle name="Normal 4 3 2 2 2 3 3 2 2 3" xfId="16157" xr:uid="{7886E4FC-7102-45EA-8822-FEEB76EC26F8}"/>
    <cellStyle name="Normal 4 3 2 2 2 3 3 2 3" xfId="20374" xr:uid="{D41D79D7-E0C9-4269-B3C5-19542EAFCFA1}"/>
    <cellStyle name="Normal 4 3 2 2 2 3 3 2 4" xfId="11940" xr:uid="{79F58A93-EF8D-4E8D-A8BD-804CA0D67FDF}"/>
    <cellStyle name="Normal 4 3 2 2 2 3 3 3" xfId="5574" xr:uid="{00000000-0005-0000-0000-00003B140000}"/>
    <cellStyle name="Normal 4 3 2 2 2 3 3 3 2" xfId="22446" xr:uid="{6B8E9095-525D-4C07-9C29-BDF08415ECC6}"/>
    <cellStyle name="Normal 4 3 2 2 2 3 3 3 3" xfId="14012" xr:uid="{68DB2D60-7D4D-4086-9539-1C385711D784}"/>
    <cellStyle name="Normal 4 3 2 2 2 3 3 4" xfId="18229" xr:uid="{D9AEB24B-A468-4839-A856-83838076F99D}"/>
    <cellStyle name="Normal 4 3 2 2 2 3 3 5" xfId="9795" xr:uid="{D19FCEF5-D6FF-40BB-A901-BDE227E2948A}"/>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25004" xr:uid="{6F6CFC15-76D2-473A-803A-B997AD97309E}"/>
    <cellStyle name="Normal 4 3 2 2 2 3 4 2 2 3" xfId="16570" xr:uid="{C2E4209A-93B4-480E-AE4C-648C800B433F}"/>
    <cellStyle name="Normal 4 3 2 2 2 3 4 2 3" xfId="20787" xr:uid="{1F250D04-2581-417C-B24D-CBC24B50C1D3}"/>
    <cellStyle name="Normal 4 3 2 2 2 3 4 2 4" xfId="12353" xr:uid="{C0CE4F0F-F7DB-42FB-AD24-CCFA9394A94A}"/>
    <cellStyle name="Normal 4 3 2 2 2 3 4 3" xfId="5987" xr:uid="{00000000-0005-0000-0000-00003F140000}"/>
    <cellStyle name="Normal 4 3 2 2 2 3 4 3 2" xfId="22859" xr:uid="{26127DA1-07A5-49A5-94E9-CB8EBF0AD206}"/>
    <cellStyle name="Normal 4 3 2 2 2 3 4 3 3" xfId="14425" xr:uid="{03EBF9F4-9620-4CBE-A0CB-BE326EF2CDCD}"/>
    <cellStyle name="Normal 4 3 2 2 2 3 4 4" xfId="18642" xr:uid="{7EA90942-56D2-4805-ABF5-F03880E725AA}"/>
    <cellStyle name="Normal 4 3 2 2 2 3 4 5" xfId="10208" xr:uid="{8F4FD709-A945-4864-885D-8CF1FC18913E}"/>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25417" xr:uid="{00558F24-2BC3-4111-995A-C48C3E51BD46}"/>
    <cellStyle name="Normal 4 3 2 2 2 3 5 2 2 3" xfId="16983" xr:uid="{2C060BBF-33B1-4C65-B357-97F9F59BD834}"/>
    <cellStyle name="Normal 4 3 2 2 2 3 5 2 3" xfId="21200" xr:uid="{3BF41CFE-5D9F-4076-B6C2-A6BCB0B2D645}"/>
    <cellStyle name="Normal 4 3 2 2 2 3 5 2 4" xfId="12766" xr:uid="{D4185080-BAB2-4DCF-9C27-92AE5394F40C}"/>
    <cellStyle name="Normal 4 3 2 2 2 3 5 3" xfId="6400" xr:uid="{00000000-0005-0000-0000-000043140000}"/>
    <cellStyle name="Normal 4 3 2 2 2 3 5 3 2" xfId="23272" xr:uid="{F5E0CC8C-A47C-4B60-86DB-4B7F3E51EEFB}"/>
    <cellStyle name="Normal 4 3 2 2 2 3 5 3 3" xfId="14838" xr:uid="{55F3213B-22AD-4A39-AF48-39EC7F6099DC}"/>
    <cellStyle name="Normal 4 3 2 2 2 3 5 4" xfId="19055" xr:uid="{19630AEB-7AF0-48C7-A27F-255717FCE46D}"/>
    <cellStyle name="Normal 4 3 2 2 2 3 5 5" xfId="10621" xr:uid="{700F3D60-21E5-44C1-9721-120F0CEDF92D}"/>
    <cellStyle name="Normal 4 3 2 2 2 3 6" xfId="2529" xr:uid="{00000000-0005-0000-0000-000044140000}"/>
    <cellStyle name="Normal 4 3 2 2 2 3 6 2" xfId="6813" xr:uid="{00000000-0005-0000-0000-000045140000}"/>
    <cellStyle name="Normal 4 3 2 2 2 3 6 2 2" xfId="23685" xr:uid="{A198CDE3-E5FA-440C-B716-2FC8CE02FF4F}"/>
    <cellStyle name="Normal 4 3 2 2 2 3 6 2 3" xfId="15251" xr:uid="{90DB49A9-2BB8-4D28-8CAD-2D9BE3E4C8B0}"/>
    <cellStyle name="Normal 4 3 2 2 2 3 6 3" xfId="19468" xr:uid="{B94865FE-7A5D-4035-A3FA-86F3990480A3}"/>
    <cellStyle name="Normal 4 3 2 2 2 3 6 4" xfId="11034" xr:uid="{D79B60BB-4080-4FDF-BB42-BB60EC45D777}"/>
    <cellStyle name="Normal 4 3 2 2 2 3 7" xfId="4748" xr:uid="{00000000-0005-0000-0000-000046140000}"/>
    <cellStyle name="Normal 4 3 2 2 2 3 7 2" xfId="21620" xr:uid="{D539D5F8-BB19-4F05-A8AF-6008205560C9}"/>
    <cellStyle name="Normal 4 3 2 2 2 3 7 3" xfId="13186" xr:uid="{FDEB7866-5CFD-4923-B482-3E9A067D00B3}"/>
    <cellStyle name="Normal 4 3 2 2 2 3 8" xfId="17403" xr:uid="{D7DA72CE-49DB-4435-BF37-67A7DA6A0E86}"/>
    <cellStyle name="Normal 4 3 2 2 2 3 9" xfId="8969" xr:uid="{7DBAB2E6-0186-4231-9E28-589640BC4567}"/>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24175" xr:uid="{4F553477-00D2-46BD-8516-FEDF6BCB19FD}"/>
    <cellStyle name="Normal 4 3 2 2 2 4 2 2 3" xfId="15741" xr:uid="{0CF91DB9-09D4-4979-B0D1-197C6D7E64B8}"/>
    <cellStyle name="Normal 4 3 2 2 2 4 2 3" xfId="19958" xr:uid="{CBAD5303-B31D-4B80-9398-05F210EFA46F}"/>
    <cellStyle name="Normal 4 3 2 2 2 4 2 4" xfId="11524" xr:uid="{AB0D6FC1-B1C4-4F82-9886-A0EBF80B4241}"/>
    <cellStyle name="Normal 4 3 2 2 2 4 3" xfId="5158" xr:uid="{00000000-0005-0000-0000-00004A140000}"/>
    <cellStyle name="Normal 4 3 2 2 2 4 3 2" xfId="22030" xr:uid="{E64ABEBC-E8DD-49F1-9936-FCD8AC612A28}"/>
    <cellStyle name="Normal 4 3 2 2 2 4 3 3" xfId="13596" xr:uid="{BC38685D-5ACC-4296-8E97-95291435323F}"/>
    <cellStyle name="Normal 4 3 2 2 2 4 4" xfId="17813" xr:uid="{A75DC1B8-D30E-4F37-866C-347AA2D49CB2}"/>
    <cellStyle name="Normal 4 3 2 2 2 4 5" xfId="9379" xr:uid="{C43BD60D-B406-48BD-9FDF-8C93D5150BB3}"/>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24588" xr:uid="{1593848A-348E-4A40-8BA2-3087FC48AD45}"/>
    <cellStyle name="Normal 4 3 2 2 2 5 2 2 3" xfId="16154" xr:uid="{D1EB4025-ADB8-4AA8-87B1-5A985E5E3A9E}"/>
    <cellStyle name="Normal 4 3 2 2 2 5 2 3" xfId="20371" xr:uid="{65C06736-6251-4D98-A619-ACDA5D0F11F9}"/>
    <cellStyle name="Normal 4 3 2 2 2 5 2 4" xfId="11937" xr:uid="{50E824C1-E394-4B19-B3D7-567EC0CB292D}"/>
    <cellStyle name="Normal 4 3 2 2 2 5 3" xfId="5571" xr:uid="{00000000-0005-0000-0000-00004E140000}"/>
    <cellStyle name="Normal 4 3 2 2 2 5 3 2" xfId="22443" xr:uid="{ED450B7B-629D-43AB-BC68-16CE7AA8901B}"/>
    <cellStyle name="Normal 4 3 2 2 2 5 3 3" xfId="14009" xr:uid="{5BED46D4-3450-486D-8380-81BB179C841F}"/>
    <cellStyle name="Normal 4 3 2 2 2 5 4" xfId="18226" xr:uid="{979B4538-51A4-4E57-B853-C02FBF00124E}"/>
    <cellStyle name="Normal 4 3 2 2 2 5 5" xfId="9792" xr:uid="{D5E9290F-124C-4E17-8FB1-2CCAB5DFBC88}"/>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25001" xr:uid="{E0937ED5-5489-4899-9549-22F5F8285652}"/>
    <cellStyle name="Normal 4 3 2 2 2 6 2 2 3" xfId="16567" xr:uid="{94B1163C-D547-4A32-AB76-5CA69F1D6DC4}"/>
    <cellStyle name="Normal 4 3 2 2 2 6 2 3" xfId="20784" xr:uid="{1F59DD1A-4EA1-4366-8DFB-55A7B7BA7592}"/>
    <cellStyle name="Normal 4 3 2 2 2 6 2 4" xfId="12350" xr:uid="{4F764FE8-D553-40B8-BDD9-195A645CAF7D}"/>
    <cellStyle name="Normal 4 3 2 2 2 6 3" xfId="5984" xr:uid="{00000000-0005-0000-0000-000052140000}"/>
    <cellStyle name="Normal 4 3 2 2 2 6 3 2" xfId="22856" xr:uid="{826B3715-ECB1-425D-A3BC-A2EFA8F06DCF}"/>
    <cellStyle name="Normal 4 3 2 2 2 6 3 3" xfId="14422" xr:uid="{2DA5AAA0-5B2C-4D0A-9D7C-057F975E86CE}"/>
    <cellStyle name="Normal 4 3 2 2 2 6 4" xfId="18639" xr:uid="{94F5E861-BD4F-4D63-A432-32C668077ED3}"/>
    <cellStyle name="Normal 4 3 2 2 2 6 5" xfId="10205" xr:uid="{F4691DBF-04BA-4E14-9726-8DB8BBF825B7}"/>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25414" xr:uid="{2685D6DC-07E3-450B-A76A-C6E554B336C5}"/>
    <cellStyle name="Normal 4 3 2 2 2 7 2 2 3" xfId="16980" xr:uid="{27DC46D1-7691-4D9B-A077-228149FF13E1}"/>
    <cellStyle name="Normal 4 3 2 2 2 7 2 3" xfId="21197" xr:uid="{309365F4-90A6-4850-854E-5666C9585761}"/>
    <cellStyle name="Normal 4 3 2 2 2 7 2 4" xfId="12763" xr:uid="{CD0ED6C0-86B5-4EF9-BC63-E5153B87A659}"/>
    <cellStyle name="Normal 4 3 2 2 2 7 3" xfId="6397" xr:uid="{00000000-0005-0000-0000-000056140000}"/>
    <cellStyle name="Normal 4 3 2 2 2 7 3 2" xfId="23269" xr:uid="{5E523419-AF13-46EC-B39F-65BA69DBCED1}"/>
    <cellStyle name="Normal 4 3 2 2 2 7 3 3" xfId="14835" xr:uid="{CF970361-99E1-4CC7-8A59-B63634067F80}"/>
    <cellStyle name="Normal 4 3 2 2 2 7 4" xfId="19052" xr:uid="{5AB061E1-A0BE-4755-B800-1E70BD55BD63}"/>
    <cellStyle name="Normal 4 3 2 2 2 7 5" xfId="10618" xr:uid="{6D566079-574C-4B33-BA4F-6D2489276FA7}"/>
    <cellStyle name="Normal 4 3 2 2 2 8" xfId="2526" xr:uid="{00000000-0005-0000-0000-000057140000}"/>
    <cellStyle name="Normal 4 3 2 2 2 8 2" xfId="6810" xr:uid="{00000000-0005-0000-0000-000058140000}"/>
    <cellStyle name="Normal 4 3 2 2 2 8 2 2" xfId="23682" xr:uid="{347FD1FC-EF49-4D4F-9367-5B6178B203D0}"/>
    <cellStyle name="Normal 4 3 2 2 2 8 2 3" xfId="15248" xr:uid="{D9E93EAB-7E98-462F-8613-4C27293FB21E}"/>
    <cellStyle name="Normal 4 3 2 2 2 8 3" xfId="19465" xr:uid="{50CDF4A0-4662-4334-9FF9-01DBDF201B8B}"/>
    <cellStyle name="Normal 4 3 2 2 2 8 4" xfId="11031" xr:uid="{27CE2DFB-0833-4EE1-A915-D5E3D8B39492}"/>
    <cellStyle name="Normal 4 3 2 2 2 9" xfId="4745" xr:uid="{00000000-0005-0000-0000-000059140000}"/>
    <cellStyle name="Normal 4 3 2 2 2 9 2" xfId="21617" xr:uid="{6332134F-A9E9-44E2-91A1-1697607DC0D4}"/>
    <cellStyle name="Normal 4 3 2 2 2 9 3" xfId="13183" xr:uid="{353B316E-1199-44A1-8B6B-7ABDFEDD8DC6}"/>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7404" xr:uid="{C7C6F748-FB88-457E-9F61-4562EF70BCA1}"/>
    <cellStyle name="Normal 4 3 3 11" xfId="8970" xr:uid="{CA28AD3C-25C1-43CA-9F8C-F95F4E793D44}"/>
    <cellStyle name="Normal 4 3 3 2" xfId="375" xr:uid="{00000000-0005-0000-0000-00005E140000}"/>
    <cellStyle name="Normal 4 3 3 2 10" xfId="8971" xr:uid="{42588818-8011-4F6C-BE62-4A099AAD6406}"/>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24181" xr:uid="{9304365E-52F1-401D-B507-E49E9BF85288}"/>
    <cellStyle name="Normal 4 3 3 2 2 2 2 2 3" xfId="15747" xr:uid="{8E2C5AAB-F40F-438F-97C5-7124CB5DB607}"/>
    <cellStyle name="Normal 4 3 3 2 2 2 2 3" xfId="19964" xr:uid="{25E741BD-4AD0-4BEB-B43B-166C783A37D7}"/>
    <cellStyle name="Normal 4 3 3 2 2 2 2 4" xfId="11530" xr:uid="{B535ABD0-B5C2-4A5A-A734-FE42ED7AB5E3}"/>
    <cellStyle name="Normal 4 3 3 2 2 2 3" xfId="5164" xr:uid="{00000000-0005-0000-0000-000063140000}"/>
    <cellStyle name="Normal 4 3 3 2 2 2 3 2" xfId="22036" xr:uid="{B61E3699-5DD1-4A4C-BB28-3CD1E0152F56}"/>
    <cellStyle name="Normal 4 3 3 2 2 2 3 3" xfId="13602" xr:uid="{D543B0FE-F9F0-4578-9E1A-F0182EB17371}"/>
    <cellStyle name="Normal 4 3 3 2 2 2 4" xfId="17819" xr:uid="{C5CC632A-9F81-446F-8845-A1A989ACB683}"/>
    <cellStyle name="Normal 4 3 3 2 2 2 5" xfId="9385" xr:uid="{32F48928-2991-428C-95A1-287077BE157C}"/>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24594" xr:uid="{E98AD825-E5B3-44E7-B5BE-D9BD8CCDEB63}"/>
    <cellStyle name="Normal 4 3 3 2 2 3 2 2 3" xfId="16160" xr:uid="{4196F0C0-3739-45D4-A9FC-07BFF224C04B}"/>
    <cellStyle name="Normal 4 3 3 2 2 3 2 3" xfId="20377" xr:uid="{4844AB37-B00C-434E-A0CD-10007FC78AAE}"/>
    <cellStyle name="Normal 4 3 3 2 2 3 2 4" xfId="11943" xr:uid="{52564C69-D763-497B-9DFB-9C5C09853B49}"/>
    <cellStyle name="Normal 4 3 3 2 2 3 3" xfId="5577" xr:uid="{00000000-0005-0000-0000-000067140000}"/>
    <cellStyle name="Normal 4 3 3 2 2 3 3 2" xfId="22449" xr:uid="{08B342EC-5AF9-4238-B979-E64B7E9C68FD}"/>
    <cellStyle name="Normal 4 3 3 2 2 3 3 3" xfId="14015" xr:uid="{200E8BD9-2602-4F64-8103-279DA754AAEF}"/>
    <cellStyle name="Normal 4 3 3 2 2 3 4" xfId="18232" xr:uid="{9346E92F-7C51-4CDD-8F07-44CE7012587D}"/>
    <cellStyle name="Normal 4 3 3 2 2 3 5" xfId="9798" xr:uid="{513810F0-8235-4183-933B-8B19D8BB8AF1}"/>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25007" xr:uid="{F83B745C-6845-4ABF-BCF4-EBFC3A06EF83}"/>
    <cellStyle name="Normal 4 3 3 2 2 4 2 2 3" xfId="16573" xr:uid="{4417A089-A547-47F4-BE34-C269EE491640}"/>
    <cellStyle name="Normal 4 3 3 2 2 4 2 3" xfId="20790" xr:uid="{71882DCE-A678-41E8-9AA4-16FCA0341250}"/>
    <cellStyle name="Normal 4 3 3 2 2 4 2 4" xfId="12356" xr:uid="{6FB65C0A-5B49-4C80-8637-DE9E078C48AE}"/>
    <cellStyle name="Normal 4 3 3 2 2 4 3" xfId="5990" xr:uid="{00000000-0005-0000-0000-00006B140000}"/>
    <cellStyle name="Normal 4 3 3 2 2 4 3 2" xfId="22862" xr:uid="{7E66E066-E0DA-42C7-B973-B6612A3B87EC}"/>
    <cellStyle name="Normal 4 3 3 2 2 4 3 3" xfId="14428" xr:uid="{4B0323AF-CC84-40D7-A1E7-7D3351FCEA24}"/>
    <cellStyle name="Normal 4 3 3 2 2 4 4" xfId="18645" xr:uid="{40AEFC41-DC45-411E-9B2A-E04D75DD51A1}"/>
    <cellStyle name="Normal 4 3 3 2 2 4 5" xfId="10211" xr:uid="{85886A0B-BC7C-4717-A4BD-BA019BE617DB}"/>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25420" xr:uid="{623D3D21-5437-495F-BBC8-943DA8A4F620}"/>
    <cellStyle name="Normal 4 3 3 2 2 5 2 2 3" xfId="16986" xr:uid="{FD3C8642-39A5-4F31-8F2A-45895D4E03C0}"/>
    <cellStyle name="Normal 4 3 3 2 2 5 2 3" xfId="21203" xr:uid="{93345F91-B8BD-48C1-8061-5966B47C1526}"/>
    <cellStyle name="Normal 4 3 3 2 2 5 2 4" xfId="12769" xr:uid="{6DD21D1B-2ADA-4D17-AB8A-0A6B0ACF4723}"/>
    <cellStyle name="Normal 4 3 3 2 2 5 3" xfId="6403" xr:uid="{00000000-0005-0000-0000-00006F140000}"/>
    <cellStyle name="Normal 4 3 3 2 2 5 3 2" xfId="23275" xr:uid="{24B53E01-8F38-4F4B-BEFC-19524046B954}"/>
    <cellStyle name="Normal 4 3 3 2 2 5 3 3" xfId="14841" xr:uid="{2FDC332B-0F69-4755-AE4A-3AE6B11CF6E0}"/>
    <cellStyle name="Normal 4 3 3 2 2 5 4" xfId="19058" xr:uid="{155F3321-D135-427B-9990-55B108E07ED9}"/>
    <cellStyle name="Normal 4 3 3 2 2 5 5" xfId="10624" xr:uid="{FB8B7A1A-DFB1-4071-B467-928D41D3AB9C}"/>
    <cellStyle name="Normal 4 3 3 2 2 6" xfId="2532" xr:uid="{00000000-0005-0000-0000-000070140000}"/>
    <cellStyle name="Normal 4 3 3 2 2 6 2" xfId="6816" xr:uid="{00000000-0005-0000-0000-000071140000}"/>
    <cellStyle name="Normal 4 3 3 2 2 6 2 2" xfId="23688" xr:uid="{415533F5-FC0D-433D-96CF-C42ADC5A2A15}"/>
    <cellStyle name="Normal 4 3 3 2 2 6 2 3" xfId="15254" xr:uid="{3659E1A4-17D7-4113-8A11-EA900F9B89D0}"/>
    <cellStyle name="Normal 4 3 3 2 2 6 3" xfId="19471" xr:uid="{C9D26684-D08C-4A53-9353-6FBC31D56BFD}"/>
    <cellStyle name="Normal 4 3 3 2 2 6 4" xfId="11037" xr:uid="{C76BAF4D-D835-4328-8FC2-C53358E46EA4}"/>
    <cellStyle name="Normal 4 3 3 2 2 7" xfId="4751" xr:uid="{00000000-0005-0000-0000-000072140000}"/>
    <cellStyle name="Normal 4 3 3 2 2 7 2" xfId="21623" xr:uid="{1B1FCA25-BBE2-4DE8-8A7C-0F144CCA786A}"/>
    <cellStyle name="Normal 4 3 3 2 2 7 3" xfId="13189" xr:uid="{8DC33740-3C16-4D37-8BFA-BC69E64A5043}"/>
    <cellStyle name="Normal 4 3 3 2 2 8" xfId="17406" xr:uid="{F0B58C31-5801-45A3-9596-EF4FD0E72A9A}"/>
    <cellStyle name="Normal 4 3 3 2 2 9" xfId="8972" xr:uid="{5FC3E8F7-8E94-41CA-A43E-B665931CAE9B}"/>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24180" xr:uid="{6405DB54-0A86-48F6-8194-491797280F53}"/>
    <cellStyle name="Normal 4 3 3 2 3 2 2 3" xfId="15746" xr:uid="{6FE32504-3823-438F-848B-6F1D731F604E}"/>
    <cellStyle name="Normal 4 3 3 2 3 2 3" xfId="19963" xr:uid="{C4DCE018-DB5E-4CE2-B344-457AA5B765D6}"/>
    <cellStyle name="Normal 4 3 3 2 3 2 4" xfId="11529" xr:uid="{3E1E88F3-0E5C-41B2-A580-B890606B226B}"/>
    <cellStyle name="Normal 4 3 3 2 3 3" xfId="5163" xr:uid="{00000000-0005-0000-0000-000076140000}"/>
    <cellStyle name="Normal 4 3 3 2 3 3 2" xfId="22035" xr:uid="{479D7510-DF85-4709-B9D6-76F34BFC789C}"/>
    <cellStyle name="Normal 4 3 3 2 3 3 3" xfId="13601" xr:uid="{17ADB660-378A-41CE-9E28-A07291CF4719}"/>
    <cellStyle name="Normal 4 3 3 2 3 4" xfId="17818" xr:uid="{DB1E3E23-FE34-40EC-A359-C8B6773B9BE4}"/>
    <cellStyle name="Normal 4 3 3 2 3 5" xfId="9384" xr:uid="{2070E8AA-41E2-47DC-B70A-A98A4F4EED6C}"/>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24593" xr:uid="{3EE0E103-F93E-4C0D-87E1-E0E0EEAA375B}"/>
    <cellStyle name="Normal 4 3 3 2 4 2 2 3" xfId="16159" xr:uid="{54FE9F4F-A352-403E-8F67-785E09B18F25}"/>
    <cellStyle name="Normal 4 3 3 2 4 2 3" xfId="20376" xr:uid="{4BE1A4B1-E275-4BFB-BD89-D3E4AF4433AE}"/>
    <cellStyle name="Normal 4 3 3 2 4 2 4" xfId="11942" xr:uid="{CF10E39F-2B67-4400-9223-5E7E3A45CA33}"/>
    <cellStyle name="Normal 4 3 3 2 4 3" xfId="5576" xr:uid="{00000000-0005-0000-0000-00007A140000}"/>
    <cellStyle name="Normal 4 3 3 2 4 3 2" xfId="22448" xr:uid="{5040CD26-2D74-481F-A07B-1EDF2164B155}"/>
    <cellStyle name="Normal 4 3 3 2 4 3 3" xfId="14014" xr:uid="{23763D6B-C801-486B-9377-0AE93192AECF}"/>
    <cellStyle name="Normal 4 3 3 2 4 4" xfId="18231" xr:uid="{09205195-A18D-48AF-9492-BB03B5AE5651}"/>
    <cellStyle name="Normal 4 3 3 2 4 5" xfId="9797" xr:uid="{A377E436-66AE-41A3-9146-5D60E2970C75}"/>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25006" xr:uid="{C3141EC6-653E-4857-BBBE-7E6C4E12E6C7}"/>
    <cellStyle name="Normal 4 3 3 2 5 2 2 3" xfId="16572" xr:uid="{CCD84263-AD6B-4E3E-AFD4-F8CACFF8BF9B}"/>
    <cellStyle name="Normal 4 3 3 2 5 2 3" xfId="20789" xr:uid="{95EF1D1A-8575-40F3-97C7-ACD59689D6A6}"/>
    <cellStyle name="Normal 4 3 3 2 5 2 4" xfId="12355" xr:uid="{1C89D001-78A5-43D0-996A-E88B36C89E9B}"/>
    <cellStyle name="Normal 4 3 3 2 5 3" xfId="5989" xr:uid="{00000000-0005-0000-0000-00007E140000}"/>
    <cellStyle name="Normal 4 3 3 2 5 3 2" xfId="22861" xr:uid="{2ED5F282-C612-4BF4-8CD6-5F1E1406B361}"/>
    <cellStyle name="Normal 4 3 3 2 5 3 3" xfId="14427" xr:uid="{6CA6C435-CD53-485A-968E-3FCF428149F4}"/>
    <cellStyle name="Normal 4 3 3 2 5 4" xfId="18644" xr:uid="{CB330FFE-9EEC-439E-A3FE-9B07FF7BACA3}"/>
    <cellStyle name="Normal 4 3 3 2 5 5" xfId="10210" xr:uid="{AA523640-B9AC-447D-BBBA-E97517C8F851}"/>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25419" xr:uid="{39C7D90C-02EF-4127-973B-63BABB882F2C}"/>
    <cellStyle name="Normal 4 3 3 2 6 2 2 3" xfId="16985" xr:uid="{12594DE0-EAF9-439B-835E-4E483F4F2B77}"/>
    <cellStyle name="Normal 4 3 3 2 6 2 3" xfId="21202" xr:uid="{3A2B9E8A-B1F9-4DDD-866F-F033C3522087}"/>
    <cellStyle name="Normal 4 3 3 2 6 2 4" xfId="12768" xr:uid="{CC744D26-EEC9-484E-8C6F-BF8268DB3141}"/>
    <cellStyle name="Normal 4 3 3 2 6 3" xfId="6402" xr:uid="{00000000-0005-0000-0000-000082140000}"/>
    <cellStyle name="Normal 4 3 3 2 6 3 2" xfId="23274" xr:uid="{1018C6D2-6801-4FEF-B3FC-81F66E404459}"/>
    <cellStyle name="Normal 4 3 3 2 6 3 3" xfId="14840" xr:uid="{13AD89EA-4629-4A5C-8D69-5203AC0C72B0}"/>
    <cellStyle name="Normal 4 3 3 2 6 4" xfId="19057" xr:uid="{EE3B4B29-27CC-4F71-8A07-1CEF3A7E0403}"/>
    <cellStyle name="Normal 4 3 3 2 6 5" xfId="10623" xr:uid="{42ECFB43-D0E0-4309-9E7F-7E3016C34B3F}"/>
    <cellStyle name="Normal 4 3 3 2 7" xfId="2531" xr:uid="{00000000-0005-0000-0000-000083140000}"/>
    <cellStyle name="Normal 4 3 3 2 7 2" xfId="6815" xr:uid="{00000000-0005-0000-0000-000084140000}"/>
    <cellStyle name="Normal 4 3 3 2 7 2 2" xfId="23687" xr:uid="{254E1A56-3357-4EC0-B440-23A49EEF58DC}"/>
    <cellStyle name="Normal 4 3 3 2 7 2 3" xfId="15253" xr:uid="{BBC00201-B3ED-4908-A03D-C40F03263900}"/>
    <cellStyle name="Normal 4 3 3 2 7 3" xfId="19470" xr:uid="{EEEAD60D-05B6-4049-BBDF-413E1B52AE8B}"/>
    <cellStyle name="Normal 4 3 3 2 7 4" xfId="11036" xr:uid="{3D16AA67-661D-4A55-BEF4-1A1DFB275FEF}"/>
    <cellStyle name="Normal 4 3 3 2 8" xfId="4750" xr:uid="{00000000-0005-0000-0000-000085140000}"/>
    <cellStyle name="Normal 4 3 3 2 8 2" xfId="21622" xr:uid="{685FA98C-0472-43DF-B5C1-055886A5376B}"/>
    <cellStyle name="Normal 4 3 3 2 8 3" xfId="13188" xr:uid="{35EEB21E-EAC9-434E-97EB-C38CD17286FA}"/>
    <cellStyle name="Normal 4 3 3 2 9" xfId="17405" xr:uid="{550E2E3D-771E-4D10-ADB4-8606ED22C6D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24182" xr:uid="{9792C3DB-5C38-446B-BC2F-E2CE0CFA9CD9}"/>
    <cellStyle name="Normal 4 3 3 3 2 2 2 3" xfId="15748" xr:uid="{44EAAD9A-46CD-4EB9-8FD2-9EA1ECDB34AC}"/>
    <cellStyle name="Normal 4 3 3 3 2 2 3" xfId="19965" xr:uid="{531E8C8C-DE7B-4D69-83B5-95715816F876}"/>
    <cellStyle name="Normal 4 3 3 3 2 2 4" xfId="11531" xr:uid="{1B2DEEE0-B0C5-44B7-A18D-FEDB5DB7F394}"/>
    <cellStyle name="Normal 4 3 3 3 2 3" xfId="5165" xr:uid="{00000000-0005-0000-0000-00008A140000}"/>
    <cellStyle name="Normal 4 3 3 3 2 3 2" xfId="22037" xr:uid="{4DFD0015-8ECB-419D-87C1-ADDA052F1917}"/>
    <cellStyle name="Normal 4 3 3 3 2 3 3" xfId="13603" xr:uid="{63D6DCE5-944D-4B97-AD60-3FE652EDDB85}"/>
    <cellStyle name="Normal 4 3 3 3 2 4" xfId="17820" xr:uid="{8FF82279-1E5E-4A87-A2CE-D68164C2172A}"/>
    <cellStyle name="Normal 4 3 3 3 2 5" xfId="9386" xr:uid="{5695634C-5873-4CD1-B21A-371459602A79}"/>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24595" xr:uid="{09D074FA-3865-45DA-85D3-B1BA4F346421}"/>
    <cellStyle name="Normal 4 3 3 3 3 2 2 3" xfId="16161" xr:uid="{45116A6E-71E5-4AC2-B705-B16E5212A8CF}"/>
    <cellStyle name="Normal 4 3 3 3 3 2 3" xfId="20378" xr:uid="{F92E5FC2-0F36-4180-875F-5BA6843880F0}"/>
    <cellStyle name="Normal 4 3 3 3 3 2 4" xfId="11944" xr:uid="{56D26FE8-F423-4DAA-9790-982C69ED8245}"/>
    <cellStyle name="Normal 4 3 3 3 3 3" xfId="5578" xr:uid="{00000000-0005-0000-0000-00008E140000}"/>
    <cellStyle name="Normal 4 3 3 3 3 3 2" xfId="22450" xr:uid="{CB4662C1-AEC2-49B1-9535-217224EBD00C}"/>
    <cellStyle name="Normal 4 3 3 3 3 3 3" xfId="14016" xr:uid="{BDA66584-9906-4D75-AD9F-C012AE574F2C}"/>
    <cellStyle name="Normal 4 3 3 3 3 4" xfId="18233" xr:uid="{A152662E-F6E2-418F-9B15-2FE34FDF7635}"/>
    <cellStyle name="Normal 4 3 3 3 3 5" xfId="9799" xr:uid="{3C0174B5-3AE0-4ECF-859A-6C42C7657B11}"/>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25008" xr:uid="{B2A6CF0C-B5F3-4480-A703-F0C97800751D}"/>
    <cellStyle name="Normal 4 3 3 3 4 2 2 3" xfId="16574" xr:uid="{CF3A2F50-AC81-45F2-95C9-F5FEFD94C688}"/>
    <cellStyle name="Normal 4 3 3 3 4 2 3" xfId="20791" xr:uid="{C16EEDAD-F85C-48DF-9DFD-CD8FD42CD625}"/>
    <cellStyle name="Normal 4 3 3 3 4 2 4" xfId="12357" xr:uid="{BCEA1C21-CFD5-4E99-BAAF-99E9834A95CD}"/>
    <cellStyle name="Normal 4 3 3 3 4 3" xfId="5991" xr:uid="{00000000-0005-0000-0000-000092140000}"/>
    <cellStyle name="Normal 4 3 3 3 4 3 2" xfId="22863" xr:uid="{402A9DD6-E208-42E8-AD50-E71C8EB69245}"/>
    <cellStyle name="Normal 4 3 3 3 4 3 3" xfId="14429" xr:uid="{C483C8E3-C60E-4078-A187-B061544F06BA}"/>
    <cellStyle name="Normal 4 3 3 3 4 4" xfId="18646" xr:uid="{E73188B4-A522-49B9-B38F-2BAF49D32C88}"/>
    <cellStyle name="Normal 4 3 3 3 4 5" xfId="10212" xr:uid="{2F1E4861-64A7-42EC-A78D-1CDF1B98A27D}"/>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25421" xr:uid="{816C5AAA-176F-4917-B8C7-E0215D0CD55C}"/>
    <cellStyle name="Normal 4 3 3 3 5 2 2 3" xfId="16987" xr:uid="{E7054A86-0FC2-4EAB-8C98-058D3516C2C3}"/>
    <cellStyle name="Normal 4 3 3 3 5 2 3" xfId="21204" xr:uid="{75BAB4B3-9972-4C87-A7F4-BFB4F7846269}"/>
    <cellStyle name="Normal 4 3 3 3 5 2 4" xfId="12770" xr:uid="{0374AB62-C0BD-4F4C-9F5C-665C133F3D8F}"/>
    <cellStyle name="Normal 4 3 3 3 5 3" xfId="6404" xr:uid="{00000000-0005-0000-0000-000096140000}"/>
    <cellStyle name="Normal 4 3 3 3 5 3 2" xfId="23276" xr:uid="{8BE0EB34-8636-428A-BA00-6E7497D888ED}"/>
    <cellStyle name="Normal 4 3 3 3 5 3 3" xfId="14842" xr:uid="{56528518-54E7-4CB1-9759-51FC3E5ECAC4}"/>
    <cellStyle name="Normal 4 3 3 3 5 4" xfId="19059" xr:uid="{E1DF6BFB-8DF7-4236-A57D-9AC1C1ED2DD5}"/>
    <cellStyle name="Normal 4 3 3 3 5 5" xfId="10625" xr:uid="{2FC74138-6B17-4F85-9406-67C87537709F}"/>
    <cellStyle name="Normal 4 3 3 3 6" xfId="2533" xr:uid="{00000000-0005-0000-0000-000097140000}"/>
    <cellStyle name="Normal 4 3 3 3 6 2" xfId="6817" xr:uid="{00000000-0005-0000-0000-000098140000}"/>
    <cellStyle name="Normal 4 3 3 3 6 2 2" xfId="23689" xr:uid="{6714E6F4-4DF8-4273-AB91-84753032EB65}"/>
    <cellStyle name="Normal 4 3 3 3 6 2 3" xfId="15255" xr:uid="{79CD5D88-735D-4521-A222-56FD8E83ACF5}"/>
    <cellStyle name="Normal 4 3 3 3 6 3" xfId="19472" xr:uid="{6D722DE1-AC75-4A01-9BBF-5833A095CBAD}"/>
    <cellStyle name="Normal 4 3 3 3 6 4" xfId="11038" xr:uid="{20053C63-26CD-41F3-9174-BE7B21898BA0}"/>
    <cellStyle name="Normal 4 3 3 3 7" xfId="4752" xr:uid="{00000000-0005-0000-0000-000099140000}"/>
    <cellStyle name="Normal 4 3 3 3 7 2" xfId="21624" xr:uid="{532EDA2A-EB7E-4F9A-899E-B59422A1CA8B}"/>
    <cellStyle name="Normal 4 3 3 3 7 3" xfId="13190" xr:uid="{D92DF597-007B-41AA-A49B-7F60A6B5A546}"/>
    <cellStyle name="Normal 4 3 3 3 8" xfId="17407" xr:uid="{EE7448E6-312E-4E52-ABCA-3A77A52E71AD}"/>
    <cellStyle name="Normal 4 3 3 3 9" xfId="8973" xr:uid="{5AED1FB4-EA76-4A94-BCB5-F5EA26AF66C3}"/>
    <cellStyle name="Normal 4 3 3 4" xfId="849" xr:uid="{00000000-0005-0000-0000-00009A140000}"/>
    <cellStyle name="Normal 4 3 3 4 2" xfId="3084" xr:uid="{00000000-0005-0000-0000-00009B140000}"/>
    <cellStyle name="Normal 4 3 3 4 2 2" xfId="7307" xr:uid="{00000000-0005-0000-0000-00009C140000}"/>
    <cellStyle name="Normal 4 3 3 4 2 2 2" xfId="24179" xr:uid="{607D6FAE-6BF1-42CD-AB3F-17EF0EFBA426}"/>
    <cellStyle name="Normal 4 3 3 4 2 2 3" xfId="15745" xr:uid="{B8DFB6CC-EC8D-47CA-B716-4A6B3A9329D8}"/>
    <cellStyle name="Normal 4 3 3 4 2 3" xfId="19962" xr:uid="{8464278D-5886-4D78-9BF3-AE7EBAE2FA3B}"/>
    <cellStyle name="Normal 4 3 3 4 2 4" xfId="11528" xr:uid="{E8D73952-9D55-414E-835D-0B903DA50B62}"/>
    <cellStyle name="Normal 4 3 3 4 3" xfId="5162" xr:uid="{00000000-0005-0000-0000-00009D140000}"/>
    <cellStyle name="Normal 4 3 3 4 3 2" xfId="22034" xr:uid="{94975C22-422E-4DE9-ADA3-B52EAEFDFE65}"/>
    <cellStyle name="Normal 4 3 3 4 3 3" xfId="13600" xr:uid="{F9F49BF1-E4B1-49F6-8491-CBC50C424EE6}"/>
    <cellStyle name="Normal 4 3 3 4 4" xfId="17817" xr:uid="{B4312F1B-D48F-4D21-A97B-A569740F3E37}"/>
    <cellStyle name="Normal 4 3 3 4 5" xfId="9383" xr:uid="{DF3947F1-E463-4451-8295-16C2105B4A22}"/>
    <cellStyle name="Normal 4 3 3 5" xfId="1267" xr:uid="{00000000-0005-0000-0000-00009E140000}"/>
    <cellStyle name="Normal 4 3 3 5 2" xfId="3497" xr:uid="{00000000-0005-0000-0000-00009F140000}"/>
    <cellStyle name="Normal 4 3 3 5 2 2" xfId="7720" xr:uid="{00000000-0005-0000-0000-0000A0140000}"/>
    <cellStyle name="Normal 4 3 3 5 2 2 2" xfId="24592" xr:uid="{BE8B2CA0-1A90-4CDC-AFC2-02A02776EDA8}"/>
    <cellStyle name="Normal 4 3 3 5 2 2 3" xfId="16158" xr:uid="{FACD96F3-8587-4486-A4F6-BD12DB74387D}"/>
    <cellStyle name="Normal 4 3 3 5 2 3" xfId="20375" xr:uid="{66B9AD42-6DAB-4EB7-B0CD-91E8ACB8B2B0}"/>
    <cellStyle name="Normal 4 3 3 5 2 4" xfId="11941" xr:uid="{E37571CA-7243-465F-9692-7BE4947E8CE0}"/>
    <cellStyle name="Normal 4 3 3 5 3" xfId="5575" xr:uid="{00000000-0005-0000-0000-0000A1140000}"/>
    <cellStyle name="Normal 4 3 3 5 3 2" xfId="22447" xr:uid="{60BC2378-1B4D-4C60-A3A9-38B34F529A25}"/>
    <cellStyle name="Normal 4 3 3 5 3 3" xfId="14013" xr:uid="{78B79774-2522-4D4B-BA48-C305FE165749}"/>
    <cellStyle name="Normal 4 3 3 5 4" xfId="18230" xr:uid="{F309832A-0FE9-44F7-9E88-BFB71A0782DD}"/>
    <cellStyle name="Normal 4 3 3 5 5" xfId="9796" xr:uid="{2E7EBF7D-2676-440B-BD1B-F78CD6E49E56}"/>
    <cellStyle name="Normal 4 3 3 6" xfId="1680" xr:uid="{00000000-0005-0000-0000-0000A2140000}"/>
    <cellStyle name="Normal 4 3 3 6 2" xfId="3910" xr:uid="{00000000-0005-0000-0000-0000A3140000}"/>
    <cellStyle name="Normal 4 3 3 6 2 2" xfId="8133" xr:uid="{00000000-0005-0000-0000-0000A4140000}"/>
    <cellStyle name="Normal 4 3 3 6 2 2 2" xfId="25005" xr:uid="{D53BC873-11A4-4DDF-B81F-FE65ABC80DFC}"/>
    <cellStyle name="Normal 4 3 3 6 2 2 3" xfId="16571" xr:uid="{9DC99741-00D6-46A6-898B-880411D20096}"/>
    <cellStyle name="Normal 4 3 3 6 2 3" xfId="20788" xr:uid="{310C2A5E-A727-41D6-9043-97615C960F3B}"/>
    <cellStyle name="Normal 4 3 3 6 2 4" xfId="12354" xr:uid="{2ADA2978-5C09-4F3F-85EA-919C7327709D}"/>
    <cellStyle name="Normal 4 3 3 6 3" xfId="5988" xr:uid="{00000000-0005-0000-0000-0000A5140000}"/>
    <cellStyle name="Normal 4 3 3 6 3 2" xfId="22860" xr:uid="{748E0371-CFA9-4F3A-97B6-AA157D23E5E5}"/>
    <cellStyle name="Normal 4 3 3 6 3 3" xfId="14426" xr:uid="{4A438981-60F4-4810-B8B7-D67E9BCBCF93}"/>
    <cellStyle name="Normal 4 3 3 6 4" xfId="18643" xr:uid="{7EFDC433-876C-4022-A638-67B7E1B0056B}"/>
    <cellStyle name="Normal 4 3 3 6 5" xfId="10209" xr:uid="{2BBE93C1-F6BE-4CC4-9F31-DEECE7E7FD3C}"/>
    <cellStyle name="Normal 4 3 3 7" xfId="2094" xr:uid="{00000000-0005-0000-0000-0000A6140000}"/>
    <cellStyle name="Normal 4 3 3 7 2" xfId="4323" xr:uid="{00000000-0005-0000-0000-0000A7140000}"/>
    <cellStyle name="Normal 4 3 3 7 2 2" xfId="8546" xr:uid="{00000000-0005-0000-0000-0000A8140000}"/>
    <cellStyle name="Normal 4 3 3 7 2 2 2" xfId="25418" xr:uid="{47E837F1-24E3-48EE-BEC6-4EF7EFD6108C}"/>
    <cellStyle name="Normal 4 3 3 7 2 2 3" xfId="16984" xr:uid="{FDEC1ED8-5119-450F-847F-FC0FBBCAC7F1}"/>
    <cellStyle name="Normal 4 3 3 7 2 3" xfId="21201" xr:uid="{532BBDAB-9D74-4503-B617-22AB482DFE33}"/>
    <cellStyle name="Normal 4 3 3 7 2 4" xfId="12767" xr:uid="{06D08A5F-659F-40B5-A441-29D90EF299D3}"/>
    <cellStyle name="Normal 4 3 3 7 3" xfId="6401" xr:uid="{00000000-0005-0000-0000-0000A9140000}"/>
    <cellStyle name="Normal 4 3 3 7 3 2" xfId="23273" xr:uid="{4E910957-2C1E-43B2-9EF3-EC0B1FDCEE26}"/>
    <cellStyle name="Normal 4 3 3 7 3 3" xfId="14839" xr:uid="{202A7DF5-415B-4235-9B74-9E5FC405A6EE}"/>
    <cellStyle name="Normal 4 3 3 7 4" xfId="19056" xr:uid="{BF74CF23-011C-41B8-880A-61BF3213550E}"/>
    <cellStyle name="Normal 4 3 3 7 5" xfId="10622" xr:uid="{D46B56F4-F10C-476E-9C79-F55C32AF69E3}"/>
    <cellStyle name="Normal 4 3 3 8" xfId="2530" xr:uid="{00000000-0005-0000-0000-0000AA140000}"/>
    <cellStyle name="Normal 4 3 3 8 2" xfId="6814" xr:uid="{00000000-0005-0000-0000-0000AB140000}"/>
    <cellStyle name="Normal 4 3 3 8 2 2" xfId="23686" xr:uid="{C56542FD-93DA-4A9D-BEA0-BB387E2D5917}"/>
    <cellStyle name="Normal 4 3 3 8 2 3" xfId="15252" xr:uid="{98059144-2132-4FB7-98C7-1281A89FF0F2}"/>
    <cellStyle name="Normal 4 3 3 8 3" xfId="19469" xr:uid="{39248295-A7A5-40A8-A199-07C583EED925}"/>
    <cellStyle name="Normal 4 3 3 8 4" xfId="11035" xr:uid="{36C6B720-64E3-47DF-9F89-A4D4DBAB3C89}"/>
    <cellStyle name="Normal 4 3 3 9" xfId="4749" xr:uid="{00000000-0005-0000-0000-0000AC140000}"/>
    <cellStyle name="Normal 4 3 3 9 2" xfId="21621" xr:uid="{6DF714B9-E20A-412E-92A0-711C2E8E48C2}"/>
    <cellStyle name="Normal 4 3 3 9 3" xfId="13187" xr:uid="{D74BF1C7-EFDF-4270-AE9F-D866183DBFCC}"/>
    <cellStyle name="Normal 4 3 4" xfId="842" xr:uid="{00000000-0005-0000-0000-0000AD140000}"/>
    <cellStyle name="Normal 4 3 4 2" xfId="3079" xr:uid="{00000000-0005-0000-0000-0000AE140000}"/>
    <cellStyle name="Normal 4 3 4 2 2" xfId="7302" xr:uid="{00000000-0005-0000-0000-0000AF140000}"/>
    <cellStyle name="Normal 4 3 4 2 2 2" xfId="24174" xr:uid="{0EF6C079-3FAC-4B5B-987B-E97C7A908D87}"/>
    <cellStyle name="Normal 4 3 4 2 2 3" xfId="15740" xr:uid="{2FE71649-A857-4ADF-849D-535206B08127}"/>
    <cellStyle name="Normal 4 3 4 2 3" xfId="19957" xr:uid="{BFAAE602-7071-466B-BF62-E43473A435B2}"/>
    <cellStyle name="Normal 4 3 4 2 4" xfId="11523" xr:uid="{EF2ECBF9-EFAF-445D-AD9F-7D3394FE5C75}"/>
    <cellStyle name="Normal 4 3 4 3" xfId="5157" xr:uid="{00000000-0005-0000-0000-0000B0140000}"/>
    <cellStyle name="Normal 4 3 4 3 2" xfId="22029" xr:uid="{B0BB4427-BE49-4119-8A00-BE6DD9FF7283}"/>
    <cellStyle name="Normal 4 3 4 3 3" xfId="13595" xr:uid="{D1865DF6-BE51-4562-BC19-173ADD3B5FFF}"/>
    <cellStyle name="Normal 4 3 4 4" xfId="17812" xr:uid="{4389F732-18C5-4D7B-8B62-02B6C8A6F896}"/>
    <cellStyle name="Normal 4 3 4 5" xfId="9378" xr:uid="{186786CC-D462-492D-B6FA-E79742F302A8}"/>
    <cellStyle name="Normal 4 3 5" xfId="1262" xr:uid="{00000000-0005-0000-0000-0000B1140000}"/>
    <cellStyle name="Normal 4 3 5 2" xfId="3492" xr:uid="{00000000-0005-0000-0000-0000B2140000}"/>
    <cellStyle name="Normal 4 3 5 2 2" xfId="7715" xr:uid="{00000000-0005-0000-0000-0000B3140000}"/>
    <cellStyle name="Normal 4 3 5 2 2 2" xfId="24587" xr:uid="{8BC9A348-B401-477A-B78B-F7420EE75562}"/>
    <cellStyle name="Normal 4 3 5 2 2 3" xfId="16153" xr:uid="{DD9DC37B-F96C-4989-9F2C-4B159AC230F0}"/>
    <cellStyle name="Normal 4 3 5 2 3" xfId="20370" xr:uid="{E8C176BC-7E20-404E-989A-1DDCDABC90EA}"/>
    <cellStyle name="Normal 4 3 5 2 4" xfId="11936" xr:uid="{479C9C7A-4554-4ED0-A512-C97982243DC6}"/>
    <cellStyle name="Normal 4 3 5 3" xfId="5570" xr:uid="{00000000-0005-0000-0000-0000B4140000}"/>
    <cellStyle name="Normal 4 3 5 3 2" xfId="22442" xr:uid="{1F03A5F6-F9E3-431E-B56F-E1651949C5B4}"/>
    <cellStyle name="Normal 4 3 5 3 3" xfId="14008" xr:uid="{8473DE69-A0DF-4935-9E7C-BA6A6C4255E3}"/>
    <cellStyle name="Normal 4 3 5 4" xfId="18225" xr:uid="{C1B05510-D8F9-4AD0-A814-32033E97526C}"/>
    <cellStyle name="Normal 4 3 5 5" xfId="9791" xr:uid="{D97F4152-A908-44D1-823B-D581F3356E1C}"/>
    <cellStyle name="Normal 4 3 6" xfId="1675" xr:uid="{00000000-0005-0000-0000-0000B5140000}"/>
    <cellStyle name="Normal 4 3 6 2" xfId="3905" xr:uid="{00000000-0005-0000-0000-0000B6140000}"/>
    <cellStyle name="Normal 4 3 6 2 2" xfId="8128" xr:uid="{00000000-0005-0000-0000-0000B7140000}"/>
    <cellStyle name="Normal 4 3 6 2 2 2" xfId="25000" xr:uid="{CD52442F-6FF2-44EB-80AA-014809F9CFF4}"/>
    <cellStyle name="Normal 4 3 6 2 2 3" xfId="16566" xr:uid="{5F208EBF-BE90-4970-ADF6-FD5A5DED93F1}"/>
    <cellStyle name="Normal 4 3 6 2 3" xfId="20783" xr:uid="{2E23CEFA-B051-4F3D-9FCC-6EB78039FB0C}"/>
    <cellStyle name="Normal 4 3 6 2 4" xfId="12349" xr:uid="{7885A82F-DAFC-4115-B2A2-D239A88B5EBF}"/>
    <cellStyle name="Normal 4 3 6 3" xfId="5983" xr:uid="{00000000-0005-0000-0000-0000B8140000}"/>
    <cellStyle name="Normal 4 3 6 3 2" xfId="22855" xr:uid="{BD8EB2A2-5239-4BB8-AEB4-F3CA0D5D284B}"/>
    <cellStyle name="Normal 4 3 6 3 3" xfId="14421" xr:uid="{169CCBEE-53CD-44B0-9345-9DD2908A9284}"/>
    <cellStyle name="Normal 4 3 6 4" xfId="18638" xr:uid="{7B835A60-2696-4A95-9743-54D5AD359116}"/>
    <cellStyle name="Normal 4 3 6 5" xfId="10204" xr:uid="{3825E09D-8D23-4A6A-9112-28FC07F65B60}"/>
    <cellStyle name="Normal 4 3 7" xfId="2089" xr:uid="{00000000-0005-0000-0000-0000B9140000}"/>
    <cellStyle name="Normal 4 3 7 2" xfId="4318" xr:uid="{00000000-0005-0000-0000-0000BA140000}"/>
    <cellStyle name="Normal 4 3 7 2 2" xfId="8541" xr:uid="{00000000-0005-0000-0000-0000BB140000}"/>
    <cellStyle name="Normal 4 3 7 2 2 2" xfId="25413" xr:uid="{7EED2530-8EDF-4288-9DB2-F405338948AC}"/>
    <cellStyle name="Normal 4 3 7 2 2 3" xfId="16979" xr:uid="{00D23683-4B09-45EE-A552-D426718B288A}"/>
    <cellStyle name="Normal 4 3 7 2 3" xfId="21196" xr:uid="{B1CD900B-D0D8-4E32-BC63-5132E20A83BB}"/>
    <cellStyle name="Normal 4 3 7 2 4" xfId="12762" xr:uid="{2947CF09-0AA3-4DC4-A242-67F87A52EC6B}"/>
    <cellStyle name="Normal 4 3 7 3" xfId="6396" xr:uid="{00000000-0005-0000-0000-0000BC140000}"/>
    <cellStyle name="Normal 4 3 7 3 2" xfId="23268" xr:uid="{7BE866D8-F22E-461D-9363-DCCD93CCCBC5}"/>
    <cellStyle name="Normal 4 3 7 3 3" xfId="14834" xr:uid="{CD8B0069-BFBC-4595-96EF-974793F04502}"/>
    <cellStyle name="Normal 4 3 7 4" xfId="19051" xr:uid="{547B3545-2D2A-49BB-84A3-3980C95E2230}"/>
    <cellStyle name="Normal 4 3 7 5" xfId="10617" xr:uid="{B8B61B6F-661B-48B7-BAC4-263419C96BC2}"/>
    <cellStyle name="Normal 4 3 8" xfId="2525" xr:uid="{00000000-0005-0000-0000-0000BD140000}"/>
    <cellStyle name="Normal 4 3 8 2" xfId="6809" xr:uid="{00000000-0005-0000-0000-0000BE140000}"/>
    <cellStyle name="Normal 4 3 8 2 2" xfId="23681" xr:uid="{69519353-B8E1-4AB1-A05A-75550EC38E5A}"/>
    <cellStyle name="Normal 4 3 8 2 3" xfId="15247" xr:uid="{E2B8687D-9489-459F-8B8E-36B5A23CB793}"/>
    <cellStyle name="Normal 4 3 8 3" xfId="19464" xr:uid="{553E80B4-2B75-4D44-848A-908AEB7BC842}"/>
    <cellStyle name="Normal 4 3 8 4" xfId="11030" xr:uid="{226D3694-A58C-4261-86CE-1187D78B3414}"/>
    <cellStyle name="Normal 4 3 9" xfId="4744" xr:uid="{00000000-0005-0000-0000-0000BF140000}"/>
    <cellStyle name="Normal 4 3 9 2" xfId="21616" xr:uid="{7FB07440-0C68-497C-AC69-52149547F381}"/>
    <cellStyle name="Normal 4 3 9 3" xfId="13182" xr:uid="{230CB6FC-4226-422F-BC25-A4191EC860D7}"/>
    <cellStyle name="Normal 4 4" xfId="378" xr:uid="{00000000-0005-0000-0000-0000C0140000}"/>
    <cellStyle name="Normal 4 4 10" xfId="2534" xr:uid="{00000000-0005-0000-0000-0000C1140000}"/>
    <cellStyle name="Normal 4 4 10 2" xfId="6818" xr:uid="{00000000-0005-0000-0000-0000C2140000}"/>
    <cellStyle name="Normal 4 4 10 2 2" xfId="23690" xr:uid="{78BED743-6A1A-445A-BDC2-F2D31742AC43}"/>
    <cellStyle name="Normal 4 4 10 2 3" xfId="15256" xr:uid="{C3E19C3B-1596-4059-93B9-9356AD485AAE}"/>
    <cellStyle name="Normal 4 4 10 3" xfId="19473" xr:uid="{179609BA-F0A9-41F4-BBBF-9F83832316B0}"/>
    <cellStyle name="Normal 4 4 10 4" xfId="11039" xr:uid="{B45FA228-0B53-4B85-A6A3-75A69F4DABBA}"/>
    <cellStyle name="Normal 4 4 11" xfId="4753" xr:uid="{00000000-0005-0000-0000-0000C3140000}"/>
    <cellStyle name="Normal 4 4 11 2" xfId="21625" xr:uid="{0BBF5868-DAB5-42DF-BADF-3CB387B55D53}"/>
    <cellStyle name="Normal 4 4 11 3" xfId="13191" xr:uid="{2440F9DA-339B-47DF-9DA2-CE81F7E65AB2}"/>
    <cellStyle name="Normal 4 4 12" xfId="17408" xr:uid="{CDF8DF4E-0DB9-4ED3-B430-0DC75F40A5D2}"/>
    <cellStyle name="Normal 4 4 13" xfId="8974" xr:uid="{FB81316A-D3C2-430B-91C6-51CE3DE7D28E}"/>
    <cellStyle name="Normal 4 4 2" xfId="379" xr:uid="{00000000-0005-0000-0000-0000C4140000}"/>
    <cellStyle name="Normal 4 4 2 10" xfId="4754" xr:uid="{00000000-0005-0000-0000-0000C5140000}"/>
    <cellStyle name="Normal 4 4 2 10 2" xfId="21626" xr:uid="{56250B51-8348-4774-9D52-771B319D7317}"/>
    <cellStyle name="Normal 4 4 2 10 3" xfId="13192" xr:uid="{007854FD-4ED8-46C3-9582-704376C67D95}"/>
    <cellStyle name="Normal 4 4 2 11" xfId="17409" xr:uid="{69263648-2B5A-4321-80DA-20C30AA74473}"/>
    <cellStyle name="Normal 4 4 2 12" xfId="8975" xr:uid="{AF64D64E-F910-4742-9070-18D2F7D8AA18}"/>
    <cellStyle name="Normal 4 4 2 2" xfId="380" xr:uid="{00000000-0005-0000-0000-0000C6140000}"/>
    <cellStyle name="Normal 4 4 2 2 10" xfId="17410" xr:uid="{3FD48E7A-04D9-4154-B1FF-7FD37000989D}"/>
    <cellStyle name="Normal 4 4 2 2 11" xfId="8976" xr:uid="{C08BF36B-362A-486F-9055-BF82B3D14014}"/>
    <cellStyle name="Normal 4 4 2 2 2" xfId="381" xr:uid="{00000000-0005-0000-0000-0000C7140000}"/>
    <cellStyle name="Normal 4 4 2 2 2 10" xfId="8977" xr:uid="{02C15FF6-D2D6-40FF-ABF6-659C4885F726}"/>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24187" xr:uid="{AC986CCC-DCB6-4A97-9020-5577CA821B19}"/>
    <cellStyle name="Normal 4 4 2 2 2 2 2 2 2 3" xfId="15753" xr:uid="{694CB247-CFAB-4966-880F-AA6346A4948D}"/>
    <cellStyle name="Normal 4 4 2 2 2 2 2 2 3" xfId="19970" xr:uid="{8BBD12C7-D5CC-4FDA-A616-F04FC0B05F35}"/>
    <cellStyle name="Normal 4 4 2 2 2 2 2 2 4" xfId="11536" xr:uid="{C8AE21D1-BB57-4277-B173-FF56B8FC4743}"/>
    <cellStyle name="Normal 4 4 2 2 2 2 2 3" xfId="5170" xr:uid="{00000000-0005-0000-0000-0000CC140000}"/>
    <cellStyle name="Normal 4 4 2 2 2 2 2 3 2" xfId="22042" xr:uid="{3A9DBC36-ECBD-4AB9-90ED-4381CA09360C}"/>
    <cellStyle name="Normal 4 4 2 2 2 2 2 3 3" xfId="13608" xr:uid="{EE3A3D49-0622-4216-9C1F-93094705CFBA}"/>
    <cellStyle name="Normal 4 4 2 2 2 2 2 4" xfId="17825" xr:uid="{980BCCE8-79E4-4F23-AC85-968526C7974D}"/>
    <cellStyle name="Normal 4 4 2 2 2 2 2 5" xfId="9391" xr:uid="{21CB2B6B-1E80-4B4F-93EA-5D2AE1DE4D2F}"/>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24600" xr:uid="{9DD180FD-9FAF-4846-B987-9C67C4A2E166}"/>
    <cellStyle name="Normal 4 4 2 2 2 2 3 2 2 3" xfId="16166" xr:uid="{26BD6980-AB8C-4256-9086-D0D7CD6C21B6}"/>
    <cellStyle name="Normal 4 4 2 2 2 2 3 2 3" xfId="20383" xr:uid="{CD3C52AD-A952-4D85-BB76-A4DBFC9A5A82}"/>
    <cellStyle name="Normal 4 4 2 2 2 2 3 2 4" xfId="11949" xr:uid="{6F9F0BC8-ED62-4FCB-A4A9-DCFC794D0FA3}"/>
    <cellStyle name="Normal 4 4 2 2 2 2 3 3" xfId="5583" xr:uid="{00000000-0005-0000-0000-0000D0140000}"/>
    <cellStyle name="Normal 4 4 2 2 2 2 3 3 2" xfId="22455" xr:uid="{D628C4FC-C91A-410A-B512-456E3329BBFC}"/>
    <cellStyle name="Normal 4 4 2 2 2 2 3 3 3" xfId="14021" xr:uid="{C777A08B-D6AA-4791-9B5E-8A51225ED649}"/>
    <cellStyle name="Normal 4 4 2 2 2 2 3 4" xfId="18238" xr:uid="{FAC857DD-9169-4129-8127-5A297AD6B02D}"/>
    <cellStyle name="Normal 4 4 2 2 2 2 3 5" xfId="9804" xr:uid="{40FBF6CF-2830-4F8E-AB49-0CD44F1365C8}"/>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25013" xr:uid="{6FF0B2D2-0066-4BF0-9DB6-AD2EB96B25D2}"/>
    <cellStyle name="Normal 4 4 2 2 2 2 4 2 2 3" xfId="16579" xr:uid="{4D76D04B-60AA-40D6-87F4-F4E08CA2A74D}"/>
    <cellStyle name="Normal 4 4 2 2 2 2 4 2 3" xfId="20796" xr:uid="{0F56C601-238E-456E-B900-25256BCAF64E}"/>
    <cellStyle name="Normal 4 4 2 2 2 2 4 2 4" xfId="12362" xr:uid="{8ABBA603-D3FF-4E26-B306-2AD0222F12C7}"/>
    <cellStyle name="Normal 4 4 2 2 2 2 4 3" xfId="5996" xr:uid="{00000000-0005-0000-0000-0000D4140000}"/>
    <cellStyle name="Normal 4 4 2 2 2 2 4 3 2" xfId="22868" xr:uid="{A9F5C1BC-E9E0-443F-83F0-A13F766CA8DA}"/>
    <cellStyle name="Normal 4 4 2 2 2 2 4 3 3" xfId="14434" xr:uid="{8B1DFA0E-5232-4110-9FC5-8A2F4D74488F}"/>
    <cellStyle name="Normal 4 4 2 2 2 2 4 4" xfId="18651" xr:uid="{DC5C02AB-9E41-4A51-AA23-3FBBD476E6E2}"/>
    <cellStyle name="Normal 4 4 2 2 2 2 4 5" xfId="10217" xr:uid="{4E6A4132-E3D6-42A7-B1A3-15D86770A4DC}"/>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25426" xr:uid="{15D33FFE-11F4-4BE8-8175-A0EEBBE61126}"/>
    <cellStyle name="Normal 4 4 2 2 2 2 5 2 2 3" xfId="16992" xr:uid="{C485DCAB-2F2D-4DD1-999F-13C28F19E952}"/>
    <cellStyle name="Normal 4 4 2 2 2 2 5 2 3" xfId="21209" xr:uid="{6305E254-F0B8-44B3-9F7D-E859A5FDB1DA}"/>
    <cellStyle name="Normal 4 4 2 2 2 2 5 2 4" xfId="12775" xr:uid="{BFBAAFC5-0A94-48E6-8052-D5ED83BAAE79}"/>
    <cellStyle name="Normal 4 4 2 2 2 2 5 3" xfId="6409" xr:uid="{00000000-0005-0000-0000-0000D8140000}"/>
    <cellStyle name="Normal 4 4 2 2 2 2 5 3 2" xfId="23281" xr:uid="{97D3D2C4-35AE-4DF4-808F-CC4FE772BC94}"/>
    <cellStyle name="Normal 4 4 2 2 2 2 5 3 3" xfId="14847" xr:uid="{37F385CC-5C5B-4670-A1FC-32A605E4221A}"/>
    <cellStyle name="Normal 4 4 2 2 2 2 5 4" xfId="19064" xr:uid="{FB5E8765-0D5F-4E33-8A83-EF7F403AD29B}"/>
    <cellStyle name="Normal 4 4 2 2 2 2 5 5" xfId="10630" xr:uid="{3876CD14-A402-4543-83E4-E52437E2170D}"/>
    <cellStyle name="Normal 4 4 2 2 2 2 6" xfId="2538" xr:uid="{00000000-0005-0000-0000-0000D9140000}"/>
    <cellStyle name="Normal 4 4 2 2 2 2 6 2" xfId="6822" xr:uid="{00000000-0005-0000-0000-0000DA140000}"/>
    <cellStyle name="Normal 4 4 2 2 2 2 6 2 2" xfId="23694" xr:uid="{257B3D5D-2603-4E0B-B55B-1E404ACF4B7C}"/>
    <cellStyle name="Normal 4 4 2 2 2 2 6 2 3" xfId="15260" xr:uid="{831E06DA-591F-46D0-9ED6-5A7D11ED548E}"/>
    <cellStyle name="Normal 4 4 2 2 2 2 6 3" xfId="19477" xr:uid="{24927E6F-0A74-4E5F-B1ED-491AA57CFC0E}"/>
    <cellStyle name="Normal 4 4 2 2 2 2 6 4" xfId="11043" xr:uid="{5ED67194-DD1C-4137-BBFF-31B9B36B745C}"/>
    <cellStyle name="Normal 4 4 2 2 2 2 7" xfId="4757" xr:uid="{00000000-0005-0000-0000-0000DB140000}"/>
    <cellStyle name="Normal 4 4 2 2 2 2 7 2" xfId="21629" xr:uid="{E38D7FBB-FB24-4CAA-B454-81E66A81DB50}"/>
    <cellStyle name="Normal 4 4 2 2 2 2 7 3" xfId="13195" xr:uid="{70184190-80CE-4717-91E6-DF4D65EBA9CA}"/>
    <cellStyle name="Normal 4 4 2 2 2 2 8" xfId="17412" xr:uid="{AC9E7FE9-2A64-42F5-871B-5140D9F4CC61}"/>
    <cellStyle name="Normal 4 4 2 2 2 2 9" xfId="8978" xr:uid="{6CF8EB07-A0B6-4EFF-997F-8CC07C4C1315}"/>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24186" xr:uid="{37DC2686-6263-4F63-94DD-4E23AE5F01C5}"/>
    <cellStyle name="Normal 4 4 2 2 2 3 2 2 3" xfId="15752" xr:uid="{3E4403F1-A99C-46E3-9C8E-D386626291B6}"/>
    <cellStyle name="Normal 4 4 2 2 2 3 2 3" xfId="19969" xr:uid="{EF35C908-F46F-4102-B9CF-9E72510174A5}"/>
    <cellStyle name="Normal 4 4 2 2 2 3 2 4" xfId="11535" xr:uid="{8957939B-42BE-444D-AF7A-F3A4B8FC25AE}"/>
    <cellStyle name="Normal 4 4 2 2 2 3 3" xfId="5169" xr:uid="{00000000-0005-0000-0000-0000DF140000}"/>
    <cellStyle name="Normal 4 4 2 2 2 3 3 2" xfId="22041" xr:uid="{8AE536FC-569A-4275-BC09-058F2049276D}"/>
    <cellStyle name="Normal 4 4 2 2 2 3 3 3" xfId="13607" xr:uid="{9D7F0C73-16F6-4D2F-AE70-B2BBA512219C}"/>
    <cellStyle name="Normal 4 4 2 2 2 3 4" xfId="17824" xr:uid="{9BA1BC0B-B19E-49B8-9F43-828073667739}"/>
    <cellStyle name="Normal 4 4 2 2 2 3 5" xfId="9390" xr:uid="{84F0728E-69BE-4B8B-8B81-20FF962FEFB1}"/>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24599" xr:uid="{4D0EC400-D32C-4ADE-9EF7-7532C28F32D5}"/>
    <cellStyle name="Normal 4 4 2 2 2 4 2 2 3" xfId="16165" xr:uid="{6B7C747E-BB32-4F29-B82D-CC98F20711F6}"/>
    <cellStyle name="Normal 4 4 2 2 2 4 2 3" xfId="20382" xr:uid="{96FE3268-5ECB-4D83-B811-9EEDFD66F46B}"/>
    <cellStyle name="Normal 4 4 2 2 2 4 2 4" xfId="11948" xr:uid="{6E7E8A1E-F6AB-4082-B255-E9127F518248}"/>
    <cellStyle name="Normal 4 4 2 2 2 4 3" xfId="5582" xr:uid="{00000000-0005-0000-0000-0000E3140000}"/>
    <cellStyle name="Normal 4 4 2 2 2 4 3 2" xfId="22454" xr:uid="{64A2DE28-2480-4132-AE2C-BAC09E305653}"/>
    <cellStyle name="Normal 4 4 2 2 2 4 3 3" xfId="14020" xr:uid="{1D8528A6-422A-4C78-911C-180D45523B19}"/>
    <cellStyle name="Normal 4 4 2 2 2 4 4" xfId="18237" xr:uid="{9C531E11-CFF8-49F5-8C29-5910B0CCF6F4}"/>
    <cellStyle name="Normal 4 4 2 2 2 4 5" xfId="9803" xr:uid="{CDCE5264-86FB-48E3-B308-85CD440461D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25012" xr:uid="{E8B8F8BE-1FF1-4A07-B32C-6FB986487F5B}"/>
    <cellStyle name="Normal 4 4 2 2 2 5 2 2 3" xfId="16578" xr:uid="{855600AD-A0EE-410E-B263-571EB6174452}"/>
    <cellStyle name="Normal 4 4 2 2 2 5 2 3" xfId="20795" xr:uid="{9EA05F15-5C49-4F1D-8882-E4235F2A8D02}"/>
    <cellStyle name="Normal 4 4 2 2 2 5 2 4" xfId="12361" xr:uid="{A00BB7A6-87A0-4DD1-BBDD-AF163DECCA4E}"/>
    <cellStyle name="Normal 4 4 2 2 2 5 3" xfId="5995" xr:uid="{00000000-0005-0000-0000-0000E7140000}"/>
    <cellStyle name="Normal 4 4 2 2 2 5 3 2" xfId="22867" xr:uid="{993D4394-E8AF-4C29-8D44-B90AD8A424BF}"/>
    <cellStyle name="Normal 4 4 2 2 2 5 3 3" xfId="14433" xr:uid="{E49F1EF2-2398-49E8-8447-1C01260F9F43}"/>
    <cellStyle name="Normal 4 4 2 2 2 5 4" xfId="18650" xr:uid="{D4C9A130-AB0D-479F-8F90-897F624C3276}"/>
    <cellStyle name="Normal 4 4 2 2 2 5 5" xfId="10216" xr:uid="{C50EA4C1-4A13-4F0F-99B3-E9A5E6EB016E}"/>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25425" xr:uid="{6BCC21E4-30D9-43C0-806F-784D631882A7}"/>
    <cellStyle name="Normal 4 4 2 2 2 6 2 2 3" xfId="16991" xr:uid="{44A3F33F-CC7D-4DAA-8432-1C34352D885A}"/>
    <cellStyle name="Normal 4 4 2 2 2 6 2 3" xfId="21208" xr:uid="{E9B68739-5752-4FA8-B3D4-A9334BD6ED92}"/>
    <cellStyle name="Normal 4 4 2 2 2 6 2 4" xfId="12774" xr:uid="{E0C8B356-1CAD-4FCE-B74B-A7D9B270D6C4}"/>
    <cellStyle name="Normal 4 4 2 2 2 6 3" xfId="6408" xr:uid="{00000000-0005-0000-0000-0000EB140000}"/>
    <cellStyle name="Normal 4 4 2 2 2 6 3 2" xfId="23280" xr:uid="{F68A16A3-B508-4621-AB37-E09B0967FDC4}"/>
    <cellStyle name="Normal 4 4 2 2 2 6 3 3" xfId="14846" xr:uid="{9D375F8F-AD2F-4B5D-BB04-29430DAFE147}"/>
    <cellStyle name="Normal 4 4 2 2 2 6 4" xfId="19063" xr:uid="{A96569DC-7E16-47A2-9247-E0EBAA3173FF}"/>
    <cellStyle name="Normal 4 4 2 2 2 6 5" xfId="10629" xr:uid="{11A2C810-7439-4469-AD2D-0BCA831913BC}"/>
    <cellStyle name="Normal 4 4 2 2 2 7" xfId="2537" xr:uid="{00000000-0005-0000-0000-0000EC140000}"/>
    <cellStyle name="Normal 4 4 2 2 2 7 2" xfId="6821" xr:uid="{00000000-0005-0000-0000-0000ED140000}"/>
    <cellStyle name="Normal 4 4 2 2 2 7 2 2" xfId="23693" xr:uid="{77A1E1E5-DA41-4C88-8406-6E1B7D9DF607}"/>
    <cellStyle name="Normal 4 4 2 2 2 7 2 3" xfId="15259" xr:uid="{8D9A4530-F065-4851-A01D-67E95D6B4B52}"/>
    <cellStyle name="Normal 4 4 2 2 2 7 3" xfId="19476" xr:uid="{0D0AC1BB-1958-449D-8F57-8B3463F6798B}"/>
    <cellStyle name="Normal 4 4 2 2 2 7 4" xfId="11042" xr:uid="{FAB2A29F-92DE-4B04-B7B4-56C7B6DD90B5}"/>
    <cellStyle name="Normal 4 4 2 2 2 8" xfId="4756" xr:uid="{00000000-0005-0000-0000-0000EE140000}"/>
    <cellStyle name="Normal 4 4 2 2 2 8 2" xfId="21628" xr:uid="{12A160D1-7ED6-46DC-B8FF-62460BB321DA}"/>
    <cellStyle name="Normal 4 4 2 2 2 8 3" xfId="13194" xr:uid="{3E6BD1A2-CA8E-4A27-837A-63E162D9A38F}"/>
    <cellStyle name="Normal 4 4 2 2 2 9" xfId="17411" xr:uid="{B8F5F33F-30DE-4D92-82DA-FEEFB6038FD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24188" xr:uid="{A55B682A-04AD-483E-BE59-F9E981592AD1}"/>
    <cellStyle name="Normal 4 4 2 2 3 2 2 2 3" xfId="15754" xr:uid="{3AB18399-7D7A-4CC1-AEE0-02CE8B2A87F6}"/>
    <cellStyle name="Normal 4 4 2 2 3 2 2 3" xfId="19971" xr:uid="{4B4BF53A-D9E1-48E0-9F5B-C7645CC9CEA4}"/>
    <cellStyle name="Normal 4 4 2 2 3 2 2 4" xfId="11537" xr:uid="{38CC4659-60B7-47A7-AFBF-72EEBBED839A}"/>
    <cellStyle name="Normal 4 4 2 2 3 2 3" xfId="5171" xr:uid="{00000000-0005-0000-0000-0000F3140000}"/>
    <cellStyle name="Normal 4 4 2 2 3 2 3 2" xfId="22043" xr:uid="{A066E6AC-F259-4C35-A27B-AC15CB57DB27}"/>
    <cellStyle name="Normal 4 4 2 2 3 2 3 3" xfId="13609" xr:uid="{6C340989-08CE-47C2-BBAC-7BFE197B3D23}"/>
    <cellStyle name="Normal 4 4 2 2 3 2 4" xfId="17826" xr:uid="{1E355727-5723-4563-BCD8-2C67A8533866}"/>
    <cellStyle name="Normal 4 4 2 2 3 2 5" xfId="9392" xr:uid="{BD587411-A961-44F7-9F29-34D8C0AA23A8}"/>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24601" xr:uid="{55D287BC-818B-46EE-A40D-A5625505AE53}"/>
    <cellStyle name="Normal 4 4 2 2 3 3 2 2 3" xfId="16167" xr:uid="{6606A119-A659-460A-AE49-0B241224DB0F}"/>
    <cellStyle name="Normal 4 4 2 2 3 3 2 3" xfId="20384" xr:uid="{628D2696-D862-4DF7-AC59-91BF8E361E85}"/>
    <cellStyle name="Normal 4 4 2 2 3 3 2 4" xfId="11950" xr:uid="{4CF15725-2001-4790-B022-81546476ED9E}"/>
    <cellStyle name="Normal 4 4 2 2 3 3 3" xfId="5584" xr:uid="{00000000-0005-0000-0000-0000F7140000}"/>
    <cellStyle name="Normal 4 4 2 2 3 3 3 2" xfId="22456" xr:uid="{C60F0B11-5CCB-4362-A386-B03E426C4D86}"/>
    <cellStyle name="Normal 4 4 2 2 3 3 3 3" xfId="14022" xr:uid="{D962E4F3-B0FE-4AC5-BEBA-A3C65D3E9273}"/>
    <cellStyle name="Normal 4 4 2 2 3 3 4" xfId="18239" xr:uid="{E75E842A-4B7B-468A-9A90-6B6178BADA0F}"/>
    <cellStyle name="Normal 4 4 2 2 3 3 5" xfId="9805" xr:uid="{D19C7D99-D53E-46DB-957F-1C57C7700C73}"/>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25014" xr:uid="{A14EFCB8-1FF7-49F0-9294-BDBFC30E009D}"/>
    <cellStyle name="Normal 4 4 2 2 3 4 2 2 3" xfId="16580" xr:uid="{F12D7F10-7E71-47E2-83C1-8D8CBDFC6F04}"/>
    <cellStyle name="Normal 4 4 2 2 3 4 2 3" xfId="20797" xr:uid="{04C42A6E-E27B-4AF7-B0F7-A1B0F9B5D4F4}"/>
    <cellStyle name="Normal 4 4 2 2 3 4 2 4" xfId="12363" xr:uid="{E977051A-3E61-4332-97F1-82419F1DAD0D}"/>
    <cellStyle name="Normal 4 4 2 2 3 4 3" xfId="5997" xr:uid="{00000000-0005-0000-0000-0000FB140000}"/>
    <cellStyle name="Normal 4 4 2 2 3 4 3 2" xfId="22869" xr:uid="{84A9BE28-F33E-4780-A428-25DE33A49331}"/>
    <cellStyle name="Normal 4 4 2 2 3 4 3 3" xfId="14435" xr:uid="{7428F3C6-5B40-4E99-AD2A-50851E48C074}"/>
    <cellStyle name="Normal 4 4 2 2 3 4 4" xfId="18652" xr:uid="{F5764C2F-5EE4-45A6-B4BB-D5F30A96B999}"/>
    <cellStyle name="Normal 4 4 2 2 3 4 5" xfId="10218" xr:uid="{CF6801B0-FA34-40A8-B88A-604F5F6C3451}"/>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25427" xr:uid="{BCADD747-6CF8-4307-BCAC-5FE444D08F7B}"/>
    <cellStyle name="Normal 4 4 2 2 3 5 2 2 3" xfId="16993" xr:uid="{CFA8D333-F818-4841-92DB-40ABBE63DFB5}"/>
    <cellStyle name="Normal 4 4 2 2 3 5 2 3" xfId="21210" xr:uid="{78B30C5D-FDAE-491E-8E3F-A24AF2654A9E}"/>
    <cellStyle name="Normal 4 4 2 2 3 5 2 4" xfId="12776" xr:uid="{3F85AD36-729B-4252-B097-1C48D4C7E099}"/>
    <cellStyle name="Normal 4 4 2 2 3 5 3" xfId="6410" xr:uid="{00000000-0005-0000-0000-0000FF140000}"/>
    <cellStyle name="Normal 4 4 2 2 3 5 3 2" xfId="23282" xr:uid="{305810F9-C7F6-4E92-B966-BADBBD43DCAD}"/>
    <cellStyle name="Normal 4 4 2 2 3 5 3 3" xfId="14848" xr:uid="{C755D4AB-C910-43CE-B2C0-AF3CC6B67FC1}"/>
    <cellStyle name="Normal 4 4 2 2 3 5 4" xfId="19065" xr:uid="{C0470C72-ED79-42C8-9D31-BE22D639AE37}"/>
    <cellStyle name="Normal 4 4 2 2 3 5 5" xfId="10631" xr:uid="{8B53347C-6350-45CB-B465-3C5E3711552F}"/>
    <cellStyle name="Normal 4 4 2 2 3 6" xfId="2539" xr:uid="{00000000-0005-0000-0000-000000150000}"/>
    <cellStyle name="Normal 4 4 2 2 3 6 2" xfId="6823" xr:uid="{00000000-0005-0000-0000-000001150000}"/>
    <cellStyle name="Normal 4 4 2 2 3 6 2 2" xfId="23695" xr:uid="{B515995D-CBD7-4AF6-AB72-413C13B3FCDF}"/>
    <cellStyle name="Normal 4 4 2 2 3 6 2 3" xfId="15261" xr:uid="{FD9B602B-7BD2-4EFD-A825-4500B5AD8FDF}"/>
    <cellStyle name="Normal 4 4 2 2 3 6 3" xfId="19478" xr:uid="{39F8B44C-05D5-488B-9B6D-B32EF8B740F7}"/>
    <cellStyle name="Normal 4 4 2 2 3 6 4" xfId="11044" xr:uid="{8F1A7672-0D3A-4015-813A-C7D2236C8C5F}"/>
    <cellStyle name="Normal 4 4 2 2 3 7" xfId="4758" xr:uid="{00000000-0005-0000-0000-000002150000}"/>
    <cellStyle name="Normal 4 4 2 2 3 7 2" xfId="21630" xr:uid="{257A0FB3-8A45-4955-BB26-D61FAF6C7410}"/>
    <cellStyle name="Normal 4 4 2 2 3 7 3" xfId="13196" xr:uid="{6A7C69E3-CEAB-442F-AA37-F79A33B9500D}"/>
    <cellStyle name="Normal 4 4 2 2 3 8" xfId="17413" xr:uid="{1616E583-945A-4719-A636-4A36BC957B01}"/>
    <cellStyle name="Normal 4 4 2 2 3 9" xfId="8979" xr:uid="{562291C8-3792-4B4C-A96B-46AA6AFA814F}"/>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24185" xr:uid="{B743779C-8244-4178-A44C-370BFE364252}"/>
    <cellStyle name="Normal 4 4 2 2 4 2 2 3" xfId="15751" xr:uid="{F58435C8-0783-4BCB-BA7D-BDB168A865BF}"/>
    <cellStyle name="Normal 4 4 2 2 4 2 3" xfId="19968" xr:uid="{7817DDF6-0A92-4325-8B6F-255FC9EBF393}"/>
    <cellStyle name="Normal 4 4 2 2 4 2 4" xfId="11534" xr:uid="{F5E3558E-92D0-4DC6-87EE-CA28C94E151F}"/>
    <cellStyle name="Normal 4 4 2 2 4 3" xfId="5168" xr:uid="{00000000-0005-0000-0000-000006150000}"/>
    <cellStyle name="Normal 4 4 2 2 4 3 2" xfId="22040" xr:uid="{BC7A1CE0-457F-46C7-B343-55BBF111A26C}"/>
    <cellStyle name="Normal 4 4 2 2 4 3 3" xfId="13606" xr:uid="{19B62341-9B1F-4A70-98D5-B376C6D48D03}"/>
    <cellStyle name="Normal 4 4 2 2 4 4" xfId="17823" xr:uid="{C53F38CD-C469-4E99-AE8B-E99C37D386E6}"/>
    <cellStyle name="Normal 4 4 2 2 4 5" xfId="9389" xr:uid="{58BC862A-5692-4DDC-B219-7B726B0285FC}"/>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24598" xr:uid="{1D6C33A1-0D97-417B-BDC8-5CBC19D8D71D}"/>
    <cellStyle name="Normal 4 4 2 2 5 2 2 3" xfId="16164" xr:uid="{C8A88CA9-0977-4F9A-B40B-0F173282CBF1}"/>
    <cellStyle name="Normal 4 4 2 2 5 2 3" xfId="20381" xr:uid="{51D87DAA-5689-41D2-A8AB-77E845625B7B}"/>
    <cellStyle name="Normal 4 4 2 2 5 2 4" xfId="11947" xr:uid="{B676B5AE-E32C-411E-B657-4C726C5216D5}"/>
    <cellStyle name="Normal 4 4 2 2 5 3" xfId="5581" xr:uid="{00000000-0005-0000-0000-00000A150000}"/>
    <cellStyle name="Normal 4 4 2 2 5 3 2" xfId="22453" xr:uid="{64FE0B55-9E42-4367-822E-BF0DEE555493}"/>
    <cellStyle name="Normal 4 4 2 2 5 3 3" xfId="14019" xr:uid="{C1ADEAB1-7DDD-409B-92A5-F627EA9D4D75}"/>
    <cellStyle name="Normal 4 4 2 2 5 4" xfId="18236" xr:uid="{0E671B42-3DEE-4A39-A273-02860C18D032}"/>
    <cellStyle name="Normal 4 4 2 2 5 5" xfId="9802" xr:uid="{03714351-9C4F-4E36-9C17-AB11CE86325C}"/>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25011" xr:uid="{567220BA-8AFD-45FF-A0B0-E15565C681E0}"/>
    <cellStyle name="Normal 4 4 2 2 6 2 2 3" xfId="16577" xr:uid="{0C2DB8FA-69BC-466E-A525-6CFA7C2BDCC6}"/>
    <cellStyle name="Normal 4 4 2 2 6 2 3" xfId="20794" xr:uid="{C38EED45-9312-47A2-8CDA-AF28E2942665}"/>
    <cellStyle name="Normal 4 4 2 2 6 2 4" xfId="12360" xr:uid="{7C2A6254-338E-44D6-AA71-E7B57E827231}"/>
    <cellStyle name="Normal 4 4 2 2 6 3" xfId="5994" xr:uid="{00000000-0005-0000-0000-00000E150000}"/>
    <cellStyle name="Normal 4 4 2 2 6 3 2" xfId="22866" xr:uid="{86F394AD-0C13-4535-BC6F-BEFC7878FAD9}"/>
    <cellStyle name="Normal 4 4 2 2 6 3 3" xfId="14432" xr:uid="{E562D053-6ED6-4832-BA72-B6D16E1C4548}"/>
    <cellStyle name="Normal 4 4 2 2 6 4" xfId="18649" xr:uid="{2E46DDD2-915A-465F-8981-53C9DF413603}"/>
    <cellStyle name="Normal 4 4 2 2 6 5" xfId="10215" xr:uid="{28E38966-69B9-47D0-B52A-E9A62A632183}"/>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25424" xr:uid="{47C1F52E-5F20-4301-A816-C9BC5E89FA53}"/>
    <cellStyle name="Normal 4 4 2 2 7 2 2 3" xfId="16990" xr:uid="{E4B6B9DC-A550-4F27-B942-7C4CD9CC70F4}"/>
    <cellStyle name="Normal 4 4 2 2 7 2 3" xfId="21207" xr:uid="{1DA2E47E-CB36-4673-823D-9195E98030AE}"/>
    <cellStyle name="Normal 4 4 2 2 7 2 4" xfId="12773" xr:uid="{ED151472-1CF2-431C-A1ED-66015411216F}"/>
    <cellStyle name="Normal 4 4 2 2 7 3" xfId="6407" xr:uid="{00000000-0005-0000-0000-000012150000}"/>
    <cellStyle name="Normal 4 4 2 2 7 3 2" xfId="23279" xr:uid="{0B4357A6-255A-4806-B342-8A1718AB6C7E}"/>
    <cellStyle name="Normal 4 4 2 2 7 3 3" xfId="14845" xr:uid="{8824085B-8329-4D3B-BA90-78F6F257A7F3}"/>
    <cellStyle name="Normal 4 4 2 2 7 4" xfId="19062" xr:uid="{A70DF0CD-0268-4390-AD67-CEE3794D74BE}"/>
    <cellStyle name="Normal 4 4 2 2 7 5" xfId="10628" xr:uid="{E029681C-5398-4ED1-B101-2D8694FBB8A9}"/>
    <cellStyle name="Normal 4 4 2 2 8" xfId="2536" xr:uid="{00000000-0005-0000-0000-000013150000}"/>
    <cellStyle name="Normal 4 4 2 2 8 2" xfId="6820" xr:uid="{00000000-0005-0000-0000-000014150000}"/>
    <cellStyle name="Normal 4 4 2 2 8 2 2" xfId="23692" xr:uid="{BAA93C13-C9AD-4BCE-8F33-BD0032B12687}"/>
    <cellStyle name="Normal 4 4 2 2 8 2 3" xfId="15258" xr:uid="{2E3900F3-C58D-4900-8E12-B8807CC6674B}"/>
    <cellStyle name="Normal 4 4 2 2 8 3" xfId="19475" xr:uid="{E851BCF9-0668-44DD-8970-6C122CB35753}"/>
    <cellStyle name="Normal 4 4 2 2 8 4" xfId="11041" xr:uid="{400D719C-0035-4997-AADA-01860515277B}"/>
    <cellStyle name="Normal 4 4 2 2 9" xfId="4755" xr:uid="{00000000-0005-0000-0000-000015150000}"/>
    <cellStyle name="Normal 4 4 2 2 9 2" xfId="21627" xr:uid="{C6B86D0E-3BD7-46FD-8D8E-1FD25ED67477}"/>
    <cellStyle name="Normal 4 4 2 2 9 3" xfId="13193" xr:uid="{C4B3DD7E-76D4-4CDD-B5EB-3FD3531D2EA7}"/>
    <cellStyle name="Normal 4 4 2 3" xfId="384" xr:uid="{00000000-0005-0000-0000-000016150000}"/>
    <cellStyle name="Normal 4 4 2 3 10" xfId="8980" xr:uid="{E726F292-F3DA-43E1-B009-682FFDA27579}"/>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24190" xr:uid="{95C80918-6279-4BA7-B49F-CA7EE3FCA3B1}"/>
    <cellStyle name="Normal 4 4 2 3 2 2 2 2 3" xfId="15756" xr:uid="{36926731-400F-44DF-A989-F34BC2438AA7}"/>
    <cellStyle name="Normal 4 4 2 3 2 2 2 3" xfId="19973" xr:uid="{C5F109D3-E88E-4AF9-8BC6-06249835D995}"/>
    <cellStyle name="Normal 4 4 2 3 2 2 2 4" xfId="11539" xr:uid="{EEBB1EFF-C061-4612-8027-4C90BF751A6A}"/>
    <cellStyle name="Normal 4 4 2 3 2 2 3" xfId="5173" xr:uid="{00000000-0005-0000-0000-00001B150000}"/>
    <cellStyle name="Normal 4 4 2 3 2 2 3 2" xfId="22045" xr:uid="{A1DAE4A0-D275-455F-9079-83AAA7065A41}"/>
    <cellStyle name="Normal 4 4 2 3 2 2 3 3" xfId="13611" xr:uid="{0A8633BD-D867-40E8-B248-9D795B9D14C1}"/>
    <cellStyle name="Normal 4 4 2 3 2 2 4" xfId="17828" xr:uid="{85ED0393-49B1-410A-A6C7-030D20BDA368}"/>
    <cellStyle name="Normal 4 4 2 3 2 2 5" xfId="9394" xr:uid="{72DE3ACF-F4F9-428B-B2E8-344865F9739F}"/>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24603" xr:uid="{8B95DA05-8134-4F77-B60E-23654AB8C4CD}"/>
    <cellStyle name="Normal 4 4 2 3 2 3 2 2 3" xfId="16169" xr:uid="{B9A3181B-22D6-4A3C-84DD-FDA2859C4DE8}"/>
    <cellStyle name="Normal 4 4 2 3 2 3 2 3" xfId="20386" xr:uid="{3AF4CEFB-ED83-4EFC-9930-E9A1C40D86D5}"/>
    <cellStyle name="Normal 4 4 2 3 2 3 2 4" xfId="11952" xr:uid="{1CBD18C6-2F6D-4B91-948C-55CA59F04353}"/>
    <cellStyle name="Normal 4 4 2 3 2 3 3" xfId="5586" xr:uid="{00000000-0005-0000-0000-00001F150000}"/>
    <cellStyle name="Normal 4 4 2 3 2 3 3 2" xfId="22458" xr:uid="{09E12FAB-AD8E-4ABE-B23B-CEE58F619655}"/>
    <cellStyle name="Normal 4 4 2 3 2 3 3 3" xfId="14024" xr:uid="{6325C5B0-A4DC-47AD-AB62-DE2D5970858B}"/>
    <cellStyle name="Normal 4 4 2 3 2 3 4" xfId="18241" xr:uid="{64D66049-FBCC-43D5-BCE5-BC696ACD415D}"/>
    <cellStyle name="Normal 4 4 2 3 2 3 5" xfId="9807" xr:uid="{41FE6930-2CBF-4294-B4B2-BD8F5A5FE83A}"/>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25016" xr:uid="{4DE8D16C-C2DD-42E9-BB80-4BC20A24A0B0}"/>
    <cellStyle name="Normal 4 4 2 3 2 4 2 2 3" xfId="16582" xr:uid="{4A856CD8-23A5-4EC2-8E26-841CA40FD90A}"/>
    <cellStyle name="Normal 4 4 2 3 2 4 2 3" xfId="20799" xr:uid="{02F75F14-2346-4E9A-94A2-0FA336CA01C4}"/>
    <cellStyle name="Normal 4 4 2 3 2 4 2 4" xfId="12365" xr:uid="{B0C5061D-9CB4-4D11-9080-84916F895143}"/>
    <cellStyle name="Normal 4 4 2 3 2 4 3" xfId="5999" xr:uid="{00000000-0005-0000-0000-000023150000}"/>
    <cellStyle name="Normal 4 4 2 3 2 4 3 2" xfId="22871" xr:uid="{BFCCF30A-DB70-4B06-8BE5-18B7C12C4134}"/>
    <cellStyle name="Normal 4 4 2 3 2 4 3 3" xfId="14437" xr:uid="{4B8E8BCF-A1C4-40E6-A1FF-4EC4A8AF3EDE}"/>
    <cellStyle name="Normal 4 4 2 3 2 4 4" xfId="18654" xr:uid="{8D466680-319E-40DC-851E-7B15E5326E45}"/>
    <cellStyle name="Normal 4 4 2 3 2 4 5" xfId="10220" xr:uid="{EFB96C46-9334-432F-BD25-66CA695CFF06}"/>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25429" xr:uid="{7BA3392B-E149-49B1-A72C-EFD9C41FF060}"/>
    <cellStyle name="Normal 4 4 2 3 2 5 2 2 3" xfId="16995" xr:uid="{DA4AC78F-6B0C-44C1-8299-457B07774E3B}"/>
    <cellStyle name="Normal 4 4 2 3 2 5 2 3" xfId="21212" xr:uid="{B4143B0B-9CC2-4CFA-A68D-188A1892CB45}"/>
    <cellStyle name="Normal 4 4 2 3 2 5 2 4" xfId="12778" xr:uid="{A59A8E9E-47AE-4706-B7E6-2414BDD9F893}"/>
    <cellStyle name="Normal 4 4 2 3 2 5 3" xfId="6412" xr:uid="{00000000-0005-0000-0000-000027150000}"/>
    <cellStyle name="Normal 4 4 2 3 2 5 3 2" xfId="23284" xr:uid="{B44197D7-1A9D-47A1-9EFA-F16E23BA604C}"/>
    <cellStyle name="Normal 4 4 2 3 2 5 3 3" xfId="14850" xr:uid="{C817CDF4-B947-478E-8533-C4F1B873CBD0}"/>
    <cellStyle name="Normal 4 4 2 3 2 5 4" xfId="19067" xr:uid="{670C25F2-4D38-45BB-B1F7-F67CC84C861E}"/>
    <cellStyle name="Normal 4 4 2 3 2 5 5" xfId="10633" xr:uid="{B37803BF-91CD-40BC-9628-BAB0FC34A616}"/>
    <cellStyle name="Normal 4 4 2 3 2 6" xfId="2541" xr:uid="{00000000-0005-0000-0000-000028150000}"/>
    <cellStyle name="Normal 4 4 2 3 2 6 2" xfId="6825" xr:uid="{00000000-0005-0000-0000-000029150000}"/>
    <cellStyle name="Normal 4 4 2 3 2 6 2 2" xfId="23697" xr:uid="{B3B84C1F-CFAA-413C-B554-37731A3B44D6}"/>
    <cellStyle name="Normal 4 4 2 3 2 6 2 3" xfId="15263" xr:uid="{8BC9A7D8-ED97-48EF-86F3-00C47930F2B5}"/>
    <cellStyle name="Normal 4 4 2 3 2 6 3" xfId="19480" xr:uid="{389C8ED4-0097-49B2-B151-A3F22F9255CD}"/>
    <cellStyle name="Normal 4 4 2 3 2 6 4" xfId="11046" xr:uid="{A623DFF4-348B-4BC6-972E-F7DA8177C1BF}"/>
    <cellStyle name="Normal 4 4 2 3 2 7" xfId="4760" xr:uid="{00000000-0005-0000-0000-00002A150000}"/>
    <cellStyle name="Normal 4 4 2 3 2 7 2" xfId="21632" xr:uid="{D6E301E2-F700-4F5E-8DB2-C32DB1862C81}"/>
    <cellStyle name="Normal 4 4 2 3 2 7 3" xfId="13198" xr:uid="{EA631ABB-01C9-4F58-84CC-896BB6B4FFF9}"/>
    <cellStyle name="Normal 4 4 2 3 2 8" xfId="17415" xr:uid="{C804EEAE-361F-4668-BD81-6E5727354276}"/>
    <cellStyle name="Normal 4 4 2 3 2 9" xfId="8981" xr:uid="{E911E934-AFA0-4F61-94C4-91E533CA29B7}"/>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24189" xr:uid="{9EA978C7-1028-4D94-8AB4-1294BC07875E}"/>
    <cellStyle name="Normal 4 4 2 3 3 2 2 3" xfId="15755" xr:uid="{A5BF4FAC-840C-4B56-911F-386A3131B6E2}"/>
    <cellStyle name="Normal 4 4 2 3 3 2 3" xfId="19972" xr:uid="{543BD47B-73ED-49A6-9D72-786458A2ABF1}"/>
    <cellStyle name="Normal 4 4 2 3 3 2 4" xfId="11538" xr:uid="{3697EB89-BBF3-480E-AD83-559756255565}"/>
    <cellStyle name="Normal 4 4 2 3 3 3" xfId="5172" xr:uid="{00000000-0005-0000-0000-00002E150000}"/>
    <cellStyle name="Normal 4 4 2 3 3 3 2" xfId="22044" xr:uid="{3C9B7078-C659-4795-A10A-4F228A4DF885}"/>
    <cellStyle name="Normal 4 4 2 3 3 3 3" xfId="13610" xr:uid="{965F74A2-3EDF-49CF-8A51-B79F9797A1F8}"/>
    <cellStyle name="Normal 4 4 2 3 3 4" xfId="17827" xr:uid="{48F810D9-FDBC-48BB-83A7-C7942722334D}"/>
    <cellStyle name="Normal 4 4 2 3 3 5" xfId="9393" xr:uid="{6122C93E-2453-4636-9C6A-097D1726315E}"/>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24602" xr:uid="{DEEA8D16-E521-4E80-8328-58504D479653}"/>
    <cellStyle name="Normal 4 4 2 3 4 2 2 3" xfId="16168" xr:uid="{23A568D6-ADAC-4E7E-987E-813B6D7DCAE2}"/>
    <cellStyle name="Normal 4 4 2 3 4 2 3" xfId="20385" xr:uid="{6BEB6E02-B35A-4B10-9F4F-9550D85442A5}"/>
    <cellStyle name="Normal 4 4 2 3 4 2 4" xfId="11951" xr:uid="{E44A447F-AC0A-4A3B-8BEB-07F8BACB3D7E}"/>
    <cellStyle name="Normal 4 4 2 3 4 3" xfId="5585" xr:uid="{00000000-0005-0000-0000-000032150000}"/>
    <cellStyle name="Normal 4 4 2 3 4 3 2" xfId="22457" xr:uid="{A773B2B1-980B-4149-9CC3-249C6B0F8D87}"/>
    <cellStyle name="Normal 4 4 2 3 4 3 3" xfId="14023" xr:uid="{CEA1C994-D879-40DC-848E-75F27A540BDE}"/>
    <cellStyle name="Normal 4 4 2 3 4 4" xfId="18240" xr:uid="{E57A9698-6368-43D6-8B75-03ECCA623FF6}"/>
    <cellStyle name="Normal 4 4 2 3 4 5" xfId="9806" xr:uid="{CF4F9347-F142-4945-84C5-E080A6A768B2}"/>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25015" xr:uid="{918E916C-C924-40E7-B786-6A449F5440A8}"/>
    <cellStyle name="Normal 4 4 2 3 5 2 2 3" xfId="16581" xr:uid="{F6E3C38C-D21E-4F4B-97E5-4B729099C69F}"/>
    <cellStyle name="Normal 4 4 2 3 5 2 3" xfId="20798" xr:uid="{66DC99CC-D5FF-4167-B4FD-9DF4B19B5F10}"/>
    <cellStyle name="Normal 4 4 2 3 5 2 4" xfId="12364" xr:uid="{153C6B5E-E774-42EC-91AD-81258584C337}"/>
    <cellStyle name="Normal 4 4 2 3 5 3" xfId="5998" xr:uid="{00000000-0005-0000-0000-000036150000}"/>
    <cellStyle name="Normal 4 4 2 3 5 3 2" xfId="22870" xr:uid="{1BF415E2-D851-4A8A-864A-65A5AA917433}"/>
    <cellStyle name="Normal 4 4 2 3 5 3 3" xfId="14436" xr:uid="{69741239-5DAB-474F-AC9A-5111220502B6}"/>
    <cellStyle name="Normal 4 4 2 3 5 4" xfId="18653" xr:uid="{C890D6BE-2604-4B7B-A4E1-8890B784C4CB}"/>
    <cellStyle name="Normal 4 4 2 3 5 5" xfId="10219" xr:uid="{3E47A7DA-CCC8-4B05-BF7D-2AA89E9DBA5A}"/>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25428" xr:uid="{B56C012F-6D3E-4F3F-A839-7446AD2DB899}"/>
    <cellStyle name="Normal 4 4 2 3 6 2 2 3" xfId="16994" xr:uid="{7B2F593A-F41F-4FB7-AFF9-7A9716294CC7}"/>
    <cellStyle name="Normal 4 4 2 3 6 2 3" xfId="21211" xr:uid="{B49C0BC3-2993-4506-8759-8D9ECAA1E371}"/>
    <cellStyle name="Normal 4 4 2 3 6 2 4" xfId="12777" xr:uid="{D41C324B-185E-4939-950F-EAA81D7D0829}"/>
    <cellStyle name="Normal 4 4 2 3 6 3" xfId="6411" xr:uid="{00000000-0005-0000-0000-00003A150000}"/>
    <cellStyle name="Normal 4 4 2 3 6 3 2" xfId="23283" xr:uid="{D9D6E683-4F41-4053-BB64-B1EDAA97CBB1}"/>
    <cellStyle name="Normal 4 4 2 3 6 3 3" xfId="14849" xr:uid="{13DA70DA-3578-4BC0-87F4-1CD9CF5D6016}"/>
    <cellStyle name="Normal 4 4 2 3 6 4" xfId="19066" xr:uid="{0E55EFE1-1DF3-40FF-9F28-28D62E746F83}"/>
    <cellStyle name="Normal 4 4 2 3 6 5" xfId="10632" xr:uid="{317C462E-B18A-4A79-B3A5-43444DB6A663}"/>
    <cellStyle name="Normal 4 4 2 3 7" xfId="2540" xr:uid="{00000000-0005-0000-0000-00003B150000}"/>
    <cellStyle name="Normal 4 4 2 3 7 2" xfId="6824" xr:uid="{00000000-0005-0000-0000-00003C150000}"/>
    <cellStyle name="Normal 4 4 2 3 7 2 2" xfId="23696" xr:uid="{85968FAB-7762-40C8-AAA5-665AC954A1DE}"/>
    <cellStyle name="Normal 4 4 2 3 7 2 3" xfId="15262" xr:uid="{3EA84FCA-E18A-4411-9162-1221B8BEC5A5}"/>
    <cellStyle name="Normal 4 4 2 3 7 3" xfId="19479" xr:uid="{BE4654D5-7051-49A4-88EC-DC96A2AAFF67}"/>
    <cellStyle name="Normal 4 4 2 3 7 4" xfId="11045" xr:uid="{69877BEE-FA7C-4DE1-82DD-10358DB47422}"/>
    <cellStyle name="Normal 4 4 2 3 8" xfId="4759" xr:uid="{00000000-0005-0000-0000-00003D150000}"/>
    <cellStyle name="Normal 4 4 2 3 8 2" xfId="21631" xr:uid="{2D7C0995-6A6C-4272-9BB9-26E65203256B}"/>
    <cellStyle name="Normal 4 4 2 3 8 3" xfId="13197" xr:uid="{B6B7CC94-4A2C-427C-BC24-BD6DA3FCE2E1}"/>
    <cellStyle name="Normal 4 4 2 3 9" xfId="17414" xr:uid="{99BF74B7-B523-4AF8-B3FD-12467312F49F}"/>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24191" xr:uid="{14708346-DB2B-4733-8979-9759C5DEEA3C}"/>
    <cellStyle name="Normal 4 4 2 4 2 2 2 3" xfId="15757" xr:uid="{9A39BE1E-F0DE-49B7-999A-3FD7CA01085B}"/>
    <cellStyle name="Normal 4 4 2 4 2 2 3" xfId="19974" xr:uid="{DABC0067-430B-4B57-8893-905F8EED5231}"/>
    <cellStyle name="Normal 4 4 2 4 2 2 4" xfId="11540" xr:uid="{6F6CF849-E0BB-431F-A4C1-56C043DC52EB}"/>
    <cellStyle name="Normal 4 4 2 4 2 3" xfId="5174" xr:uid="{00000000-0005-0000-0000-000042150000}"/>
    <cellStyle name="Normal 4 4 2 4 2 3 2" xfId="22046" xr:uid="{17BF6B50-04A2-4284-8ADB-A9B0778F2211}"/>
    <cellStyle name="Normal 4 4 2 4 2 3 3" xfId="13612" xr:uid="{4F586730-E558-41DA-A2BE-07CACD4D1B92}"/>
    <cellStyle name="Normal 4 4 2 4 2 4" xfId="17829" xr:uid="{DF736DBA-1757-48F7-A429-C9523366E737}"/>
    <cellStyle name="Normal 4 4 2 4 2 5" xfId="9395" xr:uid="{A62A5E48-7375-4E4F-95DC-58582577B3C3}"/>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24604" xr:uid="{B0F3EF21-78FB-424C-84F6-A812649408F3}"/>
    <cellStyle name="Normal 4 4 2 4 3 2 2 3" xfId="16170" xr:uid="{26EF2718-E9EF-47AE-AFE4-A67B632BC6F8}"/>
    <cellStyle name="Normal 4 4 2 4 3 2 3" xfId="20387" xr:uid="{54924BBE-3D6A-4EA4-87CD-4912E0B156D7}"/>
    <cellStyle name="Normal 4 4 2 4 3 2 4" xfId="11953" xr:uid="{C3C927B4-644C-4020-8B62-51F919F092C3}"/>
    <cellStyle name="Normal 4 4 2 4 3 3" xfId="5587" xr:uid="{00000000-0005-0000-0000-000046150000}"/>
    <cellStyle name="Normal 4 4 2 4 3 3 2" xfId="22459" xr:uid="{A07C012F-6361-407F-BF7F-F4744D99981D}"/>
    <cellStyle name="Normal 4 4 2 4 3 3 3" xfId="14025" xr:uid="{6ED4849F-C6DF-48AD-841A-89DB8E150A23}"/>
    <cellStyle name="Normal 4 4 2 4 3 4" xfId="18242" xr:uid="{03C8386A-94D5-44D9-AF11-96ECCA867DA3}"/>
    <cellStyle name="Normal 4 4 2 4 3 5" xfId="9808" xr:uid="{DA3574F5-C675-42CD-A81D-8F4016617563}"/>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25017" xr:uid="{725923DD-08C9-430D-8F0A-526E5AA433A0}"/>
    <cellStyle name="Normal 4 4 2 4 4 2 2 3" xfId="16583" xr:uid="{6A0C1EB7-443D-46FC-85A9-A152F7E27F1C}"/>
    <cellStyle name="Normal 4 4 2 4 4 2 3" xfId="20800" xr:uid="{A71FAC48-D031-4B29-8F74-4ACEAD2B092C}"/>
    <cellStyle name="Normal 4 4 2 4 4 2 4" xfId="12366" xr:uid="{229C2979-6AAA-473F-AB01-370CA9B0C32B}"/>
    <cellStyle name="Normal 4 4 2 4 4 3" xfId="6000" xr:uid="{00000000-0005-0000-0000-00004A150000}"/>
    <cellStyle name="Normal 4 4 2 4 4 3 2" xfId="22872" xr:uid="{659947AF-41F0-45EB-B4C6-18A2E08EF931}"/>
    <cellStyle name="Normal 4 4 2 4 4 3 3" xfId="14438" xr:uid="{E769CD9F-AFEB-4720-8B25-1148AEA04945}"/>
    <cellStyle name="Normal 4 4 2 4 4 4" xfId="18655" xr:uid="{8DD5362C-2C79-4CC7-951D-05B48EF3540E}"/>
    <cellStyle name="Normal 4 4 2 4 4 5" xfId="10221" xr:uid="{BDBD2270-EF01-4B75-BB3B-9299F5827F21}"/>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25430" xr:uid="{F8F7D3B8-EF4B-4C4B-8579-B7D5A19C14D0}"/>
    <cellStyle name="Normal 4 4 2 4 5 2 2 3" xfId="16996" xr:uid="{6C85E1AA-07F8-4CC3-A640-B138C5DBF709}"/>
    <cellStyle name="Normal 4 4 2 4 5 2 3" xfId="21213" xr:uid="{CF9A329A-5C66-4F5E-9D00-51F69E146208}"/>
    <cellStyle name="Normal 4 4 2 4 5 2 4" xfId="12779" xr:uid="{A65FDA5C-12AB-4039-895B-EBBD24C8E6F1}"/>
    <cellStyle name="Normal 4 4 2 4 5 3" xfId="6413" xr:uid="{00000000-0005-0000-0000-00004E150000}"/>
    <cellStyle name="Normal 4 4 2 4 5 3 2" xfId="23285" xr:uid="{21C67857-DB27-4327-A4CD-FB7F22B4FC34}"/>
    <cellStyle name="Normal 4 4 2 4 5 3 3" xfId="14851" xr:uid="{37F73007-4E70-4784-BC14-8BD32DE50FF6}"/>
    <cellStyle name="Normal 4 4 2 4 5 4" xfId="19068" xr:uid="{B54EF48F-C685-4DDA-82A6-1F6DF0254087}"/>
    <cellStyle name="Normal 4 4 2 4 5 5" xfId="10634" xr:uid="{A5A0A2A7-9E5E-45C7-AB94-837A468E8F0A}"/>
    <cellStyle name="Normal 4 4 2 4 6" xfId="2542" xr:uid="{00000000-0005-0000-0000-00004F150000}"/>
    <cellStyle name="Normal 4 4 2 4 6 2" xfId="6826" xr:uid="{00000000-0005-0000-0000-000050150000}"/>
    <cellStyle name="Normal 4 4 2 4 6 2 2" xfId="23698" xr:uid="{B0D439CB-2233-4A35-B0BF-93859942D291}"/>
    <cellStyle name="Normal 4 4 2 4 6 2 3" xfId="15264" xr:uid="{7101D210-B6F3-4D88-984A-7A69D125402C}"/>
    <cellStyle name="Normal 4 4 2 4 6 3" xfId="19481" xr:uid="{E421FC3C-B5E0-46C8-BD57-566CA7D07F8D}"/>
    <cellStyle name="Normal 4 4 2 4 6 4" xfId="11047" xr:uid="{9057CA20-72DA-4F8C-8E58-093EE6D8A891}"/>
    <cellStyle name="Normal 4 4 2 4 7" xfId="4761" xr:uid="{00000000-0005-0000-0000-000051150000}"/>
    <cellStyle name="Normal 4 4 2 4 7 2" xfId="21633" xr:uid="{BD817813-22D2-491B-96A3-FFF438DF797C}"/>
    <cellStyle name="Normal 4 4 2 4 7 3" xfId="13199" xr:uid="{E33B1D04-1AE6-4F7B-9062-E519BD26E139}"/>
    <cellStyle name="Normal 4 4 2 4 8" xfId="17416" xr:uid="{53E71025-31C0-42F7-BF3A-00454EE35566}"/>
    <cellStyle name="Normal 4 4 2 4 9" xfId="8982" xr:uid="{E05EB101-514F-408E-8191-CDE3A443DF40}"/>
    <cellStyle name="Normal 4 4 2 5" xfId="854" xr:uid="{00000000-0005-0000-0000-000052150000}"/>
    <cellStyle name="Normal 4 4 2 5 2" xfId="3089" xr:uid="{00000000-0005-0000-0000-000053150000}"/>
    <cellStyle name="Normal 4 4 2 5 2 2" xfId="7312" xr:uid="{00000000-0005-0000-0000-000054150000}"/>
    <cellStyle name="Normal 4 4 2 5 2 2 2" xfId="24184" xr:uid="{5E8C0824-3DB3-473A-8C76-5B80C8EB0788}"/>
    <cellStyle name="Normal 4 4 2 5 2 2 3" xfId="15750" xr:uid="{F0F78B2E-28DF-46F0-8D97-BADF1EEC9757}"/>
    <cellStyle name="Normal 4 4 2 5 2 3" xfId="19967" xr:uid="{1CEB45F4-DEBB-44CB-8631-4684EBA06478}"/>
    <cellStyle name="Normal 4 4 2 5 2 4" xfId="11533" xr:uid="{D1884C73-5501-4DE3-912D-F0863573C98C}"/>
    <cellStyle name="Normal 4 4 2 5 3" xfId="5167" xr:uid="{00000000-0005-0000-0000-000055150000}"/>
    <cellStyle name="Normal 4 4 2 5 3 2" xfId="22039" xr:uid="{93502471-368D-492F-8E81-AD2AE2C2E7F4}"/>
    <cellStyle name="Normal 4 4 2 5 3 3" xfId="13605" xr:uid="{6E0AA0EB-1E2F-4D9F-B7F4-92D0AB0A156F}"/>
    <cellStyle name="Normal 4 4 2 5 4" xfId="17822" xr:uid="{390F7E96-ED1D-4452-8D87-3AC84B23888F}"/>
    <cellStyle name="Normal 4 4 2 5 5" xfId="9388" xr:uid="{749AC407-9BB3-460F-A1AD-4C2B23BB4077}"/>
    <cellStyle name="Normal 4 4 2 6" xfId="1272" xr:uid="{00000000-0005-0000-0000-000056150000}"/>
    <cellStyle name="Normal 4 4 2 6 2" xfId="3502" xr:uid="{00000000-0005-0000-0000-000057150000}"/>
    <cellStyle name="Normal 4 4 2 6 2 2" xfId="7725" xr:uid="{00000000-0005-0000-0000-000058150000}"/>
    <cellStyle name="Normal 4 4 2 6 2 2 2" xfId="24597" xr:uid="{93D0C907-CDD6-4B75-AF81-0DC1204A6947}"/>
    <cellStyle name="Normal 4 4 2 6 2 2 3" xfId="16163" xr:uid="{2F62A228-7B32-4BF1-9843-2A9C75E7885E}"/>
    <cellStyle name="Normal 4 4 2 6 2 3" xfId="20380" xr:uid="{88307C3C-FCD1-4505-AF36-C09D8330175B}"/>
    <cellStyle name="Normal 4 4 2 6 2 4" xfId="11946" xr:uid="{81623775-7D45-4123-B406-0E1ACE726C3C}"/>
    <cellStyle name="Normal 4 4 2 6 3" xfId="5580" xr:uid="{00000000-0005-0000-0000-000059150000}"/>
    <cellStyle name="Normal 4 4 2 6 3 2" xfId="22452" xr:uid="{76601B11-9F5A-434F-BC8F-98691B5B9225}"/>
    <cellStyle name="Normal 4 4 2 6 3 3" xfId="14018" xr:uid="{3DE094AB-8EDA-43E9-B9B3-2A88E2336C17}"/>
    <cellStyle name="Normal 4 4 2 6 4" xfId="18235" xr:uid="{91466ADA-A8D3-4C44-A263-94FC647CF184}"/>
    <cellStyle name="Normal 4 4 2 6 5" xfId="9801" xr:uid="{13D065FE-20AE-453B-920A-54686314D774}"/>
    <cellStyle name="Normal 4 4 2 7" xfId="1685" xr:uid="{00000000-0005-0000-0000-00005A150000}"/>
    <cellStyle name="Normal 4 4 2 7 2" xfId="3915" xr:uid="{00000000-0005-0000-0000-00005B150000}"/>
    <cellStyle name="Normal 4 4 2 7 2 2" xfId="8138" xr:uid="{00000000-0005-0000-0000-00005C150000}"/>
    <cellStyle name="Normal 4 4 2 7 2 2 2" xfId="25010" xr:uid="{D8F05ABD-0270-44E1-88E7-5AEFD4D93504}"/>
    <cellStyle name="Normal 4 4 2 7 2 2 3" xfId="16576" xr:uid="{AC1DB9BA-08F3-47AF-B0FD-C2E0E1AD2117}"/>
    <cellStyle name="Normal 4 4 2 7 2 3" xfId="20793" xr:uid="{7CC133EF-CCEB-41E5-BB8F-574413408B5E}"/>
    <cellStyle name="Normal 4 4 2 7 2 4" xfId="12359" xr:uid="{8DA44F89-FC0E-410B-8A5A-09C30B5DDEE6}"/>
    <cellStyle name="Normal 4 4 2 7 3" xfId="5993" xr:uid="{00000000-0005-0000-0000-00005D150000}"/>
    <cellStyle name="Normal 4 4 2 7 3 2" xfId="22865" xr:uid="{410A62A7-60EB-4E43-B5D5-9D0958837639}"/>
    <cellStyle name="Normal 4 4 2 7 3 3" xfId="14431" xr:uid="{467BCC66-9652-40D1-AA04-2C161D7ECBA7}"/>
    <cellStyle name="Normal 4 4 2 7 4" xfId="18648" xr:uid="{BBBCED05-635D-47BC-A65B-3F55354268DC}"/>
    <cellStyle name="Normal 4 4 2 7 5" xfId="10214" xr:uid="{6ACCCD50-8504-4C20-A237-7A6DC6E1AB28}"/>
    <cellStyle name="Normal 4 4 2 8" xfId="2099" xr:uid="{00000000-0005-0000-0000-00005E150000}"/>
    <cellStyle name="Normal 4 4 2 8 2" xfId="4328" xr:uid="{00000000-0005-0000-0000-00005F150000}"/>
    <cellStyle name="Normal 4 4 2 8 2 2" xfId="8551" xr:uid="{00000000-0005-0000-0000-000060150000}"/>
    <cellStyle name="Normal 4 4 2 8 2 2 2" xfId="25423" xr:uid="{EB21CAE3-91EC-4ADE-98CD-9FE67B9252E8}"/>
    <cellStyle name="Normal 4 4 2 8 2 2 3" xfId="16989" xr:uid="{0EF44708-84B3-47CB-AC44-A2BDF7C00587}"/>
    <cellStyle name="Normal 4 4 2 8 2 3" xfId="21206" xr:uid="{12298169-B5CF-45E0-BEC6-277FB83498D2}"/>
    <cellStyle name="Normal 4 4 2 8 2 4" xfId="12772" xr:uid="{70D981E3-F3B2-4E86-A294-389BBC7BD5C8}"/>
    <cellStyle name="Normal 4 4 2 8 3" xfId="6406" xr:uid="{00000000-0005-0000-0000-000061150000}"/>
    <cellStyle name="Normal 4 4 2 8 3 2" xfId="23278" xr:uid="{EB640541-B99D-432A-86B8-46156CFB9A5A}"/>
    <cellStyle name="Normal 4 4 2 8 3 3" xfId="14844" xr:uid="{3079880C-ADA5-4B9D-9465-6C7255EDEC81}"/>
    <cellStyle name="Normal 4 4 2 8 4" xfId="19061" xr:uid="{7FC1009D-039D-48F1-B4C3-3C32955E6A7B}"/>
    <cellStyle name="Normal 4 4 2 8 5" xfId="10627" xr:uid="{64BCC2F3-179D-4833-890E-B74C9FFF3D36}"/>
    <cellStyle name="Normal 4 4 2 9" xfId="2535" xr:uid="{00000000-0005-0000-0000-000062150000}"/>
    <cellStyle name="Normal 4 4 2 9 2" xfId="6819" xr:uid="{00000000-0005-0000-0000-000063150000}"/>
    <cellStyle name="Normal 4 4 2 9 2 2" xfId="23691" xr:uid="{8D4177E0-511E-4EA8-A2B2-89E113DE24E7}"/>
    <cellStyle name="Normal 4 4 2 9 2 3" xfId="15257" xr:uid="{6771F4E7-3CAE-442E-8DD4-E130865F78D7}"/>
    <cellStyle name="Normal 4 4 2 9 3" xfId="19474" xr:uid="{115757CB-5C19-43EC-B2EB-A91AEDB03BEA}"/>
    <cellStyle name="Normal 4 4 2 9 4" xfId="11040" xr:uid="{328BAAF8-F32F-488B-BD74-CF8A69D5202A}"/>
    <cellStyle name="Normal 4 4 3" xfId="387" xr:uid="{00000000-0005-0000-0000-000064150000}"/>
    <cellStyle name="Normal 4 4 3 10" xfId="17417" xr:uid="{F788F75A-F18F-4944-A4D4-9030A26922A1}"/>
    <cellStyle name="Normal 4 4 3 11" xfId="8983" xr:uid="{4206EFDB-7995-41B1-B0E9-62FAF7794ED4}"/>
    <cellStyle name="Normal 4 4 3 2" xfId="388" xr:uid="{00000000-0005-0000-0000-000065150000}"/>
    <cellStyle name="Normal 4 4 3 2 10" xfId="8984" xr:uid="{88181DC3-80A5-4969-A18F-FC082FD3854F}"/>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24194" xr:uid="{89527670-5BF1-468F-8A06-70544F523061}"/>
    <cellStyle name="Normal 4 4 3 2 2 2 2 2 3" xfId="15760" xr:uid="{B7102112-2A5F-4EC9-89A2-11AEECF35338}"/>
    <cellStyle name="Normal 4 4 3 2 2 2 2 3" xfId="19977" xr:uid="{319E81E2-B679-46F6-9C92-2D79F04577F3}"/>
    <cellStyle name="Normal 4 4 3 2 2 2 2 4" xfId="11543" xr:uid="{44D5A08F-2BCA-4B86-A9EC-71A154585F9A}"/>
    <cellStyle name="Normal 4 4 3 2 2 2 3" xfId="5177" xr:uid="{00000000-0005-0000-0000-00006A150000}"/>
    <cellStyle name="Normal 4 4 3 2 2 2 3 2" xfId="22049" xr:uid="{57D2DC48-70F6-4F38-956E-79BB3BBA76DA}"/>
    <cellStyle name="Normal 4 4 3 2 2 2 3 3" xfId="13615" xr:uid="{FBE63C9B-CB2D-460F-8AE4-1E60EFA6F501}"/>
    <cellStyle name="Normal 4 4 3 2 2 2 4" xfId="17832" xr:uid="{70DE22C8-8CEC-433D-9D8D-64395B1BAB1E}"/>
    <cellStyle name="Normal 4 4 3 2 2 2 5" xfId="9398" xr:uid="{DED4C16C-0A65-4FC1-AAB4-09B9D57496F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24607" xr:uid="{8792E4A5-57D3-4FF1-93C1-DD3266AEC152}"/>
    <cellStyle name="Normal 4 4 3 2 2 3 2 2 3" xfId="16173" xr:uid="{CFF73187-1817-457D-9774-5978BD73CDD3}"/>
    <cellStyle name="Normal 4 4 3 2 2 3 2 3" xfId="20390" xr:uid="{A7D7F1D4-A7A4-4AE3-B804-341F05672C41}"/>
    <cellStyle name="Normal 4 4 3 2 2 3 2 4" xfId="11956" xr:uid="{3093B83F-CF03-4EBD-9035-F2A6105752EF}"/>
    <cellStyle name="Normal 4 4 3 2 2 3 3" xfId="5590" xr:uid="{00000000-0005-0000-0000-00006E150000}"/>
    <cellStyle name="Normal 4 4 3 2 2 3 3 2" xfId="22462" xr:uid="{644B6D98-1C44-4CF8-B503-8EEB389C8B6D}"/>
    <cellStyle name="Normal 4 4 3 2 2 3 3 3" xfId="14028" xr:uid="{66DA8DBC-05BF-43A5-978F-E4475C2C5B9D}"/>
    <cellStyle name="Normal 4 4 3 2 2 3 4" xfId="18245" xr:uid="{86023A73-65E6-49D4-A66A-BF1F727C6308}"/>
    <cellStyle name="Normal 4 4 3 2 2 3 5" xfId="9811" xr:uid="{2D06F531-684B-41B6-BC28-C9B002BF11AA}"/>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25020" xr:uid="{CEDD7CAE-D015-4933-A3E0-D51E2F6A09E2}"/>
    <cellStyle name="Normal 4 4 3 2 2 4 2 2 3" xfId="16586" xr:uid="{EA59C7F5-99A7-4F5E-A311-B92357AB8F3F}"/>
    <cellStyle name="Normal 4 4 3 2 2 4 2 3" xfId="20803" xr:uid="{39DE2BED-14D5-44DD-9DDF-29DC40BA0151}"/>
    <cellStyle name="Normal 4 4 3 2 2 4 2 4" xfId="12369" xr:uid="{F6A88A4A-0144-48AB-9A7A-29EFCB68D4D9}"/>
    <cellStyle name="Normal 4 4 3 2 2 4 3" xfId="6003" xr:uid="{00000000-0005-0000-0000-000072150000}"/>
    <cellStyle name="Normal 4 4 3 2 2 4 3 2" xfId="22875" xr:uid="{C96AFD68-2BC0-4F02-A1AD-674972B2F887}"/>
    <cellStyle name="Normal 4 4 3 2 2 4 3 3" xfId="14441" xr:uid="{4CE993F1-AA93-473B-B4F5-4276301C826A}"/>
    <cellStyle name="Normal 4 4 3 2 2 4 4" xfId="18658" xr:uid="{9BC0CDDC-B8DE-4E1D-9966-C63DFD76985B}"/>
    <cellStyle name="Normal 4 4 3 2 2 4 5" xfId="10224" xr:uid="{5008ACA0-4745-4F56-A6CE-4D2240D03247}"/>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25433" xr:uid="{7D5B3BB9-0F9D-4979-B30D-DB0CAA802A72}"/>
    <cellStyle name="Normal 4 4 3 2 2 5 2 2 3" xfId="16999" xr:uid="{F46BAFD7-5BD3-44A2-A917-E405913EF0CD}"/>
    <cellStyle name="Normal 4 4 3 2 2 5 2 3" xfId="21216" xr:uid="{06B26D69-BEC2-46BD-8204-0F299F00DC3E}"/>
    <cellStyle name="Normal 4 4 3 2 2 5 2 4" xfId="12782" xr:uid="{61A45E22-A84E-42E5-909E-F9EE9397D0B5}"/>
    <cellStyle name="Normal 4 4 3 2 2 5 3" xfId="6416" xr:uid="{00000000-0005-0000-0000-000076150000}"/>
    <cellStyle name="Normal 4 4 3 2 2 5 3 2" xfId="23288" xr:uid="{8F97C759-B48C-4783-A6F3-4C5E3E03E16A}"/>
    <cellStyle name="Normal 4 4 3 2 2 5 3 3" xfId="14854" xr:uid="{1691D941-00E9-45AF-8615-CF2C3003DAD3}"/>
    <cellStyle name="Normal 4 4 3 2 2 5 4" xfId="19071" xr:uid="{25A5B1F2-847F-4272-BEE2-56C861B6361F}"/>
    <cellStyle name="Normal 4 4 3 2 2 5 5" xfId="10637" xr:uid="{81A28F44-CE83-48EA-B055-16009E43EB49}"/>
    <cellStyle name="Normal 4 4 3 2 2 6" xfId="2545" xr:uid="{00000000-0005-0000-0000-000077150000}"/>
    <cellStyle name="Normal 4 4 3 2 2 6 2" xfId="6829" xr:uid="{00000000-0005-0000-0000-000078150000}"/>
    <cellStyle name="Normal 4 4 3 2 2 6 2 2" xfId="23701" xr:uid="{80064F87-AFC4-4153-9B58-8553FE921DE0}"/>
    <cellStyle name="Normal 4 4 3 2 2 6 2 3" xfId="15267" xr:uid="{8445411B-349B-4047-A032-392A37E71043}"/>
    <cellStyle name="Normal 4 4 3 2 2 6 3" xfId="19484" xr:uid="{B7A3843A-C3E1-4EDE-9C28-9EC4D99DF772}"/>
    <cellStyle name="Normal 4 4 3 2 2 6 4" xfId="11050" xr:uid="{E15BC8EF-7CCC-4105-B658-E7A730FF7951}"/>
    <cellStyle name="Normal 4 4 3 2 2 7" xfId="4764" xr:uid="{00000000-0005-0000-0000-000079150000}"/>
    <cellStyle name="Normal 4 4 3 2 2 7 2" xfId="21636" xr:uid="{F6CE5989-C956-49B2-B87A-713F5423F4A5}"/>
    <cellStyle name="Normal 4 4 3 2 2 7 3" xfId="13202" xr:uid="{4C58F555-E40E-466A-9336-1A4FBC583618}"/>
    <cellStyle name="Normal 4 4 3 2 2 8" xfId="17419" xr:uid="{0A6D22F1-71B1-46D0-8873-8794761A5EA8}"/>
    <cellStyle name="Normal 4 4 3 2 2 9" xfId="8985" xr:uid="{ED5D5976-48BE-4C22-977B-C708FD1A9282}"/>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24193" xr:uid="{50855297-6EBB-4FEB-988F-76F3F51F341E}"/>
    <cellStyle name="Normal 4 4 3 2 3 2 2 3" xfId="15759" xr:uid="{643ED130-0B5E-49F9-BA22-245DA899A7DC}"/>
    <cellStyle name="Normal 4 4 3 2 3 2 3" xfId="19976" xr:uid="{F491108D-4811-4008-8DEC-1C9291C90600}"/>
    <cellStyle name="Normal 4 4 3 2 3 2 4" xfId="11542" xr:uid="{31F4045F-1F0A-4B6A-89AD-D40F7909A2DA}"/>
    <cellStyle name="Normal 4 4 3 2 3 3" xfId="5176" xr:uid="{00000000-0005-0000-0000-00007D150000}"/>
    <cellStyle name="Normal 4 4 3 2 3 3 2" xfId="22048" xr:uid="{E9BCFF20-9FF6-45C2-A958-53A2289CCB54}"/>
    <cellStyle name="Normal 4 4 3 2 3 3 3" xfId="13614" xr:uid="{CA07FA2C-B9A0-43BF-AB5A-98342790353A}"/>
    <cellStyle name="Normal 4 4 3 2 3 4" xfId="17831" xr:uid="{5406B14D-19FC-4866-9C66-BB6DAC8A800E}"/>
    <cellStyle name="Normal 4 4 3 2 3 5" xfId="9397" xr:uid="{708D76FE-C14E-479B-8D4C-9840D488F933}"/>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24606" xr:uid="{F0480DEA-A52A-4214-88E8-44741CC8856F}"/>
    <cellStyle name="Normal 4 4 3 2 4 2 2 3" xfId="16172" xr:uid="{9C3CAEA1-3E62-483C-89FE-12C7C6EB0DA1}"/>
    <cellStyle name="Normal 4 4 3 2 4 2 3" xfId="20389" xr:uid="{271C76EA-CF8D-4AD5-AF89-EFC7CA10334F}"/>
    <cellStyle name="Normal 4 4 3 2 4 2 4" xfId="11955" xr:uid="{CF9BADC7-BDFA-4B50-97C8-FA4706C03D52}"/>
    <cellStyle name="Normal 4 4 3 2 4 3" xfId="5589" xr:uid="{00000000-0005-0000-0000-000081150000}"/>
    <cellStyle name="Normal 4 4 3 2 4 3 2" xfId="22461" xr:uid="{CCEA2875-C487-4C68-A1FD-F3BA36338858}"/>
    <cellStyle name="Normal 4 4 3 2 4 3 3" xfId="14027" xr:uid="{F1B5D0B5-4E2F-4ADE-B50F-7FE0D4A26DC7}"/>
    <cellStyle name="Normal 4 4 3 2 4 4" xfId="18244" xr:uid="{D9443C70-B9D7-46B5-BD61-1B6C5ABAC0F4}"/>
    <cellStyle name="Normal 4 4 3 2 4 5" xfId="9810" xr:uid="{8D287EEB-643F-4E99-95AB-191CCE3C2D2D}"/>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25019" xr:uid="{40D1C9D7-7F70-413F-B313-01DE26BBBB72}"/>
    <cellStyle name="Normal 4 4 3 2 5 2 2 3" xfId="16585" xr:uid="{8BF00B54-C2C5-46BE-BE7F-4519BEB1CF3D}"/>
    <cellStyle name="Normal 4 4 3 2 5 2 3" xfId="20802" xr:uid="{88E6A355-F087-4AD2-929C-A4CE3A40A350}"/>
    <cellStyle name="Normal 4 4 3 2 5 2 4" xfId="12368" xr:uid="{93162100-DE48-45B6-A163-BF9F0DE7A60D}"/>
    <cellStyle name="Normal 4 4 3 2 5 3" xfId="6002" xr:uid="{00000000-0005-0000-0000-000085150000}"/>
    <cellStyle name="Normal 4 4 3 2 5 3 2" xfId="22874" xr:uid="{9361E7E4-0A69-4F21-BE37-3F2DF0496DC1}"/>
    <cellStyle name="Normal 4 4 3 2 5 3 3" xfId="14440" xr:uid="{4F55A5B3-3106-41B7-8AC9-44F9EE221E91}"/>
    <cellStyle name="Normal 4 4 3 2 5 4" xfId="18657" xr:uid="{A88E24AB-4BD4-41C4-B1BA-0ADE7A9D371B}"/>
    <cellStyle name="Normal 4 4 3 2 5 5" xfId="10223" xr:uid="{7C04A949-AADD-41F7-9E4F-5BD385F70EBE}"/>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25432" xr:uid="{9484DF47-1E70-4396-9E4E-DC225072960B}"/>
    <cellStyle name="Normal 4 4 3 2 6 2 2 3" xfId="16998" xr:uid="{DF8C9C5C-E75E-4CA4-AFA1-6FCAA0A6DCBE}"/>
    <cellStyle name="Normal 4 4 3 2 6 2 3" xfId="21215" xr:uid="{D86F7A0D-8894-4763-87AA-6ECC17D6BE93}"/>
    <cellStyle name="Normal 4 4 3 2 6 2 4" xfId="12781" xr:uid="{625AFEB8-F04D-4583-8661-BAB394A0CFE5}"/>
    <cellStyle name="Normal 4 4 3 2 6 3" xfId="6415" xr:uid="{00000000-0005-0000-0000-000089150000}"/>
    <cellStyle name="Normal 4 4 3 2 6 3 2" xfId="23287" xr:uid="{5ACD2451-1139-4747-9B5A-A09833A31DA6}"/>
    <cellStyle name="Normal 4 4 3 2 6 3 3" xfId="14853" xr:uid="{6FA4A4F1-C37C-40CA-8500-59FEE88E2D36}"/>
    <cellStyle name="Normal 4 4 3 2 6 4" xfId="19070" xr:uid="{4408E2AF-9D7B-4AA9-B62D-35ABF09CE550}"/>
    <cellStyle name="Normal 4 4 3 2 6 5" xfId="10636" xr:uid="{FBD17B7B-634C-4B45-BF0C-A376FB066BAC}"/>
    <cellStyle name="Normal 4 4 3 2 7" xfId="2544" xr:uid="{00000000-0005-0000-0000-00008A150000}"/>
    <cellStyle name="Normal 4 4 3 2 7 2" xfId="6828" xr:uid="{00000000-0005-0000-0000-00008B150000}"/>
    <cellStyle name="Normal 4 4 3 2 7 2 2" xfId="23700" xr:uid="{1B27D67C-C157-46B6-9969-7D0F18FB70AD}"/>
    <cellStyle name="Normal 4 4 3 2 7 2 3" xfId="15266" xr:uid="{A5A4F41E-9A42-4FF7-A8D0-737A00BA4CDC}"/>
    <cellStyle name="Normal 4 4 3 2 7 3" xfId="19483" xr:uid="{854BEE45-F2EB-4CDF-B024-9911CE3003A8}"/>
    <cellStyle name="Normal 4 4 3 2 7 4" xfId="11049" xr:uid="{FDEBE401-F147-4944-B558-7966CDAEC5A8}"/>
    <cellStyle name="Normal 4 4 3 2 8" xfId="4763" xr:uid="{00000000-0005-0000-0000-00008C150000}"/>
    <cellStyle name="Normal 4 4 3 2 8 2" xfId="21635" xr:uid="{1B0D8C42-3ACB-4EB1-A562-5C3AF48076BF}"/>
    <cellStyle name="Normal 4 4 3 2 8 3" xfId="13201" xr:uid="{E92E1C2E-D600-461B-9420-994AA7FE8675}"/>
    <cellStyle name="Normal 4 4 3 2 9" xfId="17418" xr:uid="{4E513418-D218-45D1-92D9-F04C997043BE}"/>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24195" xr:uid="{07A0569A-D46F-4FB3-B9D3-4F08B0F68CE7}"/>
    <cellStyle name="Normal 4 4 3 3 2 2 2 3" xfId="15761" xr:uid="{0AB82B93-1939-48A9-B693-15D9799F922A}"/>
    <cellStyle name="Normal 4 4 3 3 2 2 3" xfId="19978" xr:uid="{6715B521-1C97-4A99-9F42-5619A94F3E7F}"/>
    <cellStyle name="Normal 4 4 3 3 2 2 4" xfId="11544" xr:uid="{D9099495-8F46-45DF-8B61-3465F1D43C96}"/>
    <cellStyle name="Normal 4 4 3 3 2 3" xfId="5178" xr:uid="{00000000-0005-0000-0000-000091150000}"/>
    <cellStyle name="Normal 4 4 3 3 2 3 2" xfId="22050" xr:uid="{A6668670-B00B-4D64-98A8-AB83073E6ED8}"/>
    <cellStyle name="Normal 4 4 3 3 2 3 3" xfId="13616" xr:uid="{83F3B803-B07B-44F6-B49D-E15B0D6DB202}"/>
    <cellStyle name="Normal 4 4 3 3 2 4" xfId="17833" xr:uid="{89E598A2-28B1-4EFE-97A2-E32C650AF076}"/>
    <cellStyle name="Normal 4 4 3 3 2 5" xfId="9399" xr:uid="{B962BC27-7903-4A4A-86B0-532E0F9F56D1}"/>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24608" xr:uid="{C46CB2E8-575E-481E-AA3D-AF621AF0E8D8}"/>
    <cellStyle name="Normal 4 4 3 3 3 2 2 3" xfId="16174" xr:uid="{A2877C8F-A414-4931-A883-4DD41E977E4D}"/>
    <cellStyle name="Normal 4 4 3 3 3 2 3" xfId="20391" xr:uid="{5D2A20AA-3047-4DFD-9B94-1F392F341501}"/>
    <cellStyle name="Normal 4 4 3 3 3 2 4" xfId="11957" xr:uid="{78B20DB2-5E7E-4AA6-B048-7A28B1848654}"/>
    <cellStyle name="Normal 4 4 3 3 3 3" xfId="5591" xr:uid="{00000000-0005-0000-0000-000095150000}"/>
    <cellStyle name="Normal 4 4 3 3 3 3 2" xfId="22463" xr:uid="{F5974FE7-3223-4037-9525-E95A949C4906}"/>
    <cellStyle name="Normal 4 4 3 3 3 3 3" xfId="14029" xr:uid="{097FE0D7-16F7-401D-9311-5EE73938E417}"/>
    <cellStyle name="Normal 4 4 3 3 3 4" xfId="18246" xr:uid="{23651254-B925-4D77-80DC-30D1DE9D06D7}"/>
    <cellStyle name="Normal 4 4 3 3 3 5" xfId="9812" xr:uid="{FEBF6767-0524-4B20-A576-53447FAF8832}"/>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25021" xr:uid="{E517841D-5988-4836-B1DC-A48BC17545C9}"/>
    <cellStyle name="Normal 4 4 3 3 4 2 2 3" xfId="16587" xr:uid="{91AA6A9F-3502-48DE-B7EC-46E976B2E049}"/>
    <cellStyle name="Normal 4 4 3 3 4 2 3" xfId="20804" xr:uid="{819E8452-AB77-4653-880D-EF8D8DFF316C}"/>
    <cellStyle name="Normal 4 4 3 3 4 2 4" xfId="12370" xr:uid="{C5898C90-B0C9-4AE8-9EFD-09D8A475A2B6}"/>
    <cellStyle name="Normal 4 4 3 3 4 3" xfId="6004" xr:uid="{00000000-0005-0000-0000-000099150000}"/>
    <cellStyle name="Normal 4 4 3 3 4 3 2" xfId="22876" xr:uid="{76EBC754-8120-46D9-BA3B-8A0630DCCAF2}"/>
    <cellStyle name="Normal 4 4 3 3 4 3 3" xfId="14442" xr:uid="{6276D402-4152-4A27-9309-4995F898BC00}"/>
    <cellStyle name="Normal 4 4 3 3 4 4" xfId="18659" xr:uid="{D699303E-B8C6-47D9-85A2-2754752C937F}"/>
    <cellStyle name="Normal 4 4 3 3 4 5" xfId="10225" xr:uid="{E68BDFF1-641D-4C0D-84D8-78EA2CC36A14}"/>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25434" xr:uid="{210B9B89-0E3A-4FCF-A79A-DB4E5ECAEA04}"/>
    <cellStyle name="Normal 4 4 3 3 5 2 2 3" xfId="17000" xr:uid="{85B93D05-716C-41FA-B925-D048CC937BE3}"/>
    <cellStyle name="Normal 4 4 3 3 5 2 3" xfId="21217" xr:uid="{25AA767F-55B7-49BC-A538-8B45360C15D1}"/>
    <cellStyle name="Normal 4 4 3 3 5 2 4" xfId="12783" xr:uid="{CEF378B1-982F-4503-8BAD-B4AD3C70E351}"/>
    <cellStyle name="Normal 4 4 3 3 5 3" xfId="6417" xr:uid="{00000000-0005-0000-0000-00009D150000}"/>
    <cellStyle name="Normal 4 4 3 3 5 3 2" xfId="23289" xr:uid="{FC771B7A-A841-4896-BE7A-576F75A2573A}"/>
    <cellStyle name="Normal 4 4 3 3 5 3 3" xfId="14855" xr:uid="{68D7F14F-4BF4-4309-9CEC-90230CC5C1A7}"/>
    <cellStyle name="Normal 4 4 3 3 5 4" xfId="19072" xr:uid="{CACD1B97-7A7F-4D95-985A-9F6C7AE73E12}"/>
    <cellStyle name="Normal 4 4 3 3 5 5" xfId="10638" xr:uid="{8EA0877E-76F9-4FC0-82AC-654F6F1A9D02}"/>
    <cellStyle name="Normal 4 4 3 3 6" xfId="2546" xr:uid="{00000000-0005-0000-0000-00009E150000}"/>
    <cellStyle name="Normal 4 4 3 3 6 2" xfId="6830" xr:uid="{00000000-0005-0000-0000-00009F150000}"/>
    <cellStyle name="Normal 4 4 3 3 6 2 2" xfId="23702" xr:uid="{783CF4F4-6AD1-4FCE-9E52-B5216E44542A}"/>
    <cellStyle name="Normal 4 4 3 3 6 2 3" xfId="15268" xr:uid="{2ED8EC6E-8C34-4ED7-958F-5F814C2EBE78}"/>
    <cellStyle name="Normal 4 4 3 3 6 3" xfId="19485" xr:uid="{92B5DBCB-F342-46FD-9C24-F572AE1DFFF4}"/>
    <cellStyle name="Normal 4 4 3 3 6 4" xfId="11051" xr:uid="{1C7ADC9E-C591-45ED-A8B0-91E95BF3DB8A}"/>
    <cellStyle name="Normal 4 4 3 3 7" xfId="4765" xr:uid="{00000000-0005-0000-0000-0000A0150000}"/>
    <cellStyle name="Normal 4 4 3 3 7 2" xfId="21637" xr:uid="{FADEA14E-997F-40D1-B356-117D7493647A}"/>
    <cellStyle name="Normal 4 4 3 3 7 3" xfId="13203" xr:uid="{AB5B05A0-5A2A-43E7-BAB9-A1F99CAFDCB3}"/>
    <cellStyle name="Normal 4 4 3 3 8" xfId="17420" xr:uid="{B65F7051-7571-45E3-9C4C-278E89B443DD}"/>
    <cellStyle name="Normal 4 4 3 3 9" xfId="8986" xr:uid="{1E13B589-91F5-4258-ADDB-F8741C50F0FB}"/>
    <cellStyle name="Normal 4 4 3 4" xfId="862" xr:uid="{00000000-0005-0000-0000-0000A1150000}"/>
    <cellStyle name="Normal 4 4 3 4 2" xfId="3097" xr:uid="{00000000-0005-0000-0000-0000A2150000}"/>
    <cellStyle name="Normal 4 4 3 4 2 2" xfId="7320" xr:uid="{00000000-0005-0000-0000-0000A3150000}"/>
    <cellStyle name="Normal 4 4 3 4 2 2 2" xfId="24192" xr:uid="{ADEDC7BE-799D-45AA-A0B7-1FA8E8798382}"/>
    <cellStyle name="Normal 4 4 3 4 2 2 3" xfId="15758" xr:uid="{515BCAD5-0B72-4991-9070-D9B65187E75D}"/>
    <cellStyle name="Normal 4 4 3 4 2 3" xfId="19975" xr:uid="{BC91A13E-ED19-481E-9CBF-2E8FC5AE6390}"/>
    <cellStyle name="Normal 4 4 3 4 2 4" xfId="11541" xr:uid="{A46E678A-6E79-4521-968E-1F8A2B794D0D}"/>
    <cellStyle name="Normal 4 4 3 4 3" xfId="5175" xr:uid="{00000000-0005-0000-0000-0000A4150000}"/>
    <cellStyle name="Normal 4 4 3 4 3 2" xfId="22047" xr:uid="{B56C181C-BB6D-4977-8324-3E18BB6816C9}"/>
    <cellStyle name="Normal 4 4 3 4 3 3" xfId="13613" xr:uid="{4CBEE217-8A6F-4A6C-87F8-CFC2736CE97B}"/>
    <cellStyle name="Normal 4 4 3 4 4" xfId="17830" xr:uid="{B192FA0D-0B12-4357-8042-BB91A3DE1080}"/>
    <cellStyle name="Normal 4 4 3 4 5" xfId="9396" xr:uid="{B3B8DBBD-CE14-4D9C-AF4A-E4AA393FE268}"/>
    <cellStyle name="Normal 4 4 3 5" xfId="1280" xr:uid="{00000000-0005-0000-0000-0000A5150000}"/>
    <cellStyle name="Normal 4 4 3 5 2" xfId="3510" xr:uid="{00000000-0005-0000-0000-0000A6150000}"/>
    <cellStyle name="Normal 4 4 3 5 2 2" xfId="7733" xr:uid="{00000000-0005-0000-0000-0000A7150000}"/>
    <cellStyle name="Normal 4 4 3 5 2 2 2" xfId="24605" xr:uid="{990E7C38-892E-4738-9C03-A58BE4BEF418}"/>
    <cellStyle name="Normal 4 4 3 5 2 2 3" xfId="16171" xr:uid="{71C5BC47-6606-461F-9C24-CA870E850820}"/>
    <cellStyle name="Normal 4 4 3 5 2 3" xfId="20388" xr:uid="{99596574-BEEB-4305-A54B-F8089EF1298D}"/>
    <cellStyle name="Normal 4 4 3 5 2 4" xfId="11954" xr:uid="{EB793444-F6BC-48A1-9CCC-34745A23190D}"/>
    <cellStyle name="Normal 4 4 3 5 3" xfId="5588" xr:uid="{00000000-0005-0000-0000-0000A8150000}"/>
    <cellStyle name="Normal 4 4 3 5 3 2" xfId="22460" xr:uid="{884C6630-C110-498B-A65B-9429EA0FB8C5}"/>
    <cellStyle name="Normal 4 4 3 5 3 3" xfId="14026" xr:uid="{E554E755-C2BA-4166-B0A3-5C25EBEBAA0A}"/>
    <cellStyle name="Normal 4 4 3 5 4" xfId="18243" xr:uid="{E7AC2E7F-A124-4256-B7DF-D2887FC8A12B}"/>
    <cellStyle name="Normal 4 4 3 5 5" xfId="9809" xr:uid="{71C126B6-6955-4A42-ADE3-E16C2BCAEC03}"/>
    <cellStyle name="Normal 4 4 3 6" xfId="1693" xr:uid="{00000000-0005-0000-0000-0000A9150000}"/>
    <cellStyle name="Normal 4 4 3 6 2" xfId="3923" xr:uid="{00000000-0005-0000-0000-0000AA150000}"/>
    <cellStyle name="Normal 4 4 3 6 2 2" xfId="8146" xr:uid="{00000000-0005-0000-0000-0000AB150000}"/>
    <cellStyle name="Normal 4 4 3 6 2 2 2" xfId="25018" xr:uid="{934B71D8-8E74-44D8-8465-A99D7322D085}"/>
    <cellStyle name="Normal 4 4 3 6 2 2 3" xfId="16584" xr:uid="{6178F451-CEDE-46C5-B031-6D6C12FF936C}"/>
    <cellStyle name="Normal 4 4 3 6 2 3" xfId="20801" xr:uid="{EDFA1D20-97E5-48E3-BAC3-7A54011B6CD0}"/>
    <cellStyle name="Normal 4 4 3 6 2 4" xfId="12367" xr:uid="{58F89965-C4DC-4228-AD76-1B8BD7044B05}"/>
    <cellStyle name="Normal 4 4 3 6 3" xfId="6001" xr:uid="{00000000-0005-0000-0000-0000AC150000}"/>
    <cellStyle name="Normal 4 4 3 6 3 2" xfId="22873" xr:uid="{C0E83180-50D9-44A9-9406-086F26DBC556}"/>
    <cellStyle name="Normal 4 4 3 6 3 3" xfId="14439" xr:uid="{7602B6C6-4FAD-4127-9EE2-DFE37461D43F}"/>
    <cellStyle name="Normal 4 4 3 6 4" xfId="18656" xr:uid="{AA2A32DF-3C5D-4C18-9EB7-E1138741329C}"/>
    <cellStyle name="Normal 4 4 3 6 5" xfId="10222" xr:uid="{E40B8A16-DF4E-41BD-9E89-6B18E8A15614}"/>
    <cellStyle name="Normal 4 4 3 7" xfId="2107" xr:uid="{00000000-0005-0000-0000-0000AD150000}"/>
    <cellStyle name="Normal 4 4 3 7 2" xfId="4336" xr:uid="{00000000-0005-0000-0000-0000AE150000}"/>
    <cellStyle name="Normal 4 4 3 7 2 2" xfId="8559" xr:uid="{00000000-0005-0000-0000-0000AF150000}"/>
    <cellStyle name="Normal 4 4 3 7 2 2 2" xfId="25431" xr:uid="{F0C7DF97-744B-4BC3-92D9-F664F92DF8EE}"/>
    <cellStyle name="Normal 4 4 3 7 2 2 3" xfId="16997" xr:uid="{5F5D711B-309B-4EB3-A20E-761AB806A450}"/>
    <cellStyle name="Normal 4 4 3 7 2 3" xfId="21214" xr:uid="{447DE757-C5EE-4C1A-96FC-639121C61876}"/>
    <cellStyle name="Normal 4 4 3 7 2 4" xfId="12780" xr:uid="{F8A83F3C-3F14-48BA-A3D4-9091E33F2C58}"/>
    <cellStyle name="Normal 4 4 3 7 3" xfId="6414" xr:uid="{00000000-0005-0000-0000-0000B0150000}"/>
    <cellStyle name="Normal 4 4 3 7 3 2" xfId="23286" xr:uid="{FE19FF75-AA0E-4C12-865B-4E2111DDB21E}"/>
    <cellStyle name="Normal 4 4 3 7 3 3" xfId="14852" xr:uid="{CC1DA93B-43D4-4E70-BC5B-8F23D54BD89F}"/>
    <cellStyle name="Normal 4 4 3 7 4" xfId="19069" xr:uid="{260F1D98-290C-4AD4-AD1D-76E23729EB35}"/>
    <cellStyle name="Normal 4 4 3 7 5" xfId="10635" xr:uid="{59C35086-51E9-4780-92E1-9C89E1E9C529}"/>
    <cellStyle name="Normal 4 4 3 8" xfId="2543" xr:uid="{00000000-0005-0000-0000-0000B1150000}"/>
    <cellStyle name="Normal 4 4 3 8 2" xfId="6827" xr:uid="{00000000-0005-0000-0000-0000B2150000}"/>
    <cellStyle name="Normal 4 4 3 8 2 2" xfId="23699" xr:uid="{FCFAD632-6ED3-4AAF-940C-C638054BF889}"/>
    <cellStyle name="Normal 4 4 3 8 2 3" xfId="15265" xr:uid="{0DF37C91-E4AA-4D1E-8697-11085302DAE4}"/>
    <cellStyle name="Normal 4 4 3 8 3" xfId="19482" xr:uid="{7BDF1435-0287-4807-876F-9EFB7D9C23DD}"/>
    <cellStyle name="Normal 4 4 3 8 4" xfId="11048" xr:uid="{0D0B2B35-EC17-4B6D-A8F3-2D5120A03C1A}"/>
    <cellStyle name="Normal 4 4 3 9" xfId="4762" xr:uid="{00000000-0005-0000-0000-0000B3150000}"/>
    <cellStyle name="Normal 4 4 3 9 2" xfId="21634" xr:uid="{EA46195F-A0BD-4571-B549-5B0674E546FA}"/>
    <cellStyle name="Normal 4 4 3 9 3" xfId="13200" xr:uid="{F8C81939-1B30-4D7D-B2BC-9AEAA1F1E14E}"/>
    <cellStyle name="Normal 4 4 4" xfId="391" xr:uid="{00000000-0005-0000-0000-0000B4150000}"/>
    <cellStyle name="Normal 4 4 4 10" xfId="8987" xr:uid="{5517E571-4504-420D-8690-C905D92131AC}"/>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24197" xr:uid="{F51BFD5A-BEA4-4C10-B0D8-8A1C91291520}"/>
    <cellStyle name="Normal 4 4 4 2 2 2 2 3" xfId="15763" xr:uid="{AAFAFC18-B684-4173-BCDB-91AF7BA9AECD}"/>
    <cellStyle name="Normal 4 4 4 2 2 2 3" xfId="19980" xr:uid="{7833BE62-C980-478C-950F-098462881F06}"/>
    <cellStyle name="Normal 4 4 4 2 2 2 4" xfId="11546" xr:uid="{5C210ED2-1844-4A1E-9483-C2F3FDC151DD}"/>
    <cellStyle name="Normal 4 4 4 2 2 3" xfId="5180" xr:uid="{00000000-0005-0000-0000-0000B9150000}"/>
    <cellStyle name="Normal 4 4 4 2 2 3 2" xfId="22052" xr:uid="{F887FDF5-7A14-4D75-978B-D665C8D7B0AC}"/>
    <cellStyle name="Normal 4 4 4 2 2 3 3" xfId="13618" xr:uid="{6642F40A-205B-49B7-AC3D-9B509FBBD349}"/>
    <cellStyle name="Normal 4 4 4 2 2 4" xfId="17835" xr:uid="{216DBA32-B37A-4354-8D46-1A2233336D02}"/>
    <cellStyle name="Normal 4 4 4 2 2 5" xfId="9401" xr:uid="{DF203790-B4BB-43DC-B412-F30FEFE29B10}"/>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24610" xr:uid="{98B35AF1-6A6E-42A9-AF5E-77C83C90CD91}"/>
    <cellStyle name="Normal 4 4 4 2 3 2 2 3" xfId="16176" xr:uid="{8C4ECAFE-31C8-4240-BF2D-A6F8FC960BFB}"/>
    <cellStyle name="Normal 4 4 4 2 3 2 3" xfId="20393" xr:uid="{6124941B-64A0-44BB-83E4-B6D5E378492D}"/>
    <cellStyle name="Normal 4 4 4 2 3 2 4" xfId="11959" xr:uid="{2BC042E7-F8B8-429D-95F4-00685FB1FAA3}"/>
    <cellStyle name="Normal 4 4 4 2 3 3" xfId="5593" xr:uid="{00000000-0005-0000-0000-0000BD150000}"/>
    <cellStyle name="Normal 4 4 4 2 3 3 2" xfId="22465" xr:uid="{9C5E5800-3929-4E67-ABD9-CC7ECC2979FE}"/>
    <cellStyle name="Normal 4 4 4 2 3 3 3" xfId="14031" xr:uid="{670368E0-1D46-4EB7-B613-5BAB72425B75}"/>
    <cellStyle name="Normal 4 4 4 2 3 4" xfId="18248" xr:uid="{247CBB19-C1C9-4F36-940B-7285BE8D372B}"/>
    <cellStyle name="Normal 4 4 4 2 3 5" xfId="9814" xr:uid="{61F933DD-AAAC-4C2E-9230-C03F1020BE1F}"/>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25023" xr:uid="{2FBF0B40-9826-4ECF-B732-9758D6C7583A}"/>
    <cellStyle name="Normal 4 4 4 2 4 2 2 3" xfId="16589" xr:uid="{219BF978-C644-481F-B927-8E061433C8FE}"/>
    <cellStyle name="Normal 4 4 4 2 4 2 3" xfId="20806" xr:uid="{3A6AABB6-F5C7-4E7E-97FC-52C4CFD6CDA2}"/>
    <cellStyle name="Normal 4 4 4 2 4 2 4" xfId="12372" xr:uid="{67DF4232-320C-4C93-9645-4E0FF0C70D2B}"/>
    <cellStyle name="Normal 4 4 4 2 4 3" xfId="6006" xr:uid="{00000000-0005-0000-0000-0000C1150000}"/>
    <cellStyle name="Normal 4 4 4 2 4 3 2" xfId="22878" xr:uid="{FEAFC128-8CBE-49C2-A022-F52DCD123293}"/>
    <cellStyle name="Normal 4 4 4 2 4 3 3" xfId="14444" xr:uid="{7A8AAC83-F6EA-41FE-B200-308F0C3349FE}"/>
    <cellStyle name="Normal 4 4 4 2 4 4" xfId="18661" xr:uid="{D1DDEBAD-B8E2-4D3A-8006-DB27CFD02CD0}"/>
    <cellStyle name="Normal 4 4 4 2 4 5" xfId="10227" xr:uid="{FB5DCAF1-848B-49CC-A0A9-B76B8D2FF6F3}"/>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25436" xr:uid="{0558705D-97B1-4237-A6FE-B29728920542}"/>
    <cellStyle name="Normal 4 4 4 2 5 2 2 3" xfId="17002" xr:uid="{79270C89-C2AA-408E-B128-45FBAD1EA13E}"/>
    <cellStyle name="Normal 4 4 4 2 5 2 3" xfId="21219" xr:uid="{37C1540E-5178-43E9-98B8-123374965D4F}"/>
    <cellStyle name="Normal 4 4 4 2 5 2 4" xfId="12785" xr:uid="{A2D73D56-0112-4760-8B5D-EB979AE089C0}"/>
    <cellStyle name="Normal 4 4 4 2 5 3" xfId="6419" xr:uid="{00000000-0005-0000-0000-0000C5150000}"/>
    <cellStyle name="Normal 4 4 4 2 5 3 2" xfId="23291" xr:uid="{3E2AA9CC-5460-4B10-A157-DE9C0DAC84B0}"/>
    <cellStyle name="Normal 4 4 4 2 5 3 3" xfId="14857" xr:uid="{E4D385B6-4AC1-488B-8359-BDF1FD2363E5}"/>
    <cellStyle name="Normal 4 4 4 2 5 4" xfId="19074" xr:uid="{E59A1D99-6AB9-4F39-B684-73BBC3189348}"/>
    <cellStyle name="Normal 4 4 4 2 5 5" xfId="10640" xr:uid="{3B60D17E-4853-4F78-8205-8EBB4964AE9C}"/>
    <cellStyle name="Normal 4 4 4 2 6" xfId="2548" xr:uid="{00000000-0005-0000-0000-0000C6150000}"/>
    <cellStyle name="Normal 4 4 4 2 6 2" xfId="6832" xr:uid="{00000000-0005-0000-0000-0000C7150000}"/>
    <cellStyle name="Normal 4 4 4 2 6 2 2" xfId="23704" xr:uid="{EC1F5897-BA76-46B7-996D-EA04797DECC1}"/>
    <cellStyle name="Normal 4 4 4 2 6 2 3" xfId="15270" xr:uid="{16788D31-A3AE-42E4-90F5-8EE33AFFF9D2}"/>
    <cellStyle name="Normal 4 4 4 2 6 3" xfId="19487" xr:uid="{6453E849-6258-4DD7-A891-263444E849D0}"/>
    <cellStyle name="Normal 4 4 4 2 6 4" xfId="11053" xr:uid="{5002C4AF-5E01-44CD-B237-D83B3977908D}"/>
    <cellStyle name="Normal 4 4 4 2 7" xfId="4767" xr:uid="{00000000-0005-0000-0000-0000C8150000}"/>
    <cellStyle name="Normal 4 4 4 2 7 2" xfId="21639" xr:uid="{1FD4409F-E956-453A-BD3F-9421AD67271B}"/>
    <cellStyle name="Normal 4 4 4 2 7 3" xfId="13205" xr:uid="{36BEB50C-5210-461F-A8DE-ECA684EB09D6}"/>
    <cellStyle name="Normal 4 4 4 2 8" xfId="17422" xr:uid="{82A62B4F-71BE-4544-B68A-43AC19BA3B5C}"/>
    <cellStyle name="Normal 4 4 4 2 9" xfId="8988" xr:uid="{048EBE8B-64DF-44CB-A073-A70C694DDA39}"/>
    <cellStyle name="Normal 4 4 4 3" xfId="866" xr:uid="{00000000-0005-0000-0000-0000C9150000}"/>
    <cellStyle name="Normal 4 4 4 3 2" xfId="3101" xr:uid="{00000000-0005-0000-0000-0000CA150000}"/>
    <cellStyle name="Normal 4 4 4 3 2 2" xfId="7324" xr:uid="{00000000-0005-0000-0000-0000CB150000}"/>
    <cellStyle name="Normal 4 4 4 3 2 2 2" xfId="24196" xr:uid="{A1E5D44F-CE58-4C8F-A1F4-7ACD1B4FD6F2}"/>
    <cellStyle name="Normal 4 4 4 3 2 2 3" xfId="15762" xr:uid="{FF9F9A95-AF6A-4A29-8C6D-ABB954C0A6D1}"/>
    <cellStyle name="Normal 4 4 4 3 2 3" xfId="19979" xr:uid="{2EF8FAD4-6A4B-4382-94F0-306FB79CF244}"/>
    <cellStyle name="Normal 4 4 4 3 2 4" xfId="11545" xr:uid="{FCEECB80-3989-4328-BB30-D81FD74F1C6C}"/>
    <cellStyle name="Normal 4 4 4 3 3" xfId="5179" xr:uid="{00000000-0005-0000-0000-0000CC150000}"/>
    <cellStyle name="Normal 4 4 4 3 3 2" xfId="22051" xr:uid="{EB033A98-B9FB-4B2E-A919-B661B64C1883}"/>
    <cellStyle name="Normal 4 4 4 3 3 3" xfId="13617" xr:uid="{397394BF-0020-4BC1-B337-74253B4EDAC1}"/>
    <cellStyle name="Normal 4 4 4 3 4" xfId="17834" xr:uid="{34770752-748B-4264-9B7B-DCA2CCDE804E}"/>
    <cellStyle name="Normal 4 4 4 3 5" xfId="9400" xr:uid="{3B6EEF26-53A3-4D60-AEA3-9A7D098AA583}"/>
    <cellStyle name="Normal 4 4 4 4" xfId="1284" xr:uid="{00000000-0005-0000-0000-0000CD150000}"/>
    <cellStyle name="Normal 4 4 4 4 2" xfId="3514" xr:uid="{00000000-0005-0000-0000-0000CE150000}"/>
    <cellStyle name="Normal 4 4 4 4 2 2" xfId="7737" xr:uid="{00000000-0005-0000-0000-0000CF150000}"/>
    <cellStyle name="Normal 4 4 4 4 2 2 2" xfId="24609" xr:uid="{DB9E81DF-33D6-4A49-A361-0E23B079F3CF}"/>
    <cellStyle name="Normal 4 4 4 4 2 2 3" xfId="16175" xr:uid="{5F62B00A-61AF-4AE5-B05D-C55DA69F7150}"/>
    <cellStyle name="Normal 4 4 4 4 2 3" xfId="20392" xr:uid="{9572A32D-3811-4F75-9002-99B22DF2BB9D}"/>
    <cellStyle name="Normal 4 4 4 4 2 4" xfId="11958" xr:uid="{D23B3B71-068C-45AD-890E-216F92FE17DF}"/>
    <cellStyle name="Normal 4 4 4 4 3" xfId="5592" xr:uid="{00000000-0005-0000-0000-0000D0150000}"/>
    <cellStyle name="Normal 4 4 4 4 3 2" xfId="22464" xr:uid="{6FC8598B-F9B5-4CAE-A6B6-04895B3120DA}"/>
    <cellStyle name="Normal 4 4 4 4 3 3" xfId="14030" xr:uid="{B9BF2D43-8937-424A-9C51-4AE4E913EFB2}"/>
    <cellStyle name="Normal 4 4 4 4 4" xfId="18247" xr:uid="{807E579E-2BFE-4CDF-9124-9B37A6110F38}"/>
    <cellStyle name="Normal 4 4 4 4 5" xfId="9813" xr:uid="{BD1648CF-5B25-4E5B-BE06-2CE3C65A7734}"/>
    <cellStyle name="Normal 4 4 4 5" xfId="1697" xr:uid="{00000000-0005-0000-0000-0000D1150000}"/>
    <cellStyle name="Normal 4 4 4 5 2" xfId="3927" xr:uid="{00000000-0005-0000-0000-0000D2150000}"/>
    <cellStyle name="Normal 4 4 4 5 2 2" xfId="8150" xr:uid="{00000000-0005-0000-0000-0000D3150000}"/>
    <cellStyle name="Normal 4 4 4 5 2 2 2" xfId="25022" xr:uid="{529DCF05-93BC-481F-A489-E5064A6131CA}"/>
    <cellStyle name="Normal 4 4 4 5 2 2 3" xfId="16588" xr:uid="{AB195434-FC3F-46D8-97C1-C5B4052E159D}"/>
    <cellStyle name="Normal 4 4 4 5 2 3" xfId="20805" xr:uid="{3E0151F9-FD0A-4B3D-AFC0-77F52A5FB830}"/>
    <cellStyle name="Normal 4 4 4 5 2 4" xfId="12371" xr:uid="{976B1077-DB98-48BA-B085-1934DAF91125}"/>
    <cellStyle name="Normal 4 4 4 5 3" xfId="6005" xr:uid="{00000000-0005-0000-0000-0000D4150000}"/>
    <cellStyle name="Normal 4 4 4 5 3 2" xfId="22877" xr:uid="{82D6F772-2191-4FCD-87CA-4E85D454FB2A}"/>
    <cellStyle name="Normal 4 4 4 5 3 3" xfId="14443" xr:uid="{715123E3-2A83-4CAF-BF41-677161754CA0}"/>
    <cellStyle name="Normal 4 4 4 5 4" xfId="18660" xr:uid="{16556183-6E7F-4933-B829-7CACAA8A395E}"/>
    <cellStyle name="Normal 4 4 4 5 5" xfId="10226" xr:uid="{10E8386E-91ED-43B2-BE24-1ADB601805B5}"/>
    <cellStyle name="Normal 4 4 4 6" xfId="2111" xr:uid="{00000000-0005-0000-0000-0000D5150000}"/>
    <cellStyle name="Normal 4 4 4 6 2" xfId="4340" xr:uid="{00000000-0005-0000-0000-0000D6150000}"/>
    <cellStyle name="Normal 4 4 4 6 2 2" xfId="8563" xr:uid="{00000000-0005-0000-0000-0000D7150000}"/>
    <cellStyle name="Normal 4 4 4 6 2 2 2" xfId="25435" xr:uid="{FE69C017-4EE1-41CF-9407-82D430285E57}"/>
    <cellStyle name="Normal 4 4 4 6 2 2 3" xfId="17001" xr:uid="{CB3D21C6-8775-40AC-9F2C-7F9FE4526890}"/>
    <cellStyle name="Normal 4 4 4 6 2 3" xfId="21218" xr:uid="{A793F518-29BF-4BCF-9AEA-5EECCB24291F}"/>
    <cellStyle name="Normal 4 4 4 6 2 4" xfId="12784" xr:uid="{3A431013-F9B5-4154-AA6A-0D5BD2DA2DF7}"/>
    <cellStyle name="Normal 4 4 4 6 3" xfId="6418" xr:uid="{00000000-0005-0000-0000-0000D8150000}"/>
    <cellStyle name="Normal 4 4 4 6 3 2" xfId="23290" xr:uid="{3E62FEB8-9022-4EB2-A0A4-A04DE65BFE58}"/>
    <cellStyle name="Normal 4 4 4 6 3 3" xfId="14856" xr:uid="{A0A33A5F-3389-4CF8-BFF1-420A96F382B2}"/>
    <cellStyle name="Normal 4 4 4 6 4" xfId="19073" xr:uid="{12731184-AA4B-4384-9706-26D8FE591297}"/>
    <cellStyle name="Normal 4 4 4 6 5" xfId="10639" xr:uid="{2FA56D5B-D1F0-4E3C-B028-03C74ADF230B}"/>
    <cellStyle name="Normal 4 4 4 7" xfId="2547" xr:uid="{00000000-0005-0000-0000-0000D9150000}"/>
    <cellStyle name="Normal 4 4 4 7 2" xfId="6831" xr:uid="{00000000-0005-0000-0000-0000DA150000}"/>
    <cellStyle name="Normal 4 4 4 7 2 2" xfId="23703" xr:uid="{66DFFA3A-D83E-451D-A224-D63D16DE8D3E}"/>
    <cellStyle name="Normal 4 4 4 7 2 3" xfId="15269" xr:uid="{6C404504-217E-4011-B6AF-2ABDF79EEB16}"/>
    <cellStyle name="Normal 4 4 4 7 3" xfId="19486" xr:uid="{A642291C-C903-4226-BE5A-E7296FBAFA65}"/>
    <cellStyle name="Normal 4 4 4 7 4" xfId="11052" xr:uid="{D46477F0-78F8-4451-8187-57FF08B70592}"/>
    <cellStyle name="Normal 4 4 4 8" xfId="4766" xr:uid="{00000000-0005-0000-0000-0000DB150000}"/>
    <cellStyle name="Normal 4 4 4 8 2" xfId="21638" xr:uid="{B519CD6C-FA5B-4D97-8F18-723971B0DF72}"/>
    <cellStyle name="Normal 4 4 4 8 3" xfId="13204" xr:uid="{3C918C96-E3DE-4E3C-9458-62887FEC0AC3}"/>
    <cellStyle name="Normal 4 4 4 9" xfId="17421" xr:uid="{E443E1B1-DEE6-40C2-930F-98D70BC1EAD6}"/>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24198" xr:uid="{388B1D58-6B06-447B-A649-8728E97FC1AF}"/>
    <cellStyle name="Normal 4 4 5 2 2 2 3" xfId="15764" xr:uid="{1DCEAADD-918A-4AA4-AB81-EEEE0FC0B1D0}"/>
    <cellStyle name="Normal 4 4 5 2 2 3" xfId="19981" xr:uid="{DF8A463E-26ED-4384-ABBD-0AAE55667F25}"/>
    <cellStyle name="Normal 4 4 5 2 2 4" xfId="11547" xr:uid="{1B99720D-A743-47F3-A9A1-F3569F368B57}"/>
    <cellStyle name="Normal 4 4 5 2 3" xfId="5181" xr:uid="{00000000-0005-0000-0000-0000E0150000}"/>
    <cellStyle name="Normal 4 4 5 2 3 2" xfId="22053" xr:uid="{49012C8D-E673-484B-A6F5-7114B1DCE858}"/>
    <cellStyle name="Normal 4 4 5 2 3 3" xfId="13619" xr:uid="{7D30BA84-9C4D-423F-AAED-E313B3FC7CCD}"/>
    <cellStyle name="Normal 4 4 5 2 4" xfId="17836" xr:uid="{CB53F49A-EDDD-45A8-BA23-521475766479}"/>
    <cellStyle name="Normal 4 4 5 2 5" xfId="9402" xr:uid="{CFF9D156-11E6-431A-A824-2257681039B5}"/>
    <cellStyle name="Normal 4 4 5 3" xfId="1286" xr:uid="{00000000-0005-0000-0000-0000E1150000}"/>
    <cellStyle name="Normal 4 4 5 3 2" xfId="3516" xr:uid="{00000000-0005-0000-0000-0000E2150000}"/>
    <cellStyle name="Normal 4 4 5 3 2 2" xfId="7739" xr:uid="{00000000-0005-0000-0000-0000E3150000}"/>
    <cellStyle name="Normal 4 4 5 3 2 2 2" xfId="24611" xr:uid="{C2C6C2BF-9088-49DB-B384-CB6B7241908E}"/>
    <cellStyle name="Normal 4 4 5 3 2 2 3" xfId="16177" xr:uid="{EE6D7C55-CF79-4196-9E92-2A55DDBE69C6}"/>
    <cellStyle name="Normal 4 4 5 3 2 3" xfId="20394" xr:uid="{67C8452E-A767-49B4-9FC5-E5CB381CF1F4}"/>
    <cellStyle name="Normal 4 4 5 3 2 4" xfId="11960" xr:uid="{D2DA3DCE-D6C1-460C-8363-6CF70054C4B7}"/>
    <cellStyle name="Normal 4 4 5 3 3" xfId="5594" xr:uid="{00000000-0005-0000-0000-0000E4150000}"/>
    <cellStyle name="Normal 4 4 5 3 3 2" xfId="22466" xr:uid="{F822208F-1E25-4FAD-AF16-EB93DE3C6C71}"/>
    <cellStyle name="Normal 4 4 5 3 3 3" xfId="14032" xr:uid="{3F3B8B74-DA09-4201-9F6A-AAC44351D5B8}"/>
    <cellStyle name="Normal 4 4 5 3 4" xfId="18249" xr:uid="{0035BB87-9B58-4242-8C42-745EEF38C689}"/>
    <cellStyle name="Normal 4 4 5 3 5" xfId="9815" xr:uid="{B47D1664-3A93-4081-8AB7-7C93530FB527}"/>
    <cellStyle name="Normal 4 4 5 4" xfId="1699" xr:uid="{00000000-0005-0000-0000-0000E5150000}"/>
    <cellStyle name="Normal 4 4 5 4 2" xfId="3929" xr:uid="{00000000-0005-0000-0000-0000E6150000}"/>
    <cellStyle name="Normal 4 4 5 4 2 2" xfId="8152" xr:uid="{00000000-0005-0000-0000-0000E7150000}"/>
    <cellStyle name="Normal 4 4 5 4 2 2 2" xfId="25024" xr:uid="{567F3795-D0C9-4EEC-81E9-70D2871B7223}"/>
    <cellStyle name="Normal 4 4 5 4 2 2 3" xfId="16590" xr:uid="{AE83FFEF-821B-4502-B4D4-53C3BAD72ED5}"/>
    <cellStyle name="Normal 4 4 5 4 2 3" xfId="20807" xr:uid="{911DD10C-0C00-422C-A59D-6B6BDB6045A0}"/>
    <cellStyle name="Normal 4 4 5 4 2 4" xfId="12373" xr:uid="{BE496A3E-840A-4818-AD5B-D42995F379BD}"/>
    <cellStyle name="Normal 4 4 5 4 3" xfId="6007" xr:uid="{00000000-0005-0000-0000-0000E8150000}"/>
    <cellStyle name="Normal 4 4 5 4 3 2" xfId="22879" xr:uid="{FA9055C9-8C09-4EC6-8825-29F3024E8A43}"/>
    <cellStyle name="Normal 4 4 5 4 3 3" xfId="14445" xr:uid="{9AEEE138-5E59-4DE4-8CAC-3CD2F58F00B2}"/>
    <cellStyle name="Normal 4 4 5 4 4" xfId="18662" xr:uid="{CBCB5E59-4DD7-44F7-BA64-BDE1991B43B7}"/>
    <cellStyle name="Normal 4 4 5 4 5" xfId="10228" xr:uid="{A4F07097-0C2A-43CF-BB6A-6A9E8054A5E2}"/>
    <cellStyle name="Normal 4 4 5 5" xfId="2113" xr:uid="{00000000-0005-0000-0000-0000E9150000}"/>
    <cellStyle name="Normal 4 4 5 5 2" xfId="4342" xr:uid="{00000000-0005-0000-0000-0000EA150000}"/>
    <cellStyle name="Normal 4 4 5 5 2 2" xfId="8565" xr:uid="{00000000-0005-0000-0000-0000EB150000}"/>
    <cellStyle name="Normal 4 4 5 5 2 2 2" xfId="25437" xr:uid="{038CF605-1896-4F05-8EA7-6D9E67432531}"/>
    <cellStyle name="Normal 4 4 5 5 2 2 3" xfId="17003" xr:uid="{F1971CFC-E29B-48F2-B7DB-C81FBF570F33}"/>
    <cellStyle name="Normal 4 4 5 5 2 3" xfId="21220" xr:uid="{B5CF2ADC-733F-43C6-8DC6-E1D8697FDBA7}"/>
    <cellStyle name="Normal 4 4 5 5 2 4" xfId="12786" xr:uid="{94296E21-B75A-4C41-8A54-38E283E5658E}"/>
    <cellStyle name="Normal 4 4 5 5 3" xfId="6420" xr:uid="{00000000-0005-0000-0000-0000EC150000}"/>
    <cellStyle name="Normal 4 4 5 5 3 2" xfId="23292" xr:uid="{D1EFC561-9E53-4E97-BD3A-16B3F1F774EA}"/>
    <cellStyle name="Normal 4 4 5 5 3 3" xfId="14858" xr:uid="{BACD21E6-C4B4-4AD7-892A-EB5AB37C598F}"/>
    <cellStyle name="Normal 4 4 5 5 4" xfId="19075" xr:uid="{2D3D47A4-9789-4767-B1D0-7768518F0DBD}"/>
    <cellStyle name="Normal 4 4 5 5 5" xfId="10641" xr:uid="{AFB280F3-A3F4-4B51-9488-05B3F0E0196A}"/>
    <cellStyle name="Normal 4 4 5 6" xfId="2549" xr:uid="{00000000-0005-0000-0000-0000ED150000}"/>
    <cellStyle name="Normal 4 4 5 6 2" xfId="6833" xr:uid="{00000000-0005-0000-0000-0000EE150000}"/>
    <cellStyle name="Normal 4 4 5 6 2 2" xfId="23705" xr:uid="{F96BAFF7-E699-49FD-94DD-022F7E9B7929}"/>
    <cellStyle name="Normal 4 4 5 6 2 3" xfId="15271" xr:uid="{CB2E62CD-44E3-4B8A-B5EF-A39B9DBA7517}"/>
    <cellStyle name="Normal 4 4 5 6 3" xfId="19488" xr:uid="{927AA2F9-719B-4747-887B-C48F1D5C4C28}"/>
    <cellStyle name="Normal 4 4 5 6 4" xfId="11054" xr:uid="{DAD9CE26-58A1-43D3-A1D6-0F3B9140CECC}"/>
    <cellStyle name="Normal 4 4 5 7" xfId="4768" xr:uid="{00000000-0005-0000-0000-0000EF150000}"/>
    <cellStyle name="Normal 4 4 5 7 2" xfId="21640" xr:uid="{1AC40173-30C5-491B-BC12-5BE6DC1E8BB4}"/>
    <cellStyle name="Normal 4 4 5 7 3" xfId="13206" xr:uid="{B71D8E86-924E-4612-82B5-7B53B5EE57F1}"/>
    <cellStyle name="Normal 4 4 5 8" xfId="17423" xr:uid="{F74661A8-9F74-4681-ABB8-3AC09183B147}"/>
    <cellStyle name="Normal 4 4 5 9" xfId="8989" xr:uid="{D05DD1A3-89D9-4466-8FBE-943D108AA944}"/>
    <cellStyle name="Normal 4 4 6" xfId="853" xr:uid="{00000000-0005-0000-0000-0000F0150000}"/>
    <cellStyle name="Normal 4 4 6 2" xfId="3088" xr:uid="{00000000-0005-0000-0000-0000F1150000}"/>
    <cellStyle name="Normal 4 4 6 2 2" xfId="7311" xr:uid="{00000000-0005-0000-0000-0000F2150000}"/>
    <cellStyle name="Normal 4 4 6 2 2 2" xfId="24183" xr:uid="{382387CF-0962-4FDA-97F8-045FE15B1A1B}"/>
    <cellStyle name="Normal 4 4 6 2 2 3" xfId="15749" xr:uid="{7ECAB07F-2A57-43BC-B1CB-DD2C089416DC}"/>
    <cellStyle name="Normal 4 4 6 2 3" xfId="19966" xr:uid="{35C86741-7884-4E24-96CC-CAF7162E16F2}"/>
    <cellStyle name="Normal 4 4 6 2 4" xfId="11532" xr:uid="{F41934D4-E683-4FFF-BDBA-9EA0B2D068C9}"/>
    <cellStyle name="Normal 4 4 6 3" xfId="5166" xr:uid="{00000000-0005-0000-0000-0000F3150000}"/>
    <cellStyle name="Normal 4 4 6 3 2" xfId="22038" xr:uid="{65A5D12B-6382-42C0-A56E-CF988D15CBB1}"/>
    <cellStyle name="Normal 4 4 6 3 3" xfId="13604" xr:uid="{2FB16CC0-D478-45D1-ACFE-36FE4E125C54}"/>
    <cellStyle name="Normal 4 4 6 4" xfId="17821" xr:uid="{796564EE-CB4C-4F3B-8ACA-B0C44EBF0CCE}"/>
    <cellStyle name="Normal 4 4 6 5" xfId="9387" xr:uid="{7401B292-87FB-4DF3-A51C-E4D8EA1DAD18}"/>
    <cellStyle name="Normal 4 4 7" xfId="1271" xr:uid="{00000000-0005-0000-0000-0000F4150000}"/>
    <cellStyle name="Normal 4 4 7 2" xfId="3501" xr:uid="{00000000-0005-0000-0000-0000F5150000}"/>
    <cellStyle name="Normal 4 4 7 2 2" xfId="7724" xr:uid="{00000000-0005-0000-0000-0000F6150000}"/>
    <cellStyle name="Normal 4 4 7 2 2 2" xfId="24596" xr:uid="{443A92BA-3BDF-4043-90F0-F8708D43CADD}"/>
    <cellStyle name="Normal 4 4 7 2 2 3" xfId="16162" xr:uid="{D6FA2099-B926-4667-B2F1-FA30EF9ECD4E}"/>
    <cellStyle name="Normal 4 4 7 2 3" xfId="20379" xr:uid="{4BF86E14-4BD1-4AD2-825C-8FC5CB208BC8}"/>
    <cellStyle name="Normal 4 4 7 2 4" xfId="11945" xr:uid="{0A429A13-8333-40D3-AF5F-CBBD19BD8128}"/>
    <cellStyle name="Normal 4 4 7 3" xfId="5579" xr:uid="{00000000-0005-0000-0000-0000F7150000}"/>
    <cellStyle name="Normal 4 4 7 3 2" xfId="22451" xr:uid="{07F2D7AC-45B1-4DAE-83AE-E5C672115B83}"/>
    <cellStyle name="Normal 4 4 7 3 3" xfId="14017" xr:uid="{DEDFE749-B43A-42C3-897A-27F26AD9BA7C}"/>
    <cellStyle name="Normal 4 4 7 4" xfId="18234" xr:uid="{A9AF2B05-2163-4647-A89E-C7EF97AA7CB8}"/>
    <cellStyle name="Normal 4 4 7 5" xfId="9800" xr:uid="{63A5AC98-2654-48B5-B03A-AB3C3852992B}"/>
    <cellStyle name="Normal 4 4 8" xfId="1684" xr:uid="{00000000-0005-0000-0000-0000F8150000}"/>
    <cellStyle name="Normal 4 4 8 2" xfId="3914" xr:uid="{00000000-0005-0000-0000-0000F9150000}"/>
    <cellStyle name="Normal 4 4 8 2 2" xfId="8137" xr:uid="{00000000-0005-0000-0000-0000FA150000}"/>
    <cellStyle name="Normal 4 4 8 2 2 2" xfId="25009" xr:uid="{1E251332-BC23-437F-BF8C-30EDC687CA0B}"/>
    <cellStyle name="Normal 4 4 8 2 2 3" xfId="16575" xr:uid="{4905C4F2-102A-4CEB-9BD8-B804B60A6ADC}"/>
    <cellStyle name="Normal 4 4 8 2 3" xfId="20792" xr:uid="{75872329-78D0-400E-A683-23320166BCE4}"/>
    <cellStyle name="Normal 4 4 8 2 4" xfId="12358" xr:uid="{77570552-0A01-43BF-ACDF-74C9E7F8DB70}"/>
    <cellStyle name="Normal 4 4 8 3" xfId="5992" xr:uid="{00000000-0005-0000-0000-0000FB150000}"/>
    <cellStyle name="Normal 4 4 8 3 2" xfId="22864" xr:uid="{BB427CCB-AF85-4321-BE07-01659F82BBB3}"/>
    <cellStyle name="Normal 4 4 8 3 3" xfId="14430" xr:uid="{37AC8F9C-BE53-4DA3-AB92-2A02FF3EB5C4}"/>
    <cellStyle name="Normal 4 4 8 4" xfId="18647" xr:uid="{A62718FC-4D6A-4187-AD33-7BA0780A3613}"/>
    <cellStyle name="Normal 4 4 8 5" xfId="10213" xr:uid="{A42ADFEF-6167-4778-A93F-369997B16D5D}"/>
    <cellStyle name="Normal 4 4 9" xfId="2098" xr:uid="{00000000-0005-0000-0000-0000FC150000}"/>
    <cellStyle name="Normal 4 4 9 2" xfId="4327" xr:uid="{00000000-0005-0000-0000-0000FD150000}"/>
    <cellStyle name="Normal 4 4 9 2 2" xfId="8550" xr:uid="{00000000-0005-0000-0000-0000FE150000}"/>
    <cellStyle name="Normal 4 4 9 2 2 2" xfId="25422" xr:uid="{1E5B485B-499E-45CC-B150-5A081C37847D}"/>
    <cellStyle name="Normal 4 4 9 2 2 3" xfId="16988" xr:uid="{B54FC180-97DA-4A38-92D8-3A3ED3907D34}"/>
    <cellStyle name="Normal 4 4 9 2 3" xfId="21205" xr:uid="{7005BAA2-D55E-4B53-9F7E-635AD5EDF1CF}"/>
    <cellStyle name="Normal 4 4 9 2 4" xfId="12771" xr:uid="{9FE5DEB2-0959-4565-BAD2-E1EF107F07CD}"/>
    <cellStyle name="Normal 4 4 9 3" xfId="6405" xr:uid="{00000000-0005-0000-0000-0000FF150000}"/>
    <cellStyle name="Normal 4 4 9 3 2" xfId="23277" xr:uid="{98D992B7-A7B2-4D81-A171-00CDF3DB7741}"/>
    <cellStyle name="Normal 4 4 9 3 3" xfId="14843" xr:uid="{2E9EA795-B742-46EE-A213-0C8D589D5DE6}"/>
    <cellStyle name="Normal 4 4 9 4" xfId="19060" xr:uid="{49FD6D45-6B78-4483-B40A-4FAC59EAEE89}"/>
    <cellStyle name="Normal 4 4 9 5" xfId="10626" xr:uid="{049A9104-81C8-476E-B68F-087F068A89DC}"/>
    <cellStyle name="Normal 4 5" xfId="394" xr:uid="{00000000-0005-0000-0000-000000160000}"/>
    <cellStyle name="Normal 4 6" xfId="395" xr:uid="{00000000-0005-0000-0000-000001160000}"/>
    <cellStyle name="Normal 4 6 10" xfId="4769" xr:uid="{00000000-0005-0000-0000-000002160000}"/>
    <cellStyle name="Normal 4 6 10 2" xfId="21641" xr:uid="{DA655BBB-7D7F-4D08-A187-6F57EF5CCED0}"/>
    <cellStyle name="Normal 4 6 10 3" xfId="13207" xr:uid="{E0A8648C-E617-4470-9481-BE4FDB296948}"/>
    <cellStyle name="Normal 4 6 11" xfId="17424" xr:uid="{C95C1342-AF06-400D-8CBB-FEBF3C000E70}"/>
    <cellStyle name="Normal 4 6 12" xfId="8990" xr:uid="{57971222-DFE8-46C9-AA19-395FC269C927}"/>
    <cellStyle name="Normal 4 6 2" xfId="396" xr:uid="{00000000-0005-0000-0000-000003160000}"/>
    <cellStyle name="Normal 4 6 2 10" xfId="17425" xr:uid="{3705C935-F475-48DE-AAC3-4E3E3AB3AAC7}"/>
    <cellStyle name="Normal 4 6 2 11" xfId="8991" xr:uid="{98390B9A-0DDD-464F-85DF-2DA7513E15DF}"/>
    <cellStyle name="Normal 4 6 2 2" xfId="397" xr:uid="{00000000-0005-0000-0000-000004160000}"/>
    <cellStyle name="Normal 4 6 2 2 10" xfId="8992" xr:uid="{C00362E2-09E2-447D-A96B-36F61D105E4E}"/>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24202" xr:uid="{340B1411-22E5-406F-A7DA-357D7B90B1D1}"/>
    <cellStyle name="Normal 4 6 2 2 2 2 2 2 3" xfId="15768" xr:uid="{34DB8ECA-A6DA-4ECF-ABE9-5E3CD1FC8720}"/>
    <cellStyle name="Normal 4 6 2 2 2 2 2 3" xfId="19985" xr:uid="{D8A756AF-C906-42F2-BF03-83941E6BC928}"/>
    <cellStyle name="Normal 4 6 2 2 2 2 2 4" xfId="11551" xr:uid="{F58C9EE7-A7D2-4F11-8059-95B9713BE4E1}"/>
    <cellStyle name="Normal 4 6 2 2 2 2 3" xfId="5185" xr:uid="{00000000-0005-0000-0000-000009160000}"/>
    <cellStyle name="Normal 4 6 2 2 2 2 3 2" xfId="22057" xr:uid="{4F13F478-AE7C-4E69-8FCB-505B66C5D49E}"/>
    <cellStyle name="Normal 4 6 2 2 2 2 3 3" xfId="13623" xr:uid="{199AD791-43E7-493C-B9FD-880E4D07298D}"/>
    <cellStyle name="Normal 4 6 2 2 2 2 4" xfId="17840" xr:uid="{C4D7B76A-FB60-42BF-AC05-195352EC9F0B}"/>
    <cellStyle name="Normal 4 6 2 2 2 2 5" xfId="9406" xr:uid="{BBA747B5-3855-4785-B990-4BE5FADE7023}"/>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24615" xr:uid="{8582245C-49C3-4B94-97C4-3907A4B104D6}"/>
    <cellStyle name="Normal 4 6 2 2 2 3 2 2 3" xfId="16181" xr:uid="{3754B1AD-5BF1-4C56-B327-D9051125DBED}"/>
    <cellStyle name="Normal 4 6 2 2 2 3 2 3" xfId="20398" xr:uid="{0B2E20F2-589B-4FC1-A390-6713A538C4AB}"/>
    <cellStyle name="Normal 4 6 2 2 2 3 2 4" xfId="11964" xr:uid="{61660A4F-530F-41BD-A500-6C4BDB62C658}"/>
    <cellStyle name="Normal 4 6 2 2 2 3 3" xfId="5598" xr:uid="{00000000-0005-0000-0000-00000D160000}"/>
    <cellStyle name="Normal 4 6 2 2 2 3 3 2" xfId="22470" xr:uid="{A136B50D-C5D0-478B-A73B-CB05542B36FB}"/>
    <cellStyle name="Normal 4 6 2 2 2 3 3 3" xfId="14036" xr:uid="{C2E75B40-D00A-4836-9EAD-A58DE33C4299}"/>
    <cellStyle name="Normal 4 6 2 2 2 3 4" xfId="18253" xr:uid="{8F42EF0F-B9CC-4DD7-8C55-0EF14E0719C0}"/>
    <cellStyle name="Normal 4 6 2 2 2 3 5" xfId="9819" xr:uid="{3932E4CE-481C-43F3-B039-3FD68E0703C6}"/>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25028" xr:uid="{747DCF50-E0EE-4132-8B53-9E5A9B9D15EA}"/>
    <cellStyle name="Normal 4 6 2 2 2 4 2 2 3" xfId="16594" xr:uid="{2E5849B5-F4FB-41DC-B6D6-B89D195ADAF2}"/>
    <cellStyle name="Normal 4 6 2 2 2 4 2 3" xfId="20811" xr:uid="{76E17489-E32B-4F1E-9168-1E68D48C5900}"/>
    <cellStyle name="Normal 4 6 2 2 2 4 2 4" xfId="12377" xr:uid="{1FC049AB-6B99-481B-93A3-97F3EB95E76B}"/>
    <cellStyle name="Normal 4 6 2 2 2 4 3" xfId="6011" xr:uid="{00000000-0005-0000-0000-000011160000}"/>
    <cellStyle name="Normal 4 6 2 2 2 4 3 2" xfId="22883" xr:uid="{6BA7DB44-FAC1-44AE-AFB9-48A6577D0D94}"/>
    <cellStyle name="Normal 4 6 2 2 2 4 3 3" xfId="14449" xr:uid="{9C436845-F152-402B-8B01-3688131CD83F}"/>
    <cellStyle name="Normal 4 6 2 2 2 4 4" xfId="18666" xr:uid="{F7E05AAA-9D80-41AA-A706-6D39198B2B7F}"/>
    <cellStyle name="Normal 4 6 2 2 2 4 5" xfId="10232" xr:uid="{F2D2BAA8-503B-473B-8782-06395246E7C3}"/>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25441" xr:uid="{2BF43219-3DF3-48DB-945B-69E09C1A3E56}"/>
    <cellStyle name="Normal 4 6 2 2 2 5 2 2 3" xfId="17007" xr:uid="{2B0705CA-2CA5-4F00-B33D-14EE346A38FB}"/>
    <cellStyle name="Normal 4 6 2 2 2 5 2 3" xfId="21224" xr:uid="{9D7EBC18-093C-4172-A5FA-0862680BC965}"/>
    <cellStyle name="Normal 4 6 2 2 2 5 2 4" xfId="12790" xr:uid="{690F09CA-B488-487D-BB08-CEB961FD7205}"/>
    <cellStyle name="Normal 4 6 2 2 2 5 3" xfId="6424" xr:uid="{00000000-0005-0000-0000-000015160000}"/>
    <cellStyle name="Normal 4 6 2 2 2 5 3 2" xfId="23296" xr:uid="{687E6A44-5E73-4F9B-8D43-1C3E529DF060}"/>
    <cellStyle name="Normal 4 6 2 2 2 5 3 3" xfId="14862" xr:uid="{2FB9E51F-BEDF-48A9-A9BB-7C2B0D86A9DD}"/>
    <cellStyle name="Normal 4 6 2 2 2 5 4" xfId="19079" xr:uid="{F50F8EF4-B5E8-4C6B-AC43-CF5BAAE49C11}"/>
    <cellStyle name="Normal 4 6 2 2 2 5 5" xfId="10645" xr:uid="{EA77DF5F-6AEB-4C1A-82E0-C4BE6242DD58}"/>
    <cellStyle name="Normal 4 6 2 2 2 6" xfId="2553" xr:uid="{00000000-0005-0000-0000-000016160000}"/>
    <cellStyle name="Normal 4 6 2 2 2 6 2" xfId="6837" xr:uid="{00000000-0005-0000-0000-000017160000}"/>
    <cellStyle name="Normal 4 6 2 2 2 6 2 2" xfId="23709" xr:uid="{E907B07A-5A33-4589-B97D-4B288A97EB54}"/>
    <cellStyle name="Normal 4 6 2 2 2 6 2 3" xfId="15275" xr:uid="{C56C248C-DAB4-473C-950C-6676F1FB219D}"/>
    <cellStyle name="Normal 4 6 2 2 2 6 3" xfId="19492" xr:uid="{73AF6603-9140-41FE-AEEC-9CF59EB7B559}"/>
    <cellStyle name="Normal 4 6 2 2 2 6 4" xfId="11058" xr:uid="{95C197F8-72B7-447C-A6F5-671AB5D9E29A}"/>
    <cellStyle name="Normal 4 6 2 2 2 7" xfId="4772" xr:uid="{00000000-0005-0000-0000-000018160000}"/>
    <cellStyle name="Normal 4 6 2 2 2 7 2" xfId="21644" xr:uid="{14A24A5C-8973-42A6-8321-60D814A08270}"/>
    <cellStyle name="Normal 4 6 2 2 2 7 3" xfId="13210" xr:uid="{DEEC54D5-7569-41DF-AB26-6F9B2C9DE0C2}"/>
    <cellStyle name="Normal 4 6 2 2 2 8" xfId="17427" xr:uid="{787B4FFA-3C52-45A5-BD59-0D6D59E62722}"/>
    <cellStyle name="Normal 4 6 2 2 2 9" xfId="8993" xr:uid="{3C19D7A1-0695-48D7-9E76-200E6E30D396}"/>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24201" xr:uid="{2A836FD9-EC2B-45E7-9B4F-03B636817BB9}"/>
    <cellStyle name="Normal 4 6 2 2 3 2 2 3" xfId="15767" xr:uid="{800D607B-5AE7-4184-9AF7-A8471FF0CF8A}"/>
    <cellStyle name="Normal 4 6 2 2 3 2 3" xfId="19984" xr:uid="{0166C399-3CFE-4ACF-B9C3-8CCC497CEA86}"/>
    <cellStyle name="Normal 4 6 2 2 3 2 4" xfId="11550" xr:uid="{5451B52B-0200-4552-B2D8-8CFD86036DEB}"/>
    <cellStyle name="Normal 4 6 2 2 3 3" xfId="5184" xr:uid="{00000000-0005-0000-0000-00001C160000}"/>
    <cellStyle name="Normal 4 6 2 2 3 3 2" xfId="22056" xr:uid="{A31D173F-5D4F-4F41-B5A8-6DA32BBC6634}"/>
    <cellStyle name="Normal 4 6 2 2 3 3 3" xfId="13622" xr:uid="{54D67868-08DB-44CD-ABF9-1C0755FADCAF}"/>
    <cellStyle name="Normal 4 6 2 2 3 4" xfId="17839" xr:uid="{7BD4B3BA-D0CA-46CB-A8DC-06F87FD05E87}"/>
    <cellStyle name="Normal 4 6 2 2 3 5" xfId="9405" xr:uid="{C82411E8-C6BA-40CE-A0D9-71F39B3DB44A}"/>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24614" xr:uid="{7A8574EA-D443-4993-9C35-8A3C19DC7F9B}"/>
    <cellStyle name="Normal 4 6 2 2 4 2 2 3" xfId="16180" xr:uid="{919A3A28-BB4D-4BF7-AEFC-9BDCFFE83FEE}"/>
    <cellStyle name="Normal 4 6 2 2 4 2 3" xfId="20397" xr:uid="{9D4A67C1-5531-487A-A6E5-240019668073}"/>
    <cellStyle name="Normal 4 6 2 2 4 2 4" xfId="11963" xr:uid="{7B9CC3D3-099C-404B-B505-D30F4E0FB703}"/>
    <cellStyle name="Normal 4 6 2 2 4 3" xfId="5597" xr:uid="{00000000-0005-0000-0000-000020160000}"/>
    <cellStyle name="Normal 4 6 2 2 4 3 2" xfId="22469" xr:uid="{892BE5C4-CD6B-4257-B15D-91B3525723EE}"/>
    <cellStyle name="Normal 4 6 2 2 4 3 3" xfId="14035" xr:uid="{B6885113-25A9-4808-AE8F-73198B321C28}"/>
    <cellStyle name="Normal 4 6 2 2 4 4" xfId="18252" xr:uid="{90C0D9B1-BC00-45E7-9356-9C4AEC0E0632}"/>
    <cellStyle name="Normal 4 6 2 2 4 5" xfId="9818" xr:uid="{782FAE5A-70F4-4862-8037-D1F2EA4D9EC6}"/>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25027" xr:uid="{DD6FA785-13CA-42C6-BA54-5418C66E553B}"/>
    <cellStyle name="Normal 4 6 2 2 5 2 2 3" xfId="16593" xr:uid="{F4921A92-35A1-482C-95CB-927A1D09358D}"/>
    <cellStyle name="Normal 4 6 2 2 5 2 3" xfId="20810" xr:uid="{DC9EC8EA-6A5E-4503-B9BC-9909C7A4F111}"/>
    <cellStyle name="Normal 4 6 2 2 5 2 4" xfId="12376" xr:uid="{5B4F9984-0978-4DFF-B6CC-6C0225EB0050}"/>
    <cellStyle name="Normal 4 6 2 2 5 3" xfId="6010" xr:uid="{00000000-0005-0000-0000-000024160000}"/>
    <cellStyle name="Normal 4 6 2 2 5 3 2" xfId="22882" xr:uid="{82C3EA3F-9861-49AB-BBCD-CDA6D8E4CF4B}"/>
    <cellStyle name="Normal 4 6 2 2 5 3 3" xfId="14448" xr:uid="{6CA6E02C-DF77-41D0-90C5-1EFEE854E8E6}"/>
    <cellStyle name="Normal 4 6 2 2 5 4" xfId="18665" xr:uid="{B58B878F-AFF3-4D2C-9DF5-286E23B25700}"/>
    <cellStyle name="Normal 4 6 2 2 5 5" xfId="10231" xr:uid="{0AC89D0C-4A44-47CE-AA0F-8CA2FA0967F6}"/>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25440" xr:uid="{E21E850B-DB35-4199-B7DF-F56B2A62480A}"/>
    <cellStyle name="Normal 4 6 2 2 6 2 2 3" xfId="17006" xr:uid="{52463C2A-A08C-40C1-9ABF-EF02D5D856B1}"/>
    <cellStyle name="Normal 4 6 2 2 6 2 3" xfId="21223" xr:uid="{6D0AA977-0738-4C8C-9AB3-7E4F9FDE5AA2}"/>
    <cellStyle name="Normal 4 6 2 2 6 2 4" xfId="12789" xr:uid="{76A96DB4-280B-4DEA-803A-52D5F59F4F62}"/>
    <cellStyle name="Normal 4 6 2 2 6 3" xfId="6423" xr:uid="{00000000-0005-0000-0000-000028160000}"/>
    <cellStyle name="Normal 4 6 2 2 6 3 2" xfId="23295" xr:uid="{1F6C0584-CC32-49AE-8DEE-F2947DB9E59B}"/>
    <cellStyle name="Normal 4 6 2 2 6 3 3" xfId="14861" xr:uid="{43805F2E-C2E0-4C2C-8415-317529972BC2}"/>
    <cellStyle name="Normal 4 6 2 2 6 4" xfId="19078" xr:uid="{8AE6CE5E-3E45-4BBA-874F-8DA9D99A709A}"/>
    <cellStyle name="Normal 4 6 2 2 6 5" xfId="10644" xr:uid="{94839D00-B58A-47F0-B3E8-BC752D7B0FD5}"/>
    <cellStyle name="Normal 4 6 2 2 7" xfId="2552" xr:uid="{00000000-0005-0000-0000-000029160000}"/>
    <cellStyle name="Normal 4 6 2 2 7 2" xfId="6836" xr:uid="{00000000-0005-0000-0000-00002A160000}"/>
    <cellStyle name="Normal 4 6 2 2 7 2 2" xfId="23708" xr:uid="{5756AD8E-A8AF-435D-AC54-523FED531FBC}"/>
    <cellStyle name="Normal 4 6 2 2 7 2 3" xfId="15274" xr:uid="{FE7D3625-591F-4B63-B03D-D43811968713}"/>
    <cellStyle name="Normal 4 6 2 2 7 3" xfId="19491" xr:uid="{5C1B1301-6079-49BF-BC72-F0DBA89073D5}"/>
    <cellStyle name="Normal 4 6 2 2 7 4" xfId="11057" xr:uid="{F34FEE4D-6600-44E3-9E75-3CF53F583280}"/>
    <cellStyle name="Normal 4 6 2 2 8" xfId="4771" xr:uid="{00000000-0005-0000-0000-00002B160000}"/>
    <cellStyle name="Normal 4 6 2 2 8 2" xfId="21643" xr:uid="{63D99F5A-40E6-4E13-B4A2-C7266FAC0617}"/>
    <cellStyle name="Normal 4 6 2 2 8 3" xfId="13209" xr:uid="{8DD713A6-AD36-4545-91D2-FED091924220}"/>
    <cellStyle name="Normal 4 6 2 2 9" xfId="17426" xr:uid="{269E9DD8-2530-4D3D-887B-0BF92E9EC9CA}"/>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24203" xr:uid="{C4D23792-8E44-483B-A576-AF3C3D5120F9}"/>
    <cellStyle name="Normal 4 6 2 3 2 2 2 3" xfId="15769" xr:uid="{27FAD659-9331-4783-BB7E-2BA2C9E0C9DC}"/>
    <cellStyle name="Normal 4 6 2 3 2 2 3" xfId="19986" xr:uid="{4D830324-8D74-4991-B51F-B62C64434E18}"/>
    <cellStyle name="Normal 4 6 2 3 2 2 4" xfId="11552" xr:uid="{E08A358A-0098-481D-BD26-B8489CEEA0A0}"/>
    <cellStyle name="Normal 4 6 2 3 2 3" xfId="5186" xr:uid="{00000000-0005-0000-0000-000030160000}"/>
    <cellStyle name="Normal 4 6 2 3 2 3 2" xfId="22058" xr:uid="{2F0BB787-B479-4B25-8389-4E73F040CC49}"/>
    <cellStyle name="Normal 4 6 2 3 2 3 3" xfId="13624" xr:uid="{947460E5-CB74-44D2-9E3B-47E8EB74510E}"/>
    <cellStyle name="Normal 4 6 2 3 2 4" xfId="17841" xr:uid="{959E579F-9100-492C-A4DC-31AEE05DAD8F}"/>
    <cellStyle name="Normal 4 6 2 3 2 5" xfId="9407" xr:uid="{702E7A3E-047E-4059-97D5-95247804B4EC}"/>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24616" xr:uid="{E8C8E1B5-0CE5-4F2D-930F-4EF0113B86B4}"/>
    <cellStyle name="Normal 4 6 2 3 3 2 2 3" xfId="16182" xr:uid="{E1C7EE27-5C96-4E7E-8555-2CF22B71C3EA}"/>
    <cellStyle name="Normal 4 6 2 3 3 2 3" xfId="20399" xr:uid="{7E05342B-FF15-45A2-A49C-845CD9E0A6AD}"/>
    <cellStyle name="Normal 4 6 2 3 3 2 4" xfId="11965" xr:uid="{A46BB5C5-737A-401D-AA20-325A8DE4BFD8}"/>
    <cellStyle name="Normal 4 6 2 3 3 3" xfId="5599" xr:uid="{00000000-0005-0000-0000-000034160000}"/>
    <cellStyle name="Normal 4 6 2 3 3 3 2" xfId="22471" xr:uid="{0B7E7E94-B12F-4960-93B9-37F13D3CA3F0}"/>
    <cellStyle name="Normal 4 6 2 3 3 3 3" xfId="14037" xr:uid="{79F393A3-896C-4B2A-B5E1-A7833E393D1A}"/>
    <cellStyle name="Normal 4 6 2 3 3 4" xfId="18254" xr:uid="{27B003EC-2883-41D1-B014-52A632E8FADF}"/>
    <cellStyle name="Normal 4 6 2 3 3 5" xfId="9820" xr:uid="{C7F84B36-A77F-4369-82F1-0AB75E97138F}"/>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25029" xr:uid="{41A49C6E-EB86-4FD8-A6F1-B18B20F27809}"/>
    <cellStyle name="Normal 4 6 2 3 4 2 2 3" xfId="16595" xr:uid="{3E5859DB-80E7-465F-8EF4-DDE2318FA6B2}"/>
    <cellStyle name="Normal 4 6 2 3 4 2 3" xfId="20812" xr:uid="{1AD3CE97-BB46-44CC-9D7B-D8CF1775F269}"/>
    <cellStyle name="Normal 4 6 2 3 4 2 4" xfId="12378" xr:uid="{419F4C09-A75D-4FC0-BC4A-CA596A31B454}"/>
    <cellStyle name="Normal 4 6 2 3 4 3" xfId="6012" xr:uid="{00000000-0005-0000-0000-000038160000}"/>
    <cellStyle name="Normal 4 6 2 3 4 3 2" xfId="22884" xr:uid="{7116DACD-5B39-4B9B-860E-49DD1DEA62B5}"/>
    <cellStyle name="Normal 4 6 2 3 4 3 3" xfId="14450" xr:uid="{1D5687FA-E4E9-4622-957F-7958A5181966}"/>
    <cellStyle name="Normal 4 6 2 3 4 4" xfId="18667" xr:uid="{D20411D1-2800-4EEC-ACAF-26CE29396F38}"/>
    <cellStyle name="Normal 4 6 2 3 4 5" xfId="10233" xr:uid="{EAAC3112-23E5-4073-B160-5495359141F3}"/>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25442" xr:uid="{CCB3D225-BE08-4C70-BA96-91AABC0436DC}"/>
    <cellStyle name="Normal 4 6 2 3 5 2 2 3" xfId="17008" xr:uid="{91AE8B4A-71E7-429D-BC0C-08A225ADC934}"/>
    <cellStyle name="Normal 4 6 2 3 5 2 3" xfId="21225" xr:uid="{102CE517-570E-4D75-B0C5-4FF7984F0EE2}"/>
    <cellStyle name="Normal 4 6 2 3 5 2 4" xfId="12791" xr:uid="{DDA1B5FE-C152-4EA3-A9AF-145ECDA0FD97}"/>
    <cellStyle name="Normal 4 6 2 3 5 3" xfId="6425" xr:uid="{00000000-0005-0000-0000-00003C160000}"/>
    <cellStyle name="Normal 4 6 2 3 5 3 2" xfId="23297" xr:uid="{CD623877-45F1-4108-BE4E-22D2F8BB7257}"/>
    <cellStyle name="Normal 4 6 2 3 5 3 3" xfId="14863" xr:uid="{256EFE62-A546-4E31-BF1C-3AD2CEF7249B}"/>
    <cellStyle name="Normal 4 6 2 3 5 4" xfId="19080" xr:uid="{CEE53286-75B9-4569-A08A-DD539265723E}"/>
    <cellStyle name="Normal 4 6 2 3 5 5" xfId="10646" xr:uid="{3C6C0987-908D-42C2-911E-78EA07713B4C}"/>
    <cellStyle name="Normal 4 6 2 3 6" xfId="2554" xr:uid="{00000000-0005-0000-0000-00003D160000}"/>
    <cellStyle name="Normal 4 6 2 3 6 2" xfId="6838" xr:uid="{00000000-0005-0000-0000-00003E160000}"/>
    <cellStyle name="Normal 4 6 2 3 6 2 2" xfId="23710" xr:uid="{DB1FE590-7A4C-47B4-AFFF-6D9FF6F993E9}"/>
    <cellStyle name="Normal 4 6 2 3 6 2 3" xfId="15276" xr:uid="{55B0A844-DE7C-441E-A6A5-541F0E0DAA8A}"/>
    <cellStyle name="Normal 4 6 2 3 6 3" xfId="19493" xr:uid="{1792BCD1-665C-49EE-8AB4-E4312627FFD7}"/>
    <cellStyle name="Normal 4 6 2 3 6 4" xfId="11059" xr:uid="{6EDF8370-EA71-4DEA-980A-F3A42F918B6D}"/>
    <cellStyle name="Normal 4 6 2 3 7" xfId="4773" xr:uid="{00000000-0005-0000-0000-00003F160000}"/>
    <cellStyle name="Normal 4 6 2 3 7 2" xfId="21645" xr:uid="{B327C7B3-B09B-40D6-94FF-A918D9C45F5E}"/>
    <cellStyle name="Normal 4 6 2 3 7 3" xfId="13211" xr:uid="{3BBC6F0B-C59F-41E0-9D71-002D5BA79038}"/>
    <cellStyle name="Normal 4 6 2 3 8" xfId="17428" xr:uid="{699AEC12-1BC8-4432-94A0-A9B46556C1AE}"/>
    <cellStyle name="Normal 4 6 2 3 9" xfId="8994" xr:uid="{A0ACCAAA-9ABC-43D7-82AE-BD9AE1BFE918}"/>
    <cellStyle name="Normal 4 6 2 4" xfId="870" xr:uid="{00000000-0005-0000-0000-000040160000}"/>
    <cellStyle name="Normal 4 6 2 4 2" xfId="3105" xr:uid="{00000000-0005-0000-0000-000041160000}"/>
    <cellStyle name="Normal 4 6 2 4 2 2" xfId="7328" xr:uid="{00000000-0005-0000-0000-000042160000}"/>
    <cellStyle name="Normal 4 6 2 4 2 2 2" xfId="24200" xr:uid="{A0E3E688-5397-46D2-AC9E-A5D3F3A8B187}"/>
    <cellStyle name="Normal 4 6 2 4 2 2 3" xfId="15766" xr:uid="{0BC8CC70-3CDC-4E94-85BD-59A7DFEB6C1E}"/>
    <cellStyle name="Normal 4 6 2 4 2 3" xfId="19983" xr:uid="{F4B143A8-377D-4765-B68C-DE8526F2B602}"/>
    <cellStyle name="Normal 4 6 2 4 2 4" xfId="11549" xr:uid="{25032A1C-34B2-4F4C-827E-2C7384C53855}"/>
    <cellStyle name="Normal 4 6 2 4 3" xfId="5183" xr:uid="{00000000-0005-0000-0000-000043160000}"/>
    <cellStyle name="Normal 4 6 2 4 3 2" xfId="22055" xr:uid="{B0C5A725-E136-4330-A20D-47B35584DC42}"/>
    <cellStyle name="Normal 4 6 2 4 3 3" xfId="13621" xr:uid="{91F4E65A-F4FA-494B-A3D8-E7E6F6D37CC7}"/>
    <cellStyle name="Normal 4 6 2 4 4" xfId="17838" xr:uid="{FC83C39F-5585-4432-ACED-F25F349875CA}"/>
    <cellStyle name="Normal 4 6 2 4 5" xfId="9404" xr:uid="{7767227F-5DB1-476A-BD51-124A2068C975}"/>
    <cellStyle name="Normal 4 6 2 5" xfId="1288" xr:uid="{00000000-0005-0000-0000-000044160000}"/>
    <cellStyle name="Normal 4 6 2 5 2" xfId="3518" xr:uid="{00000000-0005-0000-0000-000045160000}"/>
    <cellStyle name="Normal 4 6 2 5 2 2" xfId="7741" xr:uid="{00000000-0005-0000-0000-000046160000}"/>
    <cellStyle name="Normal 4 6 2 5 2 2 2" xfId="24613" xr:uid="{FE521797-8EC2-4B82-B8FB-3E70889F0BD5}"/>
    <cellStyle name="Normal 4 6 2 5 2 2 3" xfId="16179" xr:uid="{763F144C-27A3-4483-925D-CE28E83BE25D}"/>
    <cellStyle name="Normal 4 6 2 5 2 3" xfId="20396" xr:uid="{89A48FCB-4B46-4933-A204-AB6CF3073B86}"/>
    <cellStyle name="Normal 4 6 2 5 2 4" xfId="11962" xr:uid="{745887C3-6E2E-48D6-9D7A-923A22A9AC15}"/>
    <cellStyle name="Normal 4 6 2 5 3" xfId="5596" xr:uid="{00000000-0005-0000-0000-000047160000}"/>
    <cellStyle name="Normal 4 6 2 5 3 2" xfId="22468" xr:uid="{7A515928-9FB8-43CE-85C0-9D6D39FD509C}"/>
    <cellStyle name="Normal 4 6 2 5 3 3" xfId="14034" xr:uid="{101A9B2B-6E8B-468C-B888-82855D34E18B}"/>
    <cellStyle name="Normal 4 6 2 5 4" xfId="18251" xr:uid="{6C4E06B0-51CB-496E-8D97-5B32F23C018B}"/>
    <cellStyle name="Normal 4 6 2 5 5" xfId="9817" xr:uid="{A5D114A5-2632-4D6C-BA6E-406235A38FA3}"/>
    <cellStyle name="Normal 4 6 2 6" xfId="1701" xr:uid="{00000000-0005-0000-0000-000048160000}"/>
    <cellStyle name="Normal 4 6 2 6 2" xfId="3931" xr:uid="{00000000-0005-0000-0000-000049160000}"/>
    <cellStyle name="Normal 4 6 2 6 2 2" xfId="8154" xr:uid="{00000000-0005-0000-0000-00004A160000}"/>
    <cellStyle name="Normal 4 6 2 6 2 2 2" xfId="25026" xr:uid="{5BD60239-F16F-4778-A66B-CD6A5964FD99}"/>
    <cellStyle name="Normal 4 6 2 6 2 2 3" xfId="16592" xr:uid="{43AD055A-C387-4E76-8109-E6DA9158E13B}"/>
    <cellStyle name="Normal 4 6 2 6 2 3" xfId="20809" xr:uid="{79131637-9EAB-4630-95C9-65110130D82F}"/>
    <cellStyle name="Normal 4 6 2 6 2 4" xfId="12375" xr:uid="{891F5481-DC65-4C7E-A5C8-338E8982EB60}"/>
    <cellStyle name="Normal 4 6 2 6 3" xfId="6009" xr:uid="{00000000-0005-0000-0000-00004B160000}"/>
    <cellStyle name="Normal 4 6 2 6 3 2" xfId="22881" xr:uid="{4F7C20CA-47FA-4317-ACCC-13869B6B968C}"/>
    <cellStyle name="Normal 4 6 2 6 3 3" xfId="14447" xr:uid="{B83972D7-1393-4C68-AFE1-4C67AC3C08B2}"/>
    <cellStyle name="Normal 4 6 2 6 4" xfId="18664" xr:uid="{B940D59C-6FC2-4651-B431-FF4A8CDA3EFE}"/>
    <cellStyle name="Normal 4 6 2 6 5" xfId="10230" xr:uid="{50102318-9D59-4822-A8FD-5FAFC0D657A8}"/>
    <cellStyle name="Normal 4 6 2 7" xfId="2115" xr:uid="{00000000-0005-0000-0000-00004C160000}"/>
    <cellStyle name="Normal 4 6 2 7 2" xfId="4344" xr:uid="{00000000-0005-0000-0000-00004D160000}"/>
    <cellStyle name="Normal 4 6 2 7 2 2" xfId="8567" xr:uid="{00000000-0005-0000-0000-00004E160000}"/>
    <cellStyle name="Normal 4 6 2 7 2 2 2" xfId="25439" xr:uid="{6CD1FA66-A4F6-40D6-B446-F3BC58C8A5B5}"/>
    <cellStyle name="Normal 4 6 2 7 2 2 3" xfId="17005" xr:uid="{837EF0FB-93FA-4FE9-A4EC-107694EC0ED9}"/>
    <cellStyle name="Normal 4 6 2 7 2 3" xfId="21222" xr:uid="{F6237D1B-C644-40F3-ABE9-AAFF98E16916}"/>
    <cellStyle name="Normal 4 6 2 7 2 4" xfId="12788" xr:uid="{C01B6D28-C0A4-434A-A710-C26CE16277D6}"/>
    <cellStyle name="Normal 4 6 2 7 3" xfId="6422" xr:uid="{00000000-0005-0000-0000-00004F160000}"/>
    <cellStyle name="Normal 4 6 2 7 3 2" xfId="23294" xr:uid="{176A4091-9C57-4E10-86E6-C52DE431AEB2}"/>
    <cellStyle name="Normal 4 6 2 7 3 3" xfId="14860" xr:uid="{E8ECDCF8-A73B-4E10-96CC-92481B54675A}"/>
    <cellStyle name="Normal 4 6 2 7 4" xfId="19077" xr:uid="{17E338B8-CE99-489D-9E6F-68024E4C00CE}"/>
    <cellStyle name="Normal 4 6 2 7 5" xfId="10643" xr:uid="{D03C62C8-7233-45E4-BC62-E343847AD16E}"/>
    <cellStyle name="Normal 4 6 2 8" xfId="2551" xr:uid="{00000000-0005-0000-0000-000050160000}"/>
    <cellStyle name="Normal 4 6 2 8 2" xfId="6835" xr:uid="{00000000-0005-0000-0000-000051160000}"/>
    <cellStyle name="Normal 4 6 2 8 2 2" xfId="23707" xr:uid="{1C0E932C-7F96-45F0-A114-DBECA3559FDB}"/>
    <cellStyle name="Normal 4 6 2 8 2 3" xfId="15273" xr:uid="{E6B56705-54EC-4325-8A7E-316F9ABD3EAF}"/>
    <cellStyle name="Normal 4 6 2 8 3" xfId="19490" xr:uid="{8EBB48E1-658D-4574-9061-E296696895A5}"/>
    <cellStyle name="Normal 4 6 2 8 4" xfId="11056" xr:uid="{AADAB8F5-C284-4ED6-8166-9A7421DFBBB6}"/>
    <cellStyle name="Normal 4 6 2 9" xfId="4770" xr:uid="{00000000-0005-0000-0000-000052160000}"/>
    <cellStyle name="Normal 4 6 2 9 2" xfId="21642" xr:uid="{738BA896-C20B-43BF-AAFC-C3E49D175AAA}"/>
    <cellStyle name="Normal 4 6 2 9 3" xfId="13208" xr:uid="{C3CB9322-2F45-4735-B4D2-6D3051654075}"/>
    <cellStyle name="Normal 4 6 3" xfId="400" xr:uid="{00000000-0005-0000-0000-000053160000}"/>
    <cellStyle name="Normal 4 6 3 10" xfId="8995" xr:uid="{4D08A042-7716-43D0-95CD-B1A7830A9574}"/>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24205" xr:uid="{E09F6543-6C35-448B-8B01-9A67BEAD729D}"/>
    <cellStyle name="Normal 4 6 3 2 2 2 2 3" xfId="15771" xr:uid="{347B940A-0C0A-42E7-8A37-2499E5610073}"/>
    <cellStyle name="Normal 4 6 3 2 2 2 3" xfId="19988" xr:uid="{3F3E5D65-BF68-4B83-85F2-3B474FACEA3A}"/>
    <cellStyle name="Normal 4 6 3 2 2 2 4" xfId="11554" xr:uid="{658E40E9-A04A-4D38-8112-BF522D162AA5}"/>
    <cellStyle name="Normal 4 6 3 2 2 3" xfId="5188" xr:uid="{00000000-0005-0000-0000-000058160000}"/>
    <cellStyle name="Normal 4 6 3 2 2 3 2" xfId="22060" xr:uid="{5DA0BA49-CD02-4720-8F2F-4A7B83FAF2E7}"/>
    <cellStyle name="Normal 4 6 3 2 2 3 3" xfId="13626" xr:uid="{5B0EFFB1-CBCF-47BA-A4A9-3D2CE43566F0}"/>
    <cellStyle name="Normal 4 6 3 2 2 4" xfId="17843" xr:uid="{9ED04CEF-8315-4082-BBE4-DE8A09D34BA3}"/>
    <cellStyle name="Normal 4 6 3 2 2 5" xfId="9409" xr:uid="{A0B6B456-C976-40FF-AAC3-9798A46269CA}"/>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24618" xr:uid="{9F1D50B8-EC83-4308-A04D-3BA9C20E8FFE}"/>
    <cellStyle name="Normal 4 6 3 2 3 2 2 3" xfId="16184" xr:uid="{C013727C-BC3E-4A0C-895A-365AD6AA6FE5}"/>
    <cellStyle name="Normal 4 6 3 2 3 2 3" xfId="20401" xr:uid="{D58A5555-9DD9-424E-874C-CDB3FEAE6BEE}"/>
    <cellStyle name="Normal 4 6 3 2 3 2 4" xfId="11967" xr:uid="{61D553EF-02A7-4502-A426-998955C72C38}"/>
    <cellStyle name="Normal 4 6 3 2 3 3" xfId="5601" xr:uid="{00000000-0005-0000-0000-00005C160000}"/>
    <cellStyle name="Normal 4 6 3 2 3 3 2" xfId="22473" xr:uid="{B86D9213-D5FC-4FEA-8EA2-84893487B117}"/>
    <cellStyle name="Normal 4 6 3 2 3 3 3" xfId="14039" xr:uid="{C7AA5A9F-9904-4C8E-B468-D21EBAC932FA}"/>
    <cellStyle name="Normal 4 6 3 2 3 4" xfId="18256" xr:uid="{F7EAFE47-E706-4BA5-8D20-42C52D58FB62}"/>
    <cellStyle name="Normal 4 6 3 2 3 5" xfId="9822" xr:uid="{61153B30-9C94-4316-9910-41F7CE98C50E}"/>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25031" xr:uid="{3ED89CBA-AA3A-4646-BA3D-68B42A1715BF}"/>
    <cellStyle name="Normal 4 6 3 2 4 2 2 3" xfId="16597" xr:uid="{64074288-2CDA-447A-83E4-437236B64FCA}"/>
    <cellStyle name="Normal 4 6 3 2 4 2 3" xfId="20814" xr:uid="{963D56E0-04A3-499E-AC30-135D67FE8D86}"/>
    <cellStyle name="Normal 4 6 3 2 4 2 4" xfId="12380" xr:uid="{AB6BA9EB-4C17-41C0-BC4A-A3B318D5212C}"/>
    <cellStyle name="Normal 4 6 3 2 4 3" xfId="6014" xr:uid="{00000000-0005-0000-0000-000060160000}"/>
    <cellStyle name="Normal 4 6 3 2 4 3 2" xfId="22886" xr:uid="{8EA3F44B-B7E5-4273-8AE1-123876E9538D}"/>
    <cellStyle name="Normal 4 6 3 2 4 3 3" xfId="14452" xr:uid="{6DF1B212-5D75-4640-BEA9-0461D43E629F}"/>
    <cellStyle name="Normal 4 6 3 2 4 4" xfId="18669" xr:uid="{71031667-D7A7-4B1D-A199-A30F7A9057E5}"/>
    <cellStyle name="Normal 4 6 3 2 4 5" xfId="10235" xr:uid="{DD2A6351-77ED-49D9-A9B1-F7A27682B534}"/>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25444" xr:uid="{2CC85380-8F36-4878-97EB-D142B6797FE3}"/>
    <cellStyle name="Normal 4 6 3 2 5 2 2 3" xfId="17010" xr:uid="{1D95B5D8-0EA8-49E5-A7F3-EE3E960A641A}"/>
    <cellStyle name="Normal 4 6 3 2 5 2 3" xfId="21227" xr:uid="{AE58062F-68B3-4DA6-B0F2-51099C6EF541}"/>
    <cellStyle name="Normal 4 6 3 2 5 2 4" xfId="12793" xr:uid="{A67BBE09-17DE-4506-992C-78B3C259A425}"/>
    <cellStyle name="Normal 4 6 3 2 5 3" xfId="6427" xr:uid="{00000000-0005-0000-0000-000064160000}"/>
    <cellStyle name="Normal 4 6 3 2 5 3 2" xfId="23299" xr:uid="{FEAB459F-51B5-4A41-A67A-5397E3C64964}"/>
    <cellStyle name="Normal 4 6 3 2 5 3 3" xfId="14865" xr:uid="{2C1F08E6-9676-41FE-8EF2-DCFA9D6D0B63}"/>
    <cellStyle name="Normal 4 6 3 2 5 4" xfId="19082" xr:uid="{F1216D78-559B-40BE-9026-4A3C57D54E57}"/>
    <cellStyle name="Normal 4 6 3 2 5 5" xfId="10648" xr:uid="{E1931897-99AD-4074-95BF-F167381E384E}"/>
    <cellStyle name="Normal 4 6 3 2 6" xfId="2556" xr:uid="{00000000-0005-0000-0000-000065160000}"/>
    <cellStyle name="Normal 4 6 3 2 6 2" xfId="6840" xr:uid="{00000000-0005-0000-0000-000066160000}"/>
    <cellStyle name="Normal 4 6 3 2 6 2 2" xfId="23712" xr:uid="{A5A0CE66-CCBE-44F0-A188-CC4AAB03B85C}"/>
    <cellStyle name="Normal 4 6 3 2 6 2 3" xfId="15278" xr:uid="{AFC08AC3-3C24-401E-BD41-36B4CCF1E1E8}"/>
    <cellStyle name="Normal 4 6 3 2 6 3" xfId="19495" xr:uid="{A962ECE0-4B66-44D2-A041-98E432A3C4D0}"/>
    <cellStyle name="Normal 4 6 3 2 6 4" xfId="11061" xr:uid="{F56CEBE0-D819-4B87-955D-BADFFB1DC6CF}"/>
    <cellStyle name="Normal 4 6 3 2 7" xfId="4775" xr:uid="{00000000-0005-0000-0000-000067160000}"/>
    <cellStyle name="Normal 4 6 3 2 7 2" xfId="21647" xr:uid="{7B12D540-E9E7-484D-8502-87B72DD46707}"/>
    <cellStyle name="Normal 4 6 3 2 7 3" xfId="13213" xr:uid="{C1A9C271-EC15-4DFB-8160-CB5F049274A2}"/>
    <cellStyle name="Normal 4 6 3 2 8" xfId="17430" xr:uid="{865A4E39-2C3F-459A-92E6-3FF23CA74FC1}"/>
    <cellStyle name="Normal 4 6 3 2 9" xfId="8996" xr:uid="{29079A1B-790E-4531-B9D7-3BAB52DE47DB}"/>
    <cellStyle name="Normal 4 6 3 3" xfId="874" xr:uid="{00000000-0005-0000-0000-000068160000}"/>
    <cellStyle name="Normal 4 6 3 3 2" xfId="3109" xr:uid="{00000000-0005-0000-0000-000069160000}"/>
    <cellStyle name="Normal 4 6 3 3 2 2" xfId="7332" xr:uid="{00000000-0005-0000-0000-00006A160000}"/>
    <cellStyle name="Normal 4 6 3 3 2 2 2" xfId="24204" xr:uid="{F3855AD4-F441-4CCA-9F0C-30D99E16FB47}"/>
    <cellStyle name="Normal 4 6 3 3 2 2 3" xfId="15770" xr:uid="{F47E8226-86D3-447D-8D2A-9C27166413A6}"/>
    <cellStyle name="Normal 4 6 3 3 2 3" xfId="19987" xr:uid="{C57083CD-47AD-4E89-8AA7-C6A6EAE885CC}"/>
    <cellStyle name="Normal 4 6 3 3 2 4" xfId="11553" xr:uid="{72091C15-9C3C-409F-967D-5719CECAF54B}"/>
    <cellStyle name="Normal 4 6 3 3 3" xfId="5187" xr:uid="{00000000-0005-0000-0000-00006B160000}"/>
    <cellStyle name="Normal 4 6 3 3 3 2" xfId="22059" xr:uid="{91E51BC3-E77D-4F2A-A935-EE5A39A7CB8D}"/>
    <cellStyle name="Normal 4 6 3 3 3 3" xfId="13625" xr:uid="{D6C04E46-EE15-408A-A456-1DFCCF9FB9C9}"/>
    <cellStyle name="Normal 4 6 3 3 4" xfId="17842" xr:uid="{BE18A8DB-E72B-45B5-87A5-0532A4D9155C}"/>
    <cellStyle name="Normal 4 6 3 3 5" xfId="9408" xr:uid="{8D4BE09B-83B0-4C4C-AFE2-4283DA3D9643}"/>
    <cellStyle name="Normal 4 6 3 4" xfId="1292" xr:uid="{00000000-0005-0000-0000-00006C160000}"/>
    <cellStyle name="Normal 4 6 3 4 2" xfId="3522" xr:uid="{00000000-0005-0000-0000-00006D160000}"/>
    <cellStyle name="Normal 4 6 3 4 2 2" xfId="7745" xr:uid="{00000000-0005-0000-0000-00006E160000}"/>
    <cellStyle name="Normal 4 6 3 4 2 2 2" xfId="24617" xr:uid="{0360D769-4AF1-485F-9FBB-B3C6915ECD22}"/>
    <cellStyle name="Normal 4 6 3 4 2 2 3" xfId="16183" xr:uid="{C82C7A9B-8A52-484F-8370-D0735659C338}"/>
    <cellStyle name="Normal 4 6 3 4 2 3" xfId="20400" xr:uid="{007A6AC3-E598-410F-9329-56E82D5D1E23}"/>
    <cellStyle name="Normal 4 6 3 4 2 4" xfId="11966" xr:uid="{547B4C49-198F-4692-9FA4-E541A40C2028}"/>
    <cellStyle name="Normal 4 6 3 4 3" xfId="5600" xr:uid="{00000000-0005-0000-0000-00006F160000}"/>
    <cellStyle name="Normal 4 6 3 4 3 2" xfId="22472" xr:uid="{8698CB02-6A67-4049-8A9D-3B87AD71F131}"/>
    <cellStyle name="Normal 4 6 3 4 3 3" xfId="14038" xr:uid="{3FA86108-62AE-40C2-95BF-9EF15E42A70A}"/>
    <cellStyle name="Normal 4 6 3 4 4" xfId="18255" xr:uid="{99B1C4CC-3AD4-4ACB-A086-9D0F6F27B34C}"/>
    <cellStyle name="Normal 4 6 3 4 5" xfId="9821" xr:uid="{33F85D63-C95F-48BB-8652-A834F60ED6D2}"/>
    <cellStyle name="Normal 4 6 3 5" xfId="1705" xr:uid="{00000000-0005-0000-0000-000070160000}"/>
    <cellStyle name="Normal 4 6 3 5 2" xfId="3935" xr:uid="{00000000-0005-0000-0000-000071160000}"/>
    <cellStyle name="Normal 4 6 3 5 2 2" xfId="8158" xr:uid="{00000000-0005-0000-0000-000072160000}"/>
    <cellStyle name="Normal 4 6 3 5 2 2 2" xfId="25030" xr:uid="{A948CA85-2FF1-4050-B103-97EBB6A36C55}"/>
    <cellStyle name="Normal 4 6 3 5 2 2 3" xfId="16596" xr:uid="{1350C57E-B690-40CB-A397-0798CD2C324C}"/>
    <cellStyle name="Normal 4 6 3 5 2 3" xfId="20813" xr:uid="{BE984043-A0D1-4C64-8790-6B9518C6DD31}"/>
    <cellStyle name="Normal 4 6 3 5 2 4" xfId="12379" xr:uid="{E17B17E6-5330-46AC-9B16-0E3BA99D18C2}"/>
    <cellStyle name="Normal 4 6 3 5 3" xfId="6013" xr:uid="{00000000-0005-0000-0000-000073160000}"/>
    <cellStyle name="Normal 4 6 3 5 3 2" xfId="22885" xr:uid="{3A40E106-A5B8-4E37-B4ED-C34A7E066660}"/>
    <cellStyle name="Normal 4 6 3 5 3 3" xfId="14451" xr:uid="{73A747F8-9D31-4812-A204-C87F5E6B0AC9}"/>
    <cellStyle name="Normal 4 6 3 5 4" xfId="18668" xr:uid="{7FD8B905-154D-439A-9E91-3B5A58FF9CCD}"/>
    <cellStyle name="Normal 4 6 3 5 5" xfId="10234" xr:uid="{33E72D09-FC66-4B32-AA0A-161510860C76}"/>
    <cellStyle name="Normal 4 6 3 6" xfId="2119" xr:uid="{00000000-0005-0000-0000-000074160000}"/>
    <cellStyle name="Normal 4 6 3 6 2" xfId="4348" xr:uid="{00000000-0005-0000-0000-000075160000}"/>
    <cellStyle name="Normal 4 6 3 6 2 2" xfId="8571" xr:uid="{00000000-0005-0000-0000-000076160000}"/>
    <cellStyle name="Normal 4 6 3 6 2 2 2" xfId="25443" xr:uid="{4DB6BC26-435A-40AD-8778-D86BDB6B19F4}"/>
    <cellStyle name="Normal 4 6 3 6 2 2 3" xfId="17009" xr:uid="{699E15BB-01D8-4E4A-8257-F035109EA418}"/>
    <cellStyle name="Normal 4 6 3 6 2 3" xfId="21226" xr:uid="{38373552-71D2-45B0-8910-92A9A2D324C7}"/>
    <cellStyle name="Normal 4 6 3 6 2 4" xfId="12792" xr:uid="{1A32F06E-DA0D-4A10-A133-2A2B3FB2E3E4}"/>
    <cellStyle name="Normal 4 6 3 6 3" xfId="6426" xr:uid="{00000000-0005-0000-0000-000077160000}"/>
    <cellStyle name="Normal 4 6 3 6 3 2" xfId="23298" xr:uid="{C510769F-32AD-44FF-995B-5BFA9AEEEC6C}"/>
    <cellStyle name="Normal 4 6 3 6 3 3" xfId="14864" xr:uid="{89765BC5-8FBF-4C2E-A7F1-EF419335FC42}"/>
    <cellStyle name="Normal 4 6 3 6 4" xfId="19081" xr:uid="{2910B066-2D63-4C9E-BC6E-88723D92C06C}"/>
    <cellStyle name="Normal 4 6 3 6 5" xfId="10647" xr:uid="{4D1A7951-67B6-4525-842C-650413FB5A79}"/>
    <cellStyle name="Normal 4 6 3 7" xfId="2555" xr:uid="{00000000-0005-0000-0000-000078160000}"/>
    <cellStyle name="Normal 4 6 3 7 2" xfId="6839" xr:uid="{00000000-0005-0000-0000-000079160000}"/>
    <cellStyle name="Normal 4 6 3 7 2 2" xfId="23711" xr:uid="{63FA4515-A30D-4CDA-BD46-D10FDC22D220}"/>
    <cellStyle name="Normal 4 6 3 7 2 3" xfId="15277" xr:uid="{618BD31A-9B01-40AC-8726-F2E2F263B95C}"/>
    <cellStyle name="Normal 4 6 3 7 3" xfId="19494" xr:uid="{E9DEF243-76D7-471A-B220-F5CC01B7EED8}"/>
    <cellStyle name="Normal 4 6 3 7 4" xfId="11060" xr:uid="{E388C56B-49DF-4717-B49E-1AE7B8650DAA}"/>
    <cellStyle name="Normal 4 6 3 8" xfId="4774" xr:uid="{00000000-0005-0000-0000-00007A160000}"/>
    <cellStyle name="Normal 4 6 3 8 2" xfId="21646" xr:uid="{C02F5FEE-2C4F-4E94-8E1F-2EE5497FE92B}"/>
    <cellStyle name="Normal 4 6 3 8 3" xfId="13212" xr:uid="{78C09945-2140-4398-8526-D7D1A297B0D7}"/>
    <cellStyle name="Normal 4 6 3 9" xfId="17429" xr:uid="{2E7F5334-C90E-4611-8D04-4DFF64470F84}"/>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24206" xr:uid="{90D5A414-F08F-4924-B08C-B210699CCB26}"/>
    <cellStyle name="Normal 4 6 4 2 2 2 3" xfId="15772" xr:uid="{BDD72D75-A410-4706-82CA-F820E200C0FC}"/>
    <cellStyle name="Normal 4 6 4 2 2 3" xfId="19989" xr:uid="{ED275845-5EC5-4D62-BE37-E0B42FC7598E}"/>
    <cellStyle name="Normal 4 6 4 2 2 4" xfId="11555" xr:uid="{CAB99379-8557-446F-A3D2-6F4AB145AA3D}"/>
    <cellStyle name="Normal 4 6 4 2 3" xfId="5189" xr:uid="{00000000-0005-0000-0000-00007F160000}"/>
    <cellStyle name="Normal 4 6 4 2 3 2" xfId="22061" xr:uid="{3EAFED95-28D6-4312-8897-4ECF28BDF6A1}"/>
    <cellStyle name="Normal 4 6 4 2 3 3" xfId="13627" xr:uid="{8DAFB5F3-BAFE-41D5-88F5-467FFF60EF34}"/>
    <cellStyle name="Normal 4 6 4 2 4" xfId="17844" xr:uid="{D3CE4265-771B-41C2-A627-998967DE06B6}"/>
    <cellStyle name="Normal 4 6 4 2 5" xfId="9410" xr:uid="{8476D79E-06A4-4667-B5E5-4C15E22C7981}"/>
    <cellStyle name="Normal 4 6 4 3" xfId="1294" xr:uid="{00000000-0005-0000-0000-000080160000}"/>
    <cellStyle name="Normal 4 6 4 3 2" xfId="3524" xr:uid="{00000000-0005-0000-0000-000081160000}"/>
    <cellStyle name="Normal 4 6 4 3 2 2" xfId="7747" xr:uid="{00000000-0005-0000-0000-000082160000}"/>
    <cellStyle name="Normal 4 6 4 3 2 2 2" xfId="24619" xr:uid="{45ACD988-FA26-4B37-A45C-52BC93116A61}"/>
    <cellStyle name="Normal 4 6 4 3 2 2 3" xfId="16185" xr:uid="{F61E8BFD-7C95-4F28-9EE1-3E7D22EDFD07}"/>
    <cellStyle name="Normal 4 6 4 3 2 3" xfId="20402" xr:uid="{1551E5FC-7114-4436-978C-88EED449EB4F}"/>
    <cellStyle name="Normal 4 6 4 3 2 4" xfId="11968" xr:uid="{F336794D-5AC2-4347-B480-88B7E84BE54F}"/>
    <cellStyle name="Normal 4 6 4 3 3" xfId="5602" xr:uid="{00000000-0005-0000-0000-000083160000}"/>
    <cellStyle name="Normal 4 6 4 3 3 2" xfId="22474" xr:uid="{D3EB1E6C-E7B9-4430-9C01-FC0FB1CCB9BC}"/>
    <cellStyle name="Normal 4 6 4 3 3 3" xfId="14040" xr:uid="{E123F419-6389-44E9-938D-92C2652E028F}"/>
    <cellStyle name="Normal 4 6 4 3 4" xfId="18257" xr:uid="{0E414321-296C-4AE6-A6A4-E0331AD42482}"/>
    <cellStyle name="Normal 4 6 4 3 5" xfId="9823" xr:uid="{DEE2CBCF-5DC6-4B4D-91E6-A351093224CB}"/>
    <cellStyle name="Normal 4 6 4 4" xfId="1707" xr:uid="{00000000-0005-0000-0000-000084160000}"/>
    <cellStyle name="Normal 4 6 4 4 2" xfId="3937" xr:uid="{00000000-0005-0000-0000-000085160000}"/>
    <cellStyle name="Normal 4 6 4 4 2 2" xfId="8160" xr:uid="{00000000-0005-0000-0000-000086160000}"/>
    <cellStyle name="Normal 4 6 4 4 2 2 2" xfId="25032" xr:uid="{5DE556B7-B063-4282-A430-1B4A678401EF}"/>
    <cellStyle name="Normal 4 6 4 4 2 2 3" xfId="16598" xr:uid="{FE418430-88CA-48E0-A5B5-C22CCE0D7522}"/>
    <cellStyle name="Normal 4 6 4 4 2 3" xfId="20815" xr:uid="{F466D248-20C2-4E2B-B158-38A0005A55CB}"/>
    <cellStyle name="Normal 4 6 4 4 2 4" xfId="12381" xr:uid="{C6D928D4-49A8-446F-A074-E317EB7CA523}"/>
    <cellStyle name="Normal 4 6 4 4 3" xfId="6015" xr:uid="{00000000-0005-0000-0000-000087160000}"/>
    <cellStyle name="Normal 4 6 4 4 3 2" xfId="22887" xr:uid="{81B6F9BE-7987-4302-9C3D-455851376761}"/>
    <cellStyle name="Normal 4 6 4 4 3 3" xfId="14453" xr:uid="{92A8FE71-8E59-4336-9D18-5E5E45428FD3}"/>
    <cellStyle name="Normal 4 6 4 4 4" xfId="18670" xr:uid="{C3F49886-653E-4AF3-87A3-42C0F9F34D91}"/>
    <cellStyle name="Normal 4 6 4 4 5" xfId="10236" xr:uid="{D6BA9169-41FB-479F-AC65-0AC3B50908AA}"/>
    <cellStyle name="Normal 4 6 4 5" xfId="2121" xr:uid="{00000000-0005-0000-0000-000088160000}"/>
    <cellStyle name="Normal 4 6 4 5 2" xfId="4350" xr:uid="{00000000-0005-0000-0000-000089160000}"/>
    <cellStyle name="Normal 4 6 4 5 2 2" xfId="8573" xr:uid="{00000000-0005-0000-0000-00008A160000}"/>
    <cellStyle name="Normal 4 6 4 5 2 2 2" xfId="25445" xr:uid="{817946D4-CDAF-48FD-8ABC-1B122472EF50}"/>
    <cellStyle name="Normal 4 6 4 5 2 2 3" xfId="17011" xr:uid="{5FF15F0C-13C8-4E22-8141-E65915DE4EA9}"/>
    <cellStyle name="Normal 4 6 4 5 2 3" xfId="21228" xr:uid="{EDD1598F-C292-43DF-8C20-03965CE4B2B7}"/>
    <cellStyle name="Normal 4 6 4 5 2 4" xfId="12794" xr:uid="{6BFC89B6-BE07-47E5-84B3-9055FFD35307}"/>
    <cellStyle name="Normal 4 6 4 5 3" xfId="6428" xr:uid="{00000000-0005-0000-0000-00008B160000}"/>
    <cellStyle name="Normal 4 6 4 5 3 2" xfId="23300" xr:uid="{7B955FDF-88B5-4E9C-B501-781DD574834F}"/>
    <cellStyle name="Normal 4 6 4 5 3 3" xfId="14866" xr:uid="{38468BD8-19A6-4037-BAD2-DB0D6CBA96E6}"/>
    <cellStyle name="Normal 4 6 4 5 4" xfId="19083" xr:uid="{6E676EF0-D51B-4D74-ADD6-F1291EAC4024}"/>
    <cellStyle name="Normal 4 6 4 5 5" xfId="10649" xr:uid="{50EF0C7D-26D0-423C-AC52-5EC34D5C2D55}"/>
    <cellStyle name="Normal 4 6 4 6" xfId="2557" xr:uid="{00000000-0005-0000-0000-00008C160000}"/>
    <cellStyle name="Normal 4 6 4 6 2" xfId="6841" xr:uid="{00000000-0005-0000-0000-00008D160000}"/>
    <cellStyle name="Normal 4 6 4 6 2 2" xfId="23713" xr:uid="{7675D735-5C01-4C04-8048-5F5515576F30}"/>
    <cellStyle name="Normal 4 6 4 6 2 3" xfId="15279" xr:uid="{F1882F52-4DFB-44EF-A92E-916F02B42A6D}"/>
    <cellStyle name="Normal 4 6 4 6 3" xfId="19496" xr:uid="{522107FC-CFDC-4628-B584-1DD25C820345}"/>
    <cellStyle name="Normal 4 6 4 6 4" xfId="11062" xr:uid="{C4C824F8-6DD5-473D-92FD-477529880358}"/>
    <cellStyle name="Normal 4 6 4 7" xfId="4776" xr:uid="{00000000-0005-0000-0000-00008E160000}"/>
    <cellStyle name="Normal 4 6 4 7 2" xfId="21648" xr:uid="{4375F23A-F251-4F49-9E8D-F2B48ECB0855}"/>
    <cellStyle name="Normal 4 6 4 7 3" xfId="13214" xr:uid="{A23AD627-D5CA-4BC9-BFE0-08CEDFE121A0}"/>
    <cellStyle name="Normal 4 6 4 8" xfId="17431" xr:uid="{A24887C8-9F08-4D46-A261-11A48032F6F3}"/>
    <cellStyle name="Normal 4 6 4 9" xfId="8997" xr:uid="{927D2B29-4AE8-40FB-9577-000F9BEBD256}"/>
    <cellStyle name="Normal 4 6 5" xfId="869" xr:uid="{00000000-0005-0000-0000-00008F160000}"/>
    <cellStyle name="Normal 4 6 5 2" xfId="3104" xr:uid="{00000000-0005-0000-0000-000090160000}"/>
    <cellStyle name="Normal 4 6 5 2 2" xfId="7327" xr:uid="{00000000-0005-0000-0000-000091160000}"/>
    <cellStyle name="Normal 4 6 5 2 2 2" xfId="24199" xr:uid="{CEDAF839-7FE0-4A0D-AC21-6728DDBB8BD5}"/>
    <cellStyle name="Normal 4 6 5 2 2 3" xfId="15765" xr:uid="{DF6CF084-B816-4DDE-8711-B4525C4EB596}"/>
    <cellStyle name="Normal 4 6 5 2 3" xfId="19982" xr:uid="{442A9960-C4FA-4685-AC12-072F3B380919}"/>
    <cellStyle name="Normal 4 6 5 2 4" xfId="11548" xr:uid="{6E5FED4A-A5A3-49C8-B2A1-512697C5EC25}"/>
    <cellStyle name="Normal 4 6 5 3" xfId="5182" xr:uid="{00000000-0005-0000-0000-000092160000}"/>
    <cellStyle name="Normal 4 6 5 3 2" xfId="22054" xr:uid="{219398A1-27D4-4F5E-9948-D2E7AE208F61}"/>
    <cellStyle name="Normal 4 6 5 3 3" xfId="13620" xr:uid="{59ED1B5B-7A6B-4957-A998-746E14956046}"/>
    <cellStyle name="Normal 4 6 5 4" xfId="17837" xr:uid="{C4225978-8F82-4EC2-9BBE-5A9E86A1ACB2}"/>
    <cellStyle name="Normal 4 6 5 5" xfId="9403" xr:uid="{540903E3-BB56-4FA0-895F-A666A61450B1}"/>
    <cellStyle name="Normal 4 6 6" xfId="1287" xr:uid="{00000000-0005-0000-0000-000093160000}"/>
    <cellStyle name="Normal 4 6 6 2" xfId="3517" xr:uid="{00000000-0005-0000-0000-000094160000}"/>
    <cellStyle name="Normal 4 6 6 2 2" xfId="7740" xr:uid="{00000000-0005-0000-0000-000095160000}"/>
    <cellStyle name="Normal 4 6 6 2 2 2" xfId="24612" xr:uid="{78180A75-A262-4DF3-B856-D5E40D4045C0}"/>
    <cellStyle name="Normal 4 6 6 2 2 3" xfId="16178" xr:uid="{1DDA35CA-6527-4939-83A6-9B87F7AFA107}"/>
    <cellStyle name="Normal 4 6 6 2 3" xfId="20395" xr:uid="{45BF8F68-8B2F-40C5-BA28-5FFED88F7F5F}"/>
    <cellStyle name="Normal 4 6 6 2 4" xfId="11961" xr:uid="{8985CC1C-C239-461E-8236-B6BBCC9F38B2}"/>
    <cellStyle name="Normal 4 6 6 3" xfId="5595" xr:uid="{00000000-0005-0000-0000-000096160000}"/>
    <cellStyle name="Normal 4 6 6 3 2" xfId="22467" xr:uid="{43F6B27A-F838-43D1-96BC-525F8CFEDB82}"/>
    <cellStyle name="Normal 4 6 6 3 3" xfId="14033" xr:uid="{B6F59488-1EF9-4348-9DEC-35A7DE4B0CFB}"/>
    <cellStyle name="Normal 4 6 6 4" xfId="18250" xr:uid="{4AFD0329-2C43-4B9F-89B3-F03300B4E7EF}"/>
    <cellStyle name="Normal 4 6 6 5" xfId="9816" xr:uid="{1FF1BD41-B9ED-48E7-8648-35EAC8922A8F}"/>
    <cellStyle name="Normal 4 6 7" xfId="1700" xr:uid="{00000000-0005-0000-0000-000097160000}"/>
    <cellStyle name="Normal 4 6 7 2" xfId="3930" xr:uid="{00000000-0005-0000-0000-000098160000}"/>
    <cellStyle name="Normal 4 6 7 2 2" xfId="8153" xr:uid="{00000000-0005-0000-0000-000099160000}"/>
    <cellStyle name="Normal 4 6 7 2 2 2" xfId="25025" xr:uid="{5EF5F789-E759-409A-96C9-3428BB8DF45A}"/>
    <cellStyle name="Normal 4 6 7 2 2 3" xfId="16591" xr:uid="{13C23F52-F73D-4765-9C5D-15C90678C028}"/>
    <cellStyle name="Normal 4 6 7 2 3" xfId="20808" xr:uid="{330E15B6-A526-4C00-9942-674577304020}"/>
    <cellStyle name="Normal 4 6 7 2 4" xfId="12374" xr:uid="{5A640ACB-A232-42C9-9943-F16980D9562E}"/>
    <cellStyle name="Normal 4 6 7 3" xfId="6008" xr:uid="{00000000-0005-0000-0000-00009A160000}"/>
    <cellStyle name="Normal 4 6 7 3 2" xfId="22880" xr:uid="{1E894475-E517-41F5-942C-1F196CCF1226}"/>
    <cellStyle name="Normal 4 6 7 3 3" xfId="14446" xr:uid="{A13FCA9F-B02E-4811-B216-D6073C464759}"/>
    <cellStyle name="Normal 4 6 7 4" xfId="18663" xr:uid="{327E46D2-3FE8-49AF-8C82-0EC323888A50}"/>
    <cellStyle name="Normal 4 6 7 5" xfId="10229" xr:uid="{B1700BDB-DDEC-455B-9B48-3ADACB362631}"/>
    <cellStyle name="Normal 4 6 8" xfId="2114" xr:uid="{00000000-0005-0000-0000-00009B160000}"/>
    <cellStyle name="Normal 4 6 8 2" xfId="4343" xr:uid="{00000000-0005-0000-0000-00009C160000}"/>
    <cellStyle name="Normal 4 6 8 2 2" xfId="8566" xr:uid="{00000000-0005-0000-0000-00009D160000}"/>
    <cellStyle name="Normal 4 6 8 2 2 2" xfId="25438" xr:uid="{1B34CBC9-3C5C-4E32-8C9D-D5786BFBA33A}"/>
    <cellStyle name="Normal 4 6 8 2 2 3" xfId="17004" xr:uid="{F409E531-6343-4BFF-BC95-5497A1EF0690}"/>
    <cellStyle name="Normal 4 6 8 2 3" xfId="21221" xr:uid="{8285A1C4-6AE5-4750-82F3-7278D3203659}"/>
    <cellStyle name="Normal 4 6 8 2 4" xfId="12787" xr:uid="{6E427A6F-535C-4A57-932B-474757B2BEB7}"/>
    <cellStyle name="Normal 4 6 8 3" xfId="6421" xr:uid="{00000000-0005-0000-0000-00009E160000}"/>
    <cellStyle name="Normal 4 6 8 3 2" xfId="23293" xr:uid="{F53BE3AD-580D-4BA4-A65B-971FC551466A}"/>
    <cellStyle name="Normal 4 6 8 3 3" xfId="14859" xr:uid="{758A6B12-5910-413C-BBA4-634F6B3930AB}"/>
    <cellStyle name="Normal 4 6 8 4" xfId="19076" xr:uid="{A3B4BD55-D8E3-4111-9325-EBBE31F9CA5C}"/>
    <cellStyle name="Normal 4 6 8 5" xfId="10642" xr:uid="{CEDE48DA-422F-468A-83CC-18E5BB148BD3}"/>
    <cellStyle name="Normal 4 6 9" xfId="2550" xr:uid="{00000000-0005-0000-0000-00009F160000}"/>
    <cellStyle name="Normal 4 6 9 2" xfId="6834" xr:uid="{00000000-0005-0000-0000-0000A0160000}"/>
    <cellStyle name="Normal 4 6 9 2 2" xfId="23706" xr:uid="{31DAD9A5-6285-4043-B332-BD6572A810C3}"/>
    <cellStyle name="Normal 4 6 9 2 3" xfId="15272" xr:uid="{40CFA8F2-2B67-4E5F-B9FD-03D61FB0EFCA}"/>
    <cellStyle name="Normal 4 6 9 3" xfId="19489" xr:uid="{7CD6C7C6-C1BE-4810-9495-4525A6CBBEBB}"/>
    <cellStyle name="Normal 4 6 9 4" xfId="11055" xr:uid="{9355E843-2E63-4FED-B227-24E795757357}"/>
    <cellStyle name="Normal 4 7" xfId="403" xr:uid="{00000000-0005-0000-0000-0000A1160000}"/>
    <cellStyle name="Normal 4 7 10" xfId="8998" xr:uid="{C2F22568-1ACF-4385-804A-E42E04EAA903}"/>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24208" xr:uid="{FA7C0144-AC94-4C10-86D1-0E00559A3DE1}"/>
    <cellStyle name="Normal 4 7 2 2 2 2 3" xfId="15774" xr:uid="{1F9E7A2D-BD56-44D3-A8D5-CEBDD51D561D}"/>
    <cellStyle name="Normal 4 7 2 2 2 3" xfId="19991" xr:uid="{B4E584C8-1FD2-4E07-B4B9-546E8C4432EA}"/>
    <cellStyle name="Normal 4 7 2 2 2 4" xfId="11557" xr:uid="{AAB19635-B5EF-4DAD-BA10-F04ADD507CC9}"/>
    <cellStyle name="Normal 4 7 2 2 3" xfId="5191" xr:uid="{00000000-0005-0000-0000-0000A6160000}"/>
    <cellStyle name="Normal 4 7 2 2 3 2" xfId="22063" xr:uid="{151482E1-1D11-4BAD-9ADF-BAD884175808}"/>
    <cellStyle name="Normal 4 7 2 2 3 3" xfId="13629" xr:uid="{8A938D1D-BC4C-4E60-97AB-43DF42FB5478}"/>
    <cellStyle name="Normal 4 7 2 2 4" xfId="17846" xr:uid="{44C8D9A0-21D6-45C2-82E7-3C242FAE8D75}"/>
    <cellStyle name="Normal 4 7 2 2 5" xfId="9412" xr:uid="{16EFC27E-83FA-4A0A-A7B6-78F2B5C542D2}"/>
    <cellStyle name="Normal 4 7 2 3" xfId="1296" xr:uid="{00000000-0005-0000-0000-0000A7160000}"/>
    <cellStyle name="Normal 4 7 2 3 2" xfId="3526" xr:uid="{00000000-0005-0000-0000-0000A8160000}"/>
    <cellStyle name="Normal 4 7 2 3 2 2" xfId="7749" xr:uid="{00000000-0005-0000-0000-0000A9160000}"/>
    <cellStyle name="Normal 4 7 2 3 2 2 2" xfId="24621" xr:uid="{283AD46B-91B8-4EFC-927E-766F3916D160}"/>
    <cellStyle name="Normal 4 7 2 3 2 2 3" xfId="16187" xr:uid="{7AFB1C96-DC21-4DFF-BA9D-29D6B3FA4077}"/>
    <cellStyle name="Normal 4 7 2 3 2 3" xfId="20404" xr:uid="{7E5904A2-6034-4087-82D0-04C0555E2758}"/>
    <cellStyle name="Normal 4 7 2 3 2 4" xfId="11970" xr:uid="{24503377-4262-4EC3-8DB0-D731D75BC422}"/>
    <cellStyle name="Normal 4 7 2 3 3" xfId="5604" xr:uid="{00000000-0005-0000-0000-0000AA160000}"/>
    <cellStyle name="Normal 4 7 2 3 3 2" xfId="22476" xr:uid="{DA9A04A9-04A5-4971-8A1C-51B0728E92B9}"/>
    <cellStyle name="Normal 4 7 2 3 3 3" xfId="14042" xr:uid="{471E2D5B-8B60-442C-B35F-97AFE41D9374}"/>
    <cellStyle name="Normal 4 7 2 3 4" xfId="18259" xr:uid="{D247853F-C5B4-4A65-A656-D838384E7C97}"/>
    <cellStyle name="Normal 4 7 2 3 5" xfId="9825" xr:uid="{9512D79B-49D6-4644-9444-295B9E11CC2F}"/>
    <cellStyle name="Normal 4 7 2 4" xfId="1709" xr:uid="{00000000-0005-0000-0000-0000AB160000}"/>
    <cellStyle name="Normal 4 7 2 4 2" xfId="3939" xr:uid="{00000000-0005-0000-0000-0000AC160000}"/>
    <cellStyle name="Normal 4 7 2 4 2 2" xfId="8162" xr:uid="{00000000-0005-0000-0000-0000AD160000}"/>
    <cellStyle name="Normal 4 7 2 4 2 2 2" xfId="25034" xr:uid="{B2E93AAB-1B77-44C4-9455-DA8E74C0CDB9}"/>
    <cellStyle name="Normal 4 7 2 4 2 2 3" xfId="16600" xr:uid="{86134EFC-7721-4933-A3CF-2CF3DD17311B}"/>
    <cellStyle name="Normal 4 7 2 4 2 3" xfId="20817" xr:uid="{6CB37159-3FC2-4A6F-BBEB-B35461C6670B}"/>
    <cellStyle name="Normal 4 7 2 4 2 4" xfId="12383" xr:uid="{D04C31A8-CE4A-4F22-B5F9-2EF93912E5F4}"/>
    <cellStyle name="Normal 4 7 2 4 3" xfId="6017" xr:uid="{00000000-0005-0000-0000-0000AE160000}"/>
    <cellStyle name="Normal 4 7 2 4 3 2" xfId="22889" xr:uid="{B9BB27BC-A413-4E1B-9D15-5B249848648D}"/>
    <cellStyle name="Normal 4 7 2 4 3 3" xfId="14455" xr:uid="{B087EFFF-64E4-40F6-8D7A-4DD35E317395}"/>
    <cellStyle name="Normal 4 7 2 4 4" xfId="18672" xr:uid="{BA0CE7F5-E5C5-4FE4-97AE-0B8094708311}"/>
    <cellStyle name="Normal 4 7 2 4 5" xfId="10238" xr:uid="{F5E78C1F-6A07-489C-BED1-A7EFD389542D}"/>
    <cellStyle name="Normal 4 7 2 5" xfId="2123" xr:uid="{00000000-0005-0000-0000-0000AF160000}"/>
    <cellStyle name="Normal 4 7 2 5 2" xfId="4352" xr:uid="{00000000-0005-0000-0000-0000B0160000}"/>
    <cellStyle name="Normal 4 7 2 5 2 2" xfId="8575" xr:uid="{00000000-0005-0000-0000-0000B1160000}"/>
    <cellStyle name="Normal 4 7 2 5 2 2 2" xfId="25447" xr:uid="{F9427550-A2D3-4F71-B914-176F12693B00}"/>
    <cellStyle name="Normal 4 7 2 5 2 2 3" xfId="17013" xr:uid="{427B7BE4-2FCE-44C3-8AC6-1EA54B86ACB0}"/>
    <cellStyle name="Normal 4 7 2 5 2 3" xfId="21230" xr:uid="{A2A25B69-9758-4913-8EB0-6A40543A7FC3}"/>
    <cellStyle name="Normal 4 7 2 5 2 4" xfId="12796" xr:uid="{637F0E26-5776-48DA-B8E2-A84BDA07AEBA}"/>
    <cellStyle name="Normal 4 7 2 5 3" xfId="6430" xr:uid="{00000000-0005-0000-0000-0000B2160000}"/>
    <cellStyle name="Normal 4 7 2 5 3 2" xfId="23302" xr:uid="{90F1339D-E5A9-44E4-B279-9424F0745AD0}"/>
    <cellStyle name="Normal 4 7 2 5 3 3" xfId="14868" xr:uid="{C35EBB5E-B5BF-4F12-8FBE-806F41221A71}"/>
    <cellStyle name="Normal 4 7 2 5 4" xfId="19085" xr:uid="{CA0775F8-C219-4091-B033-5403EC2E1605}"/>
    <cellStyle name="Normal 4 7 2 5 5" xfId="10651" xr:uid="{48845D5A-115A-4674-AA07-05D719683927}"/>
    <cellStyle name="Normal 4 7 2 6" xfId="2559" xr:uid="{00000000-0005-0000-0000-0000B3160000}"/>
    <cellStyle name="Normal 4 7 2 6 2" xfId="6843" xr:uid="{00000000-0005-0000-0000-0000B4160000}"/>
    <cellStyle name="Normal 4 7 2 6 2 2" xfId="23715" xr:uid="{C925C4CF-3893-4966-8E01-0D5B941E1458}"/>
    <cellStyle name="Normal 4 7 2 6 2 3" xfId="15281" xr:uid="{3734E74E-7799-4D96-85AC-58A877649477}"/>
    <cellStyle name="Normal 4 7 2 6 3" xfId="19498" xr:uid="{A6553289-405F-49A2-9638-AB698EF92695}"/>
    <cellStyle name="Normal 4 7 2 6 4" xfId="11064" xr:uid="{22018260-CACE-48EE-93A0-90967C840B61}"/>
    <cellStyle name="Normal 4 7 2 7" xfId="4778" xr:uid="{00000000-0005-0000-0000-0000B5160000}"/>
    <cellStyle name="Normal 4 7 2 7 2" xfId="21650" xr:uid="{0FC4BC62-B822-4D31-AF26-2DA333C40C1C}"/>
    <cellStyle name="Normal 4 7 2 7 3" xfId="13216" xr:uid="{2B184A4F-D532-4B37-AD1E-7904E1F75A32}"/>
    <cellStyle name="Normal 4 7 2 8" xfId="17433" xr:uid="{5A357E12-4F64-4390-84BF-565626F8F0DB}"/>
    <cellStyle name="Normal 4 7 2 9" xfId="8999" xr:uid="{44EE9C9B-2DEE-4E48-BA2E-53F62180B1AB}"/>
    <cellStyle name="Normal 4 7 3" xfId="877" xr:uid="{00000000-0005-0000-0000-0000B6160000}"/>
    <cellStyle name="Normal 4 7 3 2" xfId="3112" xr:uid="{00000000-0005-0000-0000-0000B7160000}"/>
    <cellStyle name="Normal 4 7 3 2 2" xfId="7335" xr:uid="{00000000-0005-0000-0000-0000B8160000}"/>
    <cellStyle name="Normal 4 7 3 2 2 2" xfId="24207" xr:uid="{77F03FC1-EEC9-45E3-9D2E-ED0081B33CB1}"/>
    <cellStyle name="Normal 4 7 3 2 2 3" xfId="15773" xr:uid="{AA91A095-E8E6-4F98-8619-64D54D4DF52A}"/>
    <cellStyle name="Normal 4 7 3 2 3" xfId="19990" xr:uid="{F178FDA7-129E-4A28-90D7-B0A70F2ED371}"/>
    <cellStyle name="Normal 4 7 3 2 4" xfId="11556" xr:uid="{F139D618-5840-4095-B1FA-DFDD5AA27395}"/>
    <cellStyle name="Normal 4 7 3 3" xfId="5190" xr:uid="{00000000-0005-0000-0000-0000B9160000}"/>
    <cellStyle name="Normal 4 7 3 3 2" xfId="22062" xr:uid="{98EE7F54-2754-4670-B18E-3C456FFB613C}"/>
    <cellStyle name="Normal 4 7 3 3 3" xfId="13628" xr:uid="{A8240681-9EFE-4831-8493-6E440AA81662}"/>
    <cellStyle name="Normal 4 7 3 4" xfId="17845" xr:uid="{DCAF76FA-3EEC-48BF-8B16-E9451D4A2D23}"/>
    <cellStyle name="Normal 4 7 3 5" xfId="9411" xr:uid="{2FABEA36-3567-4195-9D82-38601B5D91F7}"/>
    <cellStyle name="Normal 4 7 4" xfId="1295" xr:uid="{00000000-0005-0000-0000-0000BA160000}"/>
    <cellStyle name="Normal 4 7 4 2" xfId="3525" xr:uid="{00000000-0005-0000-0000-0000BB160000}"/>
    <cellStyle name="Normal 4 7 4 2 2" xfId="7748" xr:uid="{00000000-0005-0000-0000-0000BC160000}"/>
    <cellStyle name="Normal 4 7 4 2 2 2" xfId="24620" xr:uid="{A476FB05-604F-4701-8EF7-77B29C87A9D9}"/>
    <cellStyle name="Normal 4 7 4 2 2 3" xfId="16186" xr:uid="{9F674F9F-470F-4E67-A25A-E283D4A30F85}"/>
    <cellStyle name="Normal 4 7 4 2 3" xfId="20403" xr:uid="{4FA3F772-9585-49B2-9287-38CF4B29EC43}"/>
    <cellStyle name="Normal 4 7 4 2 4" xfId="11969" xr:uid="{EBE3D38A-B6C8-4E24-892B-8474A79BCE04}"/>
    <cellStyle name="Normal 4 7 4 3" xfId="5603" xr:uid="{00000000-0005-0000-0000-0000BD160000}"/>
    <cellStyle name="Normal 4 7 4 3 2" xfId="22475" xr:uid="{7579D3D4-7763-4613-ACD5-D751A0BCE682}"/>
    <cellStyle name="Normal 4 7 4 3 3" xfId="14041" xr:uid="{76DF219F-AE63-4980-9A89-2579EB05556E}"/>
    <cellStyle name="Normal 4 7 4 4" xfId="18258" xr:uid="{19081E73-7960-4811-9873-AAD81DD17046}"/>
    <cellStyle name="Normal 4 7 4 5" xfId="9824" xr:uid="{FB3AE6A4-29ED-4055-A62E-35C8FDE95EBE}"/>
    <cellStyle name="Normal 4 7 5" xfId="1708" xr:uid="{00000000-0005-0000-0000-0000BE160000}"/>
    <cellStyle name="Normal 4 7 5 2" xfId="3938" xr:uid="{00000000-0005-0000-0000-0000BF160000}"/>
    <cellStyle name="Normal 4 7 5 2 2" xfId="8161" xr:uid="{00000000-0005-0000-0000-0000C0160000}"/>
    <cellStyle name="Normal 4 7 5 2 2 2" xfId="25033" xr:uid="{9706CC74-9200-459F-92BC-DADC6728575F}"/>
    <cellStyle name="Normal 4 7 5 2 2 3" xfId="16599" xr:uid="{3A1205F5-BB4F-43B9-8B60-88B77270C606}"/>
    <cellStyle name="Normal 4 7 5 2 3" xfId="20816" xr:uid="{21947A0C-F310-41F5-8FA0-63FB6824E314}"/>
    <cellStyle name="Normal 4 7 5 2 4" xfId="12382" xr:uid="{49703854-92F4-417A-8EC1-D3B4F9F06A22}"/>
    <cellStyle name="Normal 4 7 5 3" xfId="6016" xr:uid="{00000000-0005-0000-0000-0000C1160000}"/>
    <cellStyle name="Normal 4 7 5 3 2" xfId="22888" xr:uid="{3367FAFF-147C-4D6C-991A-AE2E95183B2D}"/>
    <cellStyle name="Normal 4 7 5 3 3" xfId="14454" xr:uid="{9CE4C225-51A3-4BA9-A15F-CAF9F0C84260}"/>
    <cellStyle name="Normal 4 7 5 4" xfId="18671" xr:uid="{F7E3BCA5-E911-4DA5-81F2-A36D9529071E}"/>
    <cellStyle name="Normal 4 7 5 5" xfId="10237" xr:uid="{C1DD046C-0F75-4ADA-B7AA-ABCE1D94B346}"/>
    <cellStyle name="Normal 4 7 6" xfId="2122" xr:uid="{00000000-0005-0000-0000-0000C2160000}"/>
    <cellStyle name="Normal 4 7 6 2" xfId="4351" xr:uid="{00000000-0005-0000-0000-0000C3160000}"/>
    <cellStyle name="Normal 4 7 6 2 2" xfId="8574" xr:uid="{00000000-0005-0000-0000-0000C4160000}"/>
    <cellStyle name="Normal 4 7 6 2 2 2" xfId="25446" xr:uid="{44167D6B-5AFE-4841-81B7-038EDEEFE361}"/>
    <cellStyle name="Normal 4 7 6 2 2 3" xfId="17012" xr:uid="{5EABA188-54F9-4C99-A4CF-A919F483E061}"/>
    <cellStyle name="Normal 4 7 6 2 3" xfId="21229" xr:uid="{BB62AAB2-B34A-43F2-A4E9-3BE041F26FF9}"/>
    <cellStyle name="Normal 4 7 6 2 4" xfId="12795" xr:uid="{C45E8670-C281-49F3-99FD-EF8121EE130F}"/>
    <cellStyle name="Normal 4 7 6 3" xfId="6429" xr:uid="{00000000-0005-0000-0000-0000C5160000}"/>
    <cellStyle name="Normal 4 7 6 3 2" xfId="23301" xr:uid="{DB918455-A432-46FB-B641-28112837C118}"/>
    <cellStyle name="Normal 4 7 6 3 3" xfId="14867" xr:uid="{4EF3BC1F-E4B7-4836-8974-AF605EC0A5D7}"/>
    <cellStyle name="Normal 4 7 6 4" xfId="19084" xr:uid="{9B3BC24D-122E-4BC5-AEDA-881CAE0D47AD}"/>
    <cellStyle name="Normal 4 7 6 5" xfId="10650" xr:uid="{F539006C-C0E0-4C83-8F0C-D5C2E05A98E1}"/>
    <cellStyle name="Normal 4 7 7" xfId="2558" xr:uid="{00000000-0005-0000-0000-0000C6160000}"/>
    <cellStyle name="Normal 4 7 7 2" xfId="6842" xr:uid="{00000000-0005-0000-0000-0000C7160000}"/>
    <cellStyle name="Normal 4 7 7 2 2" xfId="23714" xr:uid="{86753B5A-D7DF-4CE5-AA97-C3E885BD8E33}"/>
    <cellStyle name="Normal 4 7 7 2 3" xfId="15280" xr:uid="{BCA4A9B1-E9BF-4EF0-9AD3-959B455E65EB}"/>
    <cellStyle name="Normal 4 7 7 3" xfId="19497" xr:uid="{E951DAC9-9057-4A9A-9A8A-13A52C8E9A94}"/>
    <cellStyle name="Normal 4 7 7 4" xfId="11063" xr:uid="{E86DCBA9-4120-4314-91F7-22959F81A956}"/>
    <cellStyle name="Normal 4 7 8" xfId="4777" xr:uid="{00000000-0005-0000-0000-0000C8160000}"/>
    <cellStyle name="Normal 4 7 8 2" xfId="21649" xr:uid="{CAE71F7A-F4BB-4857-B3A6-19DAADCD136F}"/>
    <cellStyle name="Normal 4 7 8 3" xfId="13215" xr:uid="{B087D335-6F26-43DC-9FCC-BE458C542091}"/>
    <cellStyle name="Normal 4 7 9" xfId="17432" xr:uid="{F6883214-1096-4186-AD78-AC8AA23AC1FF}"/>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24209" xr:uid="{24798499-9436-401F-8105-AFFB4CD33D1B}"/>
    <cellStyle name="Normal 4 8 2 2 2 3" xfId="15775" xr:uid="{29E0B20B-3F53-42C0-A5D7-12D085F9BC59}"/>
    <cellStyle name="Normal 4 8 2 2 3" xfId="19992" xr:uid="{29FF9B53-06FE-4061-93FF-13B8F1FF58E5}"/>
    <cellStyle name="Normal 4 8 2 2 4" xfId="11558" xr:uid="{91C81F4B-BF87-4E56-9CE9-08717CF8BA22}"/>
    <cellStyle name="Normal 4 8 2 3" xfId="5192" xr:uid="{00000000-0005-0000-0000-0000CD160000}"/>
    <cellStyle name="Normal 4 8 2 3 2" xfId="22064" xr:uid="{10BF3AEC-48A0-46E9-96B1-29FDE96F9809}"/>
    <cellStyle name="Normal 4 8 2 3 3" xfId="13630" xr:uid="{E6F8ED31-B9D4-4E91-9206-CE25E73287D6}"/>
    <cellStyle name="Normal 4 8 2 4" xfId="17847" xr:uid="{3AC1E95F-30F4-415A-84F2-DCEAA78A0CA6}"/>
    <cellStyle name="Normal 4 8 2 5" xfId="9413" xr:uid="{99DA2952-BF12-4371-ACAB-35A4DB230030}"/>
    <cellStyle name="Normal 4 8 3" xfId="1297" xr:uid="{00000000-0005-0000-0000-0000CE160000}"/>
    <cellStyle name="Normal 4 8 3 2" xfId="3527" xr:uid="{00000000-0005-0000-0000-0000CF160000}"/>
    <cellStyle name="Normal 4 8 3 2 2" xfId="7750" xr:uid="{00000000-0005-0000-0000-0000D0160000}"/>
    <cellStyle name="Normal 4 8 3 2 2 2" xfId="24622" xr:uid="{4D1D3762-A3CD-428B-8729-4DE3956B5EC3}"/>
    <cellStyle name="Normal 4 8 3 2 2 3" xfId="16188" xr:uid="{9279EA9F-3921-42B1-95C6-94190FD60A08}"/>
    <cellStyle name="Normal 4 8 3 2 3" xfId="20405" xr:uid="{76CBD40D-6471-4E3F-9238-6921C7D902BD}"/>
    <cellStyle name="Normal 4 8 3 2 4" xfId="11971" xr:uid="{C5448DC5-6C3E-4E2A-8A42-41AAFF2B0141}"/>
    <cellStyle name="Normal 4 8 3 3" xfId="5605" xr:uid="{00000000-0005-0000-0000-0000D1160000}"/>
    <cellStyle name="Normal 4 8 3 3 2" xfId="22477" xr:uid="{1725EBB3-A1DF-4036-93B4-BD719FD88BD3}"/>
    <cellStyle name="Normal 4 8 3 3 3" xfId="14043" xr:uid="{E8E0204E-7214-4B1C-8AC2-4F526092A001}"/>
    <cellStyle name="Normal 4 8 3 4" xfId="18260" xr:uid="{B24863F3-4CB4-4960-8EB7-02DBA42FD97E}"/>
    <cellStyle name="Normal 4 8 3 5" xfId="9826" xr:uid="{253AADA5-ED3D-4B5C-A171-94F67635A2DB}"/>
    <cellStyle name="Normal 4 8 4" xfId="1710" xr:uid="{00000000-0005-0000-0000-0000D2160000}"/>
    <cellStyle name="Normal 4 8 4 2" xfId="3940" xr:uid="{00000000-0005-0000-0000-0000D3160000}"/>
    <cellStyle name="Normal 4 8 4 2 2" xfId="8163" xr:uid="{00000000-0005-0000-0000-0000D4160000}"/>
    <cellStyle name="Normal 4 8 4 2 2 2" xfId="25035" xr:uid="{ACCFF2B4-8802-47F4-A5EB-2E3D69E52225}"/>
    <cellStyle name="Normal 4 8 4 2 2 3" xfId="16601" xr:uid="{5467E776-BABA-4D4F-8641-AC46F8568507}"/>
    <cellStyle name="Normal 4 8 4 2 3" xfId="20818" xr:uid="{6425919F-4B65-4E91-A346-C6C1066169EE}"/>
    <cellStyle name="Normal 4 8 4 2 4" xfId="12384" xr:uid="{872F34E5-F7A1-4A85-9A04-973693D31A5A}"/>
    <cellStyle name="Normal 4 8 4 3" xfId="6018" xr:uid="{00000000-0005-0000-0000-0000D5160000}"/>
    <cellStyle name="Normal 4 8 4 3 2" xfId="22890" xr:uid="{B3FE898B-A5C8-41FE-85B4-C24946A73497}"/>
    <cellStyle name="Normal 4 8 4 3 3" xfId="14456" xr:uid="{F3A14664-F1C0-4965-81F4-AABDA2822DB9}"/>
    <cellStyle name="Normal 4 8 4 4" xfId="18673" xr:uid="{F6C8222D-0185-4A5B-BDB5-A4FA1038D800}"/>
    <cellStyle name="Normal 4 8 4 5" xfId="10239" xr:uid="{50B557AC-7F28-4906-BE4C-011908E71F1F}"/>
    <cellStyle name="Normal 4 8 5" xfId="2124" xr:uid="{00000000-0005-0000-0000-0000D6160000}"/>
    <cellStyle name="Normal 4 8 5 2" xfId="4353" xr:uid="{00000000-0005-0000-0000-0000D7160000}"/>
    <cellStyle name="Normal 4 8 5 2 2" xfId="8576" xr:uid="{00000000-0005-0000-0000-0000D8160000}"/>
    <cellStyle name="Normal 4 8 5 2 2 2" xfId="25448" xr:uid="{352A8B07-D37C-4744-A6D5-40AA2995675F}"/>
    <cellStyle name="Normal 4 8 5 2 2 3" xfId="17014" xr:uid="{C90E12BA-99CC-4B1A-87C0-EFB00F1D9D69}"/>
    <cellStyle name="Normal 4 8 5 2 3" xfId="21231" xr:uid="{4BB0FCE4-B4AE-46AE-98F3-309527AEC54F}"/>
    <cellStyle name="Normal 4 8 5 2 4" xfId="12797" xr:uid="{150D7AD4-DA28-4F71-A3C7-BC888D4F8B0C}"/>
    <cellStyle name="Normal 4 8 5 3" xfId="6431" xr:uid="{00000000-0005-0000-0000-0000D9160000}"/>
    <cellStyle name="Normal 4 8 5 3 2" xfId="23303" xr:uid="{3690FDC4-1B5B-4692-8F60-BADDB7886576}"/>
    <cellStyle name="Normal 4 8 5 3 3" xfId="14869" xr:uid="{B1619D97-1367-4D32-90D9-3DF63FE2D52E}"/>
    <cellStyle name="Normal 4 8 5 4" xfId="19086" xr:uid="{420CB1F6-4BDA-48CD-AA26-3A4034B55003}"/>
    <cellStyle name="Normal 4 8 5 5" xfId="10652" xr:uid="{8575F7AE-2AAD-465B-BF92-F6F6AA2E43A0}"/>
    <cellStyle name="Normal 4 8 6" xfId="2560" xr:uid="{00000000-0005-0000-0000-0000DA160000}"/>
    <cellStyle name="Normal 4 8 6 2" xfId="6844" xr:uid="{00000000-0005-0000-0000-0000DB160000}"/>
    <cellStyle name="Normal 4 8 6 2 2" xfId="23716" xr:uid="{CA949090-D2EF-429B-9ECE-1C74C36A3AAD}"/>
    <cellStyle name="Normal 4 8 6 2 3" xfId="15282" xr:uid="{1A1BA693-A152-4D8D-B038-16DC134BE63C}"/>
    <cellStyle name="Normal 4 8 6 3" xfId="19499" xr:uid="{0373125A-4164-4CF6-82B9-52EEDFE1C85F}"/>
    <cellStyle name="Normal 4 8 6 4" xfId="11065" xr:uid="{6E1AEE34-3434-4F94-82DC-D23DE2F0A330}"/>
    <cellStyle name="Normal 4 8 7" xfId="4779" xr:uid="{00000000-0005-0000-0000-0000DC160000}"/>
    <cellStyle name="Normal 4 8 7 2" xfId="21651" xr:uid="{F97DAEB0-D9E4-429E-A620-8E865BE5A1AE}"/>
    <cellStyle name="Normal 4 8 7 3" xfId="13217" xr:uid="{710FE18F-B830-46B1-A8F8-D42467BBA21A}"/>
    <cellStyle name="Normal 4 8 8" xfId="17434" xr:uid="{DD4CE9AF-357D-4160-BC72-E574E12F69F5}"/>
    <cellStyle name="Normal 4 8 9" xfId="9000" xr:uid="{99375037-D423-4350-AFC1-46B8CC20220F}"/>
    <cellStyle name="Normal 4 9" xfId="4716" xr:uid="{00000000-0005-0000-0000-0000DD160000}"/>
    <cellStyle name="Normal 4 9 2" xfId="21588" xr:uid="{0C9E9E8E-E365-4E1B-94D2-8CC38E60E02C}"/>
    <cellStyle name="Normal 4 9 3" xfId="13154" xr:uid="{46159EA3-DCD7-444B-9D6A-98CF1482BC27}"/>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25036" xr:uid="{604E5FA7-B1C7-4232-91FD-AC8F12D9E9FA}"/>
    <cellStyle name="Normal 5 10 2 2 3" xfId="16602" xr:uid="{92CC6496-F7DB-4EBD-A9C5-9A48880F39B4}"/>
    <cellStyle name="Normal 5 10 2 3" xfId="20819" xr:uid="{5E79C40D-438E-46E6-8F79-A48113CDDDE1}"/>
    <cellStyle name="Normal 5 10 2 4" xfId="12385" xr:uid="{62822ECE-C64F-40FA-BA5B-6E4CF7F7A79E}"/>
    <cellStyle name="Normal 5 10 3" xfId="6019" xr:uid="{00000000-0005-0000-0000-0000E2160000}"/>
    <cellStyle name="Normal 5 10 3 2" xfId="22891" xr:uid="{37821C66-98A7-4E5D-A1D5-67BDE791C2D2}"/>
    <cellStyle name="Normal 5 10 3 3" xfId="14457" xr:uid="{E1989D09-A3A1-427F-AE05-B8363FDCBBC5}"/>
    <cellStyle name="Normal 5 10 4" xfId="18674" xr:uid="{EAE653AC-2CB2-4A75-8A3C-327F6C54B6E8}"/>
    <cellStyle name="Normal 5 10 5" xfId="10240" xr:uid="{8432FE8D-D03E-4196-8EA1-4AEA4782F71C}"/>
    <cellStyle name="Normal 5 11" xfId="2125" xr:uid="{00000000-0005-0000-0000-0000E3160000}"/>
    <cellStyle name="Normal 5 11 2" xfId="4354" xr:uid="{00000000-0005-0000-0000-0000E4160000}"/>
    <cellStyle name="Normal 5 11 2 2" xfId="8577" xr:uid="{00000000-0005-0000-0000-0000E5160000}"/>
    <cellStyle name="Normal 5 11 2 2 2" xfId="25449" xr:uid="{1876940A-55B5-4D31-BE7E-957B48CFCF12}"/>
    <cellStyle name="Normal 5 11 2 2 3" xfId="17015" xr:uid="{BA32478F-5B43-40D7-84A9-6EA78528DA37}"/>
    <cellStyle name="Normal 5 11 2 3" xfId="21232" xr:uid="{C3DD4182-458C-44F5-881F-50626B6B4904}"/>
    <cellStyle name="Normal 5 11 2 4" xfId="12798" xr:uid="{04E7418B-D301-48A8-9DC1-A7DAE603A282}"/>
    <cellStyle name="Normal 5 11 3" xfId="6432" xr:uid="{00000000-0005-0000-0000-0000E6160000}"/>
    <cellStyle name="Normal 5 11 3 2" xfId="23304" xr:uid="{FD5C3F6B-4409-4989-A593-8A2DE266CA76}"/>
    <cellStyle name="Normal 5 11 3 3" xfId="14870" xr:uid="{8E748109-486C-4BB9-98CA-341143F20537}"/>
    <cellStyle name="Normal 5 11 4" xfId="19087" xr:uid="{68246697-EB28-4BF3-899C-1D6500BC6D32}"/>
    <cellStyle name="Normal 5 11 5" xfId="10653" xr:uid="{BB8084C8-381F-450F-BED2-3C4034773A97}"/>
    <cellStyle name="Normal 5 12" xfId="2561" xr:uid="{00000000-0005-0000-0000-0000E7160000}"/>
    <cellStyle name="Normal 5 12 2" xfId="6845" xr:uid="{00000000-0005-0000-0000-0000E8160000}"/>
    <cellStyle name="Normal 5 12 2 2" xfId="23717" xr:uid="{0B96FC8B-51CF-47FC-A66B-DC43BA384C17}"/>
    <cellStyle name="Normal 5 12 2 3" xfId="15283" xr:uid="{70D4B5C1-36F2-4B40-B768-0ECCEC113A7E}"/>
    <cellStyle name="Normal 5 12 3" xfId="19500" xr:uid="{7FC895EB-CA1A-4400-B730-8AFCA2DFD405}"/>
    <cellStyle name="Normal 5 12 4" xfId="11066" xr:uid="{A411960E-8C1E-4859-89DF-BEA48FFBD90A}"/>
    <cellStyle name="Normal 5 13" xfId="4780" xr:uid="{00000000-0005-0000-0000-0000E9160000}"/>
    <cellStyle name="Normal 5 13 2" xfId="21652" xr:uid="{7D31D18E-39FC-4E80-B9EB-5BB0F118D6C9}"/>
    <cellStyle name="Normal 5 13 3" xfId="13218" xr:uid="{B9FA4ED4-E6B6-42D9-A926-71A8C0408FFF}"/>
    <cellStyle name="Normal 5 14" xfId="17435" xr:uid="{04887ED4-B672-4B14-945E-FE3D00A1316F}"/>
    <cellStyle name="Normal 5 15" xfId="9001" xr:uid="{720764DC-039B-4E02-B378-7F3DE58A619C}"/>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25450" xr:uid="{C88862A3-34F4-4E27-A313-ADC4FA52B26A}"/>
    <cellStyle name="Normal 5 2 10 2 2 3" xfId="17016" xr:uid="{F351C04F-6505-45EF-86DA-05D0F2BA76F4}"/>
    <cellStyle name="Normal 5 2 10 2 3" xfId="21233" xr:uid="{B8DD57E4-F044-40C0-952B-50F05EAE4998}"/>
    <cellStyle name="Normal 5 2 10 2 4" xfId="12799" xr:uid="{29F2B118-F27F-4D61-96C7-48301BCC93F3}"/>
    <cellStyle name="Normal 5 2 10 3" xfId="6433" xr:uid="{00000000-0005-0000-0000-0000EE160000}"/>
    <cellStyle name="Normal 5 2 10 3 2" xfId="23305" xr:uid="{3395B789-3565-4A8B-B074-66F36D58567F}"/>
    <cellStyle name="Normal 5 2 10 3 3" xfId="14871" xr:uid="{5955AF4B-44EB-4569-8311-94A638BFD829}"/>
    <cellStyle name="Normal 5 2 10 4" xfId="19088" xr:uid="{0ECC5821-6B69-4A09-97F4-1866CB515395}"/>
    <cellStyle name="Normal 5 2 10 5" xfId="10654" xr:uid="{9C4144DC-1272-4D1A-A62D-454E459075BC}"/>
    <cellStyle name="Normal 5 2 11" xfId="2562" xr:uid="{00000000-0005-0000-0000-0000EF160000}"/>
    <cellStyle name="Normal 5 2 11 2" xfId="6846" xr:uid="{00000000-0005-0000-0000-0000F0160000}"/>
    <cellStyle name="Normal 5 2 11 2 2" xfId="23718" xr:uid="{6EB74DCE-EC3A-4F7B-9479-5D0E3C3D6367}"/>
    <cellStyle name="Normal 5 2 11 2 3" xfId="15284" xr:uid="{54BB99A6-CEFA-4830-B55D-4E2244F6F339}"/>
    <cellStyle name="Normal 5 2 11 3" xfId="19501" xr:uid="{C056FA08-8EFE-46DA-9E3C-20FC5A7D8DB0}"/>
    <cellStyle name="Normal 5 2 11 4" xfId="11067" xr:uid="{7EAD4BEF-DDF9-487C-8487-C0EF29B303EE}"/>
    <cellStyle name="Normal 5 2 12" xfId="4781" xr:uid="{00000000-0005-0000-0000-0000F1160000}"/>
    <cellStyle name="Normal 5 2 12 2" xfId="21653" xr:uid="{12F3C82B-AA6A-490A-BB2E-565EA1F98D05}"/>
    <cellStyle name="Normal 5 2 12 3" xfId="13219" xr:uid="{A20C8473-64AB-461F-9E70-6477E66C80CC}"/>
    <cellStyle name="Normal 5 2 13" xfId="17436" xr:uid="{49F21A99-E836-4121-A91F-4EB52395B4EC}"/>
    <cellStyle name="Normal 5 2 14" xfId="9002" xr:uid="{F3539698-5619-438E-AD9E-C2C34A9AD15E}"/>
    <cellStyle name="Normal 5 2 2" xfId="408" xr:uid="{00000000-0005-0000-0000-0000F2160000}"/>
    <cellStyle name="Normal 5 2 2 10" xfId="2563" xr:uid="{00000000-0005-0000-0000-0000F3160000}"/>
    <cellStyle name="Normal 5 2 2 10 2" xfId="6847" xr:uid="{00000000-0005-0000-0000-0000F4160000}"/>
    <cellStyle name="Normal 5 2 2 10 2 2" xfId="23719" xr:uid="{02DB0D94-870D-43ED-ABFD-B32BE63382AF}"/>
    <cellStyle name="Normal 5 2 2 10 2 3" xfId="15285" xr:uid="{2F2AB84B-3532-4F24-819B-0AD6841CDBBC}"/>
    <cellStyle name="Normal 5 2 2 10 3" xfId="19502" xr:uid="{4160C904-6F66-4D0B-8DC2-88D054CE71A3}"/>
    <cellStyle name="Normal 5 2 2 10 4" xfId="11068" xr:uid="{519D43E9-4A0B-4F92-92CB-EDAB74512295}"/>
    <cellStyle name="Normal 5 2 2 11" xfId="4782" xr:uid="{00000000-0005-0000-0000-0000F5160000}"/>
    <cellStyle name="Normal 5 2 2 11 2" xfId="21654" xr:uid="{78BC7616-7809-45EB-B8C5-EB1E9077F4DB}"/>
    <cellStyle name="Normal 5 2 2 11 3" xfId="13220" xr:uid="{8C0A13F5-92B5-4D71-B7A7-392D37B806B3}"/>
    <cellStyle name="Normal 5 2 2 12" xfId="17437" xr:uid="{DE871066-8FCD-41F7-A8C1-F524D3C5D1D0}"/>
    <cellStyle name="Normal 5 2 2 13" xfId="9003" xr:uid="{9DF0CE10-BB1A-4692-8749-A0630B07EEF4}"/>
    <cellStyle name="Normal 5 2 2 2" xfId="409" xr:uid="{00000000-0005-0000-0000-0000F6160000}"/>
    <cellStyle name="Normal 5 2 2 2 10" xfId="4783" xr:uid="{00000000-0005-0000-0000-0000F7160000}"/>
    <cellStyle name="Normal 5 2 2 2 10 2" xfId="21655" xr:uid="{11D6121C-D2F4-4D34-B822-BBD9EFE672AD}"/>
    <cellStyle name="Normal 5 2 2 2 10 3" xfId="13221" xr:uid="{384AB685-1DED-4689-9FCF-C18416873D9D}"/>
    <cellStyle name="Normal 5 2 2 2 11" xfId="17438" xr:uid="{B2DB1164-A3C9-4F5E-B415-B6226F996212}"/>
    <cellStyle name="Normal 5 2 2 2 12" xfId="9004" xr:uid="{C71802F8-0FE1-4FC1-BA7D-D2F3F69AC1F9}"/>
    <cellStyle name="Normal 5 2 2 2 2" xfId="410" xr:uid="{00000000-0005-0000-0000-0000F8160000}"/>
    <cellStyle name="Normal 5 2 2 2 2 10" xfId="17439" xr:uid="{2F2B29AA-3011-4CF6-AD89-0F1884EFF5AA}"/>
    <cellStyle name="Normal 5 2 2 2 2 11" xfId="9005" xr:uid="{639E81B2-125E-4415-8F8C-692428367B4F}"/>
    <cellStyle name="Normal 5 2 2 2 2 2" xfId="411" xr:uid="{00000000-0005-0000-0000-0000F9160000}"/>
    <cellStyle name="Normal 5 2 2 2 2 2 10" xfId="9006" xr:uid="{94A0DA26-8780-467B-8F21-CF80DD527D18}"/>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24216" xr:uid="{7FF46426-DC23-4A32-97EE-DB1A8A6665FE}"/>
    <cellStyle name="Normal 5 2 2 2 2 2 2 2 2 2 3" xfId="15782" xr:uid="{20C2111F-9699-4382-8BC3-A12D5F818F6A}"/>
    <cellStyle name="Normal 5 2 2 2 2 2 2 2 2 3" xfId="19999" xr:uid="{F7785C3D-0ABA-427C-B09B-60B04AAB7B20}"/>
    <cellStyle name="Normal 5 2 2 2 2 2 2 2 2 4" xfId="11565" xr:uid="{D53DB723-0AF6-4ACB-B5F6-C8E9F07A3B6B}"/>
    <cellStyle name="Normal 5 2 2 2 2 2 2 2 3" xfId="5199" xr:uid="{00000000-0005-0000-0000-0000FE160000}"/>
    <cellStyle name="Normal 5 2 2 2 2 2 2 2 3 2" xfId="22071" xr:uid="{CBBA119B-53A8-4EBC-B922-45CC71AF0D8C}"/>
    <cellStyle name="Normal 5 2 2 2 2 2 2 2 3 3" xfId="13637" xr:uid="{5F6187FD-0ABD-4CDD-9904-A1329598A5BA}"/>
    <cellStyle name="Normal 5 2 2 2 2 2 2 2 4" xfId="17854" xr:uid="{6CD3DDD5-CB2C-4028-82CC-173E862845F7}"/>
    <cellStyle name="Normal 5 2 2 2 2 2 2 2 5" xfId="9420" xr:uid="{409B789B-C9D1-4192-BC48-5D7BBB999BF1}"/>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24629" xr:uid="{6EF4EA3F-2A51-4CE3-868F-7C8FA6408962}"/>
    <cellStyle name="Normal 5 2 2 2 2 2 2 3 2 2 3" xfId="16195" xr:uid="{787C33FC-05D8-4935-90A2-2AEC38E64BB5}"/>
    <cellStyle name="Normal 5 2 2 2 2 2 2 3 2 3" xfId="20412" xr:uid="{F5D3DD0E-6E92-430F-B6E5-2C0D78BC9489}"/>
    <cellStyle name="Normal 5 2 2 2 2 2 2 3 2 4" xfId="11978" xr:uid="{1EB8A112-372E-451D-90B8-542715A7188E}"/>
    <cellStyle name="Normal 5 2 2 2 2 2 2 3 3" xfId="5612" xr:uid="{00000000-0005-0000-0000-000002170000}"/>
    <cellStyle name="Normal 5 2 2 2 2 2 2 3 3 2" xfId="22484" xr:uid="{5ECFE27E-0070-4C3D-B38E-81A06CC80591}"/>
    <cellStyle name="Normal 5 2 2 2 2 2 2 3 3 3" xfId="14050" xr:uid="{FE814F27-7769-4AB5-8AEB-24BC6C5DDDA4}"/>
    <cellStyle name="Normal 5 2 2 2 2 2 2 3 4" xfId="18267" xr:uid="{2B527FEE-AACC-4830-B6C9-B2A593B20CB5}"/>
    <cellStyle name="Normal 5 2 2 2 2 2 2 3 5" xfId="9833" xr:uid="{E00302BB-15E5-4775-9818-FA3FB20B9C7A}"/>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25042" xr:uid="{81B0ED47-3D61-4462-A420-B5ACC3E59960}"/>
    <cellStyle name="Normal 5 2 2 2 2 2 2 4 2 2 3" xfId="16608" xr:uid="{DDA93196-EF3B-425A-BB53-AF5183A32E2D}"/>
    <cellStyle name="Normal 5 2 2 2 2 2 2 4 2 3" xfId="20825" xr:uid="{A0BF0CB6-5C9F-4E8C-8F03-3AB8CD97CF37}"/>
    <cellStyle name="Normal 5 2 2 2 2 2 2 4 2 4" xfId="12391" xr:uid="{9499B6E5-EF5D-4840-B9DF-048C2326978A}"/>
    <cellStyle name="Normal 5 2 2 2 2 2 2 4 3" xfId="6025" xr:uid="{00000000-0005-0000-0000-000006170000}"/>
    <cellStyle name="Normal 5 2 2 2 2 2 2 4 3 2" xfId="22897" xr:uid="{B00EC56B-A908-4803-97CA-E6A98A75C483}"/>
    <cellStyle name="Normal 5 2 2 2 2 2 2 4 3 3" xfId="14463" xr:uid="{D36C3511-EE3E-4286-9086-73F40D7E9ABF}"/>
    <cellStyle name="Normal 5 2 2 2 2 2 2 4 4" xfId="18680" xr:uid="{6AD6C827-3209-4AC4-A195-3458F9B27FA5}"/>
    <cellStyle name="Normal 5 2 2 2 2 2 2 4 5" xfId="10246" xr:uid="{2FABB025-B546-4871-9769-37CE7FB7D302}"/>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25455" xr:uid="{C64FF0FC-3BEC-45B6-93B7-C3F2AC7CD5B6}"/>
    <cellStyle name="Normal 5 2 2 2 2 2 2 5 2 2 3" xfId="17021" xr:uid="{257ED587-EB32-4C34-A1EA-0ABA0A0E03EF}"/>
    <cellStyle name="Normal 5 2 2 2 2 2 2 5 2 3" xfId="21238" xr:uid="{7E580142-4E86-463E-9928-2C09242556E6}"/>
    <cellStyle name="Normal 5 2 2 2 2 2 2 5 2 4" xfId="12804" xr:uid="{67675203-CFB3-4385-8149-A4F9179449F6}"/>
    <cellStyle name="Normal 5 2 2 2 2 2 2 5 3" xfId="6438" xr:uid="{00000000-0005-0000-0000-00000A170000}"/>
    <cellStyle name="Normal 5 2 2 2 2 2 2 5 3 2" xfId="23310" xr:uid="{DDCACB43-4CD5-45FE-8396-681417B676C2}"/>
    <cellStyle name="Normal 5 2 2 2 2 2 2 5 3 3" xfId="14876" xr:uid="{446A4ABC-91F7-45A6-BB3C-354F974CFA72}"/>
    <cellStyle name="Normal 5 2 2 2 2 2 2 5 4" xfId="19093" xr:uid="{93B8346D-3B4E-46C8-A167-F2B3A0B8083F}"/>
    <cellStyle name="Normal 5 2 2 2 2 2 2 5 5" xfId="10659" xr:uid="{F70492C4-79C7-4A59-A31B-C51536F11475}"/>
    <cellStyle name="Normal 5 2 2 2 2 2 2 6" xfId="2567" xr:uid="{00000000-0005-0000-0000-00000B170000}"/>
    <cellStyle name="Normal 5 2 2 2 2 2 2 6 2" xfId="6851" xr:uid="{00000000-0005-0000-0000-00000C170000}"/>
    <cellStyle name="Normal 5 2 2 2 2 2 2 6 2 2" xfId="23723" xr:uid="{A51D6AA8-084B-44EF-8EAE-176080940A12}"/>
    <cellStyle name="Normal 5 2 2 2 2 2 2 6 2 3" xfId="15289" xr:uid="{5F2BE44A-43FF-483E-B597-FED16FBCD18F}"/>
    <cellStyle name="Normal 5 2 2 2 2 2 2 6 3" xfId="19506" xr:uid="{F2C155E4-8A17-4F27-9D9B-B51C60F5962F}"/>
    <cellStyle name="Normal 5 2 2 2 2 2 2 6 4" xfId="11072" xr:uid="{15DDD083-05B7-477F-92AE-EB2455E464B1}"/>
    <cellStyle name="Normal 5 2 2 2 2 2 2 7" xfId="4786" xr:uid="{00000000-0005-0000-0000-00000D170000}"/>
    <cellStyle name="Normal 5 2 2 2 2 2 2 7 2" xfId="21658" xr:uid="{43F52255-6E79-414B-B325-A7ACCF0ECB7F}"/>
    <cellStyle name="Normal 5 2 2 2 2 2 2 7 3" xfId="13224" xr:uid="{31174D0F-8C94-47EB-811F-A7B00D60E559}"/>
    <cellStyle name="Normal 5 2 2 2 2 2 2 8" xfId="17441" xr:uid="{7265B0D2-52A3-49E0-B424-A408DED515D9}"/>
    <cellStyle name="Normal 5 2 2 2 2 2 2 9" xfId="9007" xr:uid="{654E24B5-6065-4D55-AF4C-2EC95CA2D96B}"/>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24215" xr:uid="{58775D1A-9CE1-4E8E-B5A7-C4A70C8E0D27}"/>
    <cellStyle name="Normal 5 2 2 2 2 2 3 2 2 3" xfId="15781" xr:uid="{FA9F998C-050B-424B-A25F-687F4C4B3D0F}"/>
    <cellStyle name="Normal 5 2 2 2 2 2 3 2 3" xfId="19998" xr:uid="{DB87E130-18AC-4A01-8854-CC1A863513C5}"/>
    <cellStyle name="Normal 5 2 2 2 2 2 3 2 4" xfId="11564" xr:uid="{D5840E50-0DD3-4D5E-A6D8-B0CA313853C5}"/>
    <cellStyle name="Normal 5 2 2 2 2 2 3 3" xfId="5198" xr:uid="{00000000-0005-0000-0000-000011170000}"/>
    <cellStyle name="Normal 5 2 2 2 2 2 3 3 2" xfId="22070" xr:uid="{34613622-6422-4D78-AB22-6B622EDC51E1}"/>
    <cellStyle name="Normal 5 2 2 2 2 2 3 3 3" xfId="13636" xr:uid="{23573060-8410-4DA5-843C-782CACFFA3F5}"/>
    <cellStyle name="Normal 5 2 2 2 2 2 3 4" xfId="17853" xr:uid="{DA9B05C8-45D3-4AE6-9DDC-9DE17552C894}"/>
    <cellStyle name="Normal 5 2 2 2 2 2 3 5" xfId="9419" xr:uid="{847E7A4B-00C3-40FD-8F2F-37E366ABBE1E}"/>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24628" xr:uid="{0B62FD7D-D457-4F46-9AC8-ED3CED55B8C8}"/>
    <cellStyle name="Normal 5 2 2 2 2 2 4 2 2 3" xfId="16194" xr:uid="{D837E0F9-A4BA-4D8C-9F4A-60FD30590182}"/>
    <cellStyle name="Normal 5 2 2 2 2 2 4 2 3" xfId="20411" xr:uid="{AC073D99-0CD3-4C99-84EB-405CCAE34C5E}"/>
    <cellStyle name="Normal 5 2 2 2 2 2 4 2 4" xfId="11977" xr:uid="{04F30D00-089D-4293-8FBE-899057BCB31A}"/>
    <cellStyle name="Normal 5 2 2 2 2 2 4 3" xfId="5611" xr:uid="{00000000-0005-0000-0000-000015170000}"/>
    <cellStyle name="Normal 5 2 2 2 2 2 4 3 2" xfId="22483" xr:uid="{756716C2-F031-47F3-A4D3-70156770F21B}"/>
    <cellStyle name="Normal 5 2 2 2 2 2 4 3 3" xfId="14049" xr:uid="{DBD0AE56-7F7A-4C40-B798-0EE6363A6A97}"/>
    <cellStyle name="Normal 5 2 2 2 2 2 4 4" xfId="18266" xr:uid="{0793546C-0511-4127-8605-163E6DC23FDE}"/>
    <cellStyle name="Normal 5 2 2 2 2 2 4 5" xfId="9832" xr:uid="{0151AC95-1390-4BDC-BEB4-01EA9F4AEE87}"/>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25041" xr:uid="{3DB45C20-9209-4C5A-A740-A965CCF8D35D}"/>
    <cellStyle name="Normal 5 2 2 2 2 2 5 2 2 3" xfId="16607" xr:uid="{A13C1694-A6C7-4DEE-97B2-B3E808F21D49}"/>
    <cellStyle name="Normal 5 2 2 2 2 2 5 2 3" xfId="20824" xr:uid="{3F4E1374-31F1-4D4F-935C-86520F96C2CA}"/>
    <cellStyle name="Normal 5 2 2 2 2 2 5 2 4" xfId="12390" xr:uid="{9F646F8A-D187-4E59-93F6-E1C22327F67B}"/>
    <cellStyle name="Normal 5 2 2 2 2 2 5 3" xfId="6024" xr:uid="{00000000-0005-0000-0000-000019170000}"/>
    <cellStyle name="Normal 5 2 2 2 2 2 5 3 2" xfId="22896" xr:uid="{5E6A6025-98AA-4C4E-B117-D362FC955967}"/>
    <cellStyle name="Normal 5 2 2 2 2 2 5 3 3" xfId="14462" xr:uid="{07BB1020-5F01-4548-9EA5-B86903B723C9}"/>
    <cellStyle name="Normal 5 2 2 2 2 2 5 4" xfId="18679" xr:uid="{0A4876E9-3999-4F2E-B944-861BC2FDF6E9}"/>
    <cellStyle name="Normal 5 2 2 2 2 2 5 5" xfId="10245" xr:uid="{CAF7D7A2-4786-4912-98D2-B7D1CC09AB0F}"/>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25454" xr:uid="{361171BF-889A-4656-BE53-A518E20DACF3}"/>
    <cellStyle name="Normal 5 2 2 2 2 2 6 2 2 3" xfId="17020" xr:uid="{FC6AC23C-8E79-4A5E-9E8B-E7CD186BDFF5}"/>
    <cellStyle name="Normal 5 2 2 2 2 2 6 2 3" xfId="21237" xr:uid="{0FFFD8DF-38F0-439F-B93C-A8C997AE80F3}"/>
    <cellStyle name="Normal 5 2 2 2 2 2 6 2 4" xfId="12803" xr:uid="{CF5FE2B7-E9F6-4DDB-89EF-5EF7A259A925}"/>
    <cellStyle name="Normal 5 2 2 2 2 2 6 3" xfId="6437" xr:uid="{00000000-0005-0000-0000-00001D170000}"/>
    <cellStyle name="Normal 5 2 2 2 2 2 6 3 2" xfId="23309" xr:uid="{11327B8A-2A86-49B5-80D4-60DE208BFA9F}"/>
    <cellStyle name="Normal 5 2 2 2 2 2 6 3 3" xfId="14875" xr:uid="{4B640ADB-0110-45EE-8BF0-E751F0FE1339}"/>
    <cellStyle name="Normal 5 2 2 2 2 2 6 4" xfId="19092" xr:uid="{51A8BC9B-1405-4F98-BD0E-BF9F92E9072F}"/>
    <cellStyle name="Normal 5 2 2 2 2 2 6 5" xfId="10658" xr:uid="{239C3CCF-726E-4C11-A4A2-7156F5E73581}"/>
    <cellStyle name="Normal 5 2 2 2 2 2 7" xfId="2566" xr:uid="{00000000-0005-0000-0000-00001E170000}"/>
    <cellStyle name="Normal 5 2 2 2 2 2 7 2" xfId="6850" xr:uid="{00000000-0005-0000-0000-00001F170000}"/>
    <cellStyle name="Normal 5 2 2 2 2 2 7 2 2" xfId="23722" xr:uid="{F5D07CBB-D52F-4B62-9A78-EA29C3D505EA}"/>
    <cellStyle name="Normal 5 2 2 2 2 2 7 2 3" xfId="15288" xr:uid="{2DBED388-EDCC-45BE-942F-906ED0B33C21}"/>
    <cellStyle name="Normal 5 2 2 2 2 2 7 3" xfId="19505" xr:uid="{027F3319-E02E-4FDA-AF2C-E1B65C7F047F}"/>
    <cellStyle name="Normal 5 2 2 2 2 2 7 4" xfId="11071" xr:uid="{F6CF6344-527B-4C5D-9F5C-89FADB92A389}"/>
    <cellStyle name="Normal 5 2 2 2 2 2 8" xfId="4785" xr:uid="{00000000-0005-0000-0000-000020170000}"/>
    <cellStyle name="Normal 5 2 2 2 2 2 8 2" xfId="21657" xr:uid="{A5199E75-3717-4507-807A-4AD85EFF7D9A}"/>
    <cellStyle name="Normal 5 2 2 2 2 2 8 3" xfId="13223" xr:uid="{E95F4C0F-E151-4676-A6E0-36A65CFCDE78}"/>
    <cellStyle name="Normal 5 2 2 2 2 2 9" xfId="17440" xr:uid="{FC7F5E4A-9341-4E71-8CA8-78745A13708B}"/>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24217" xr:uid="{87329BAA-B576-4B46-97F4-2D843445A735}"/>
    <cellStyle name="Normal 5 2 2 2 2 3 2 2 2 3" xfId="15783" xr:uid="{38566282-6FF4-4CEE-8DDB-D727FD2BD413}"/>
    <cellStyle name="Normal 5 2 2 2 2 3 2 2 3" xfId="20000" xr:uid="{8FF03919-54A7-40E4-8408-B3E8E7FBEBDD}"/>
    <cellStyle name="Normal 5 2 2 2 2 3 2 2 4" xfId="11566" xr:uid="{EF56D46C-F194-4886-BFD7-FC082541C8FD}"/>
    <cellStyle name="Normal 5 2 2 2 2 3 2 3" xfId="5200" xr:uid="{00000000-0005-0000-0000-000025170000}"/>
    <cellStyle name="Normal 5 2 2 2 2 3 2 3 2" xfId="22072" xr:uid="{28190D34-F873-438C-9CD2-4F0702B330B2}"/>
    <cellStyle name="Normal 5 2 2 2 2 3 2 3 3" xfId="13638" xr:uid="{12F4F1ED-A097-440D-984A-811E2AC2AF48}"/>
    <cellStyle name="Normal 5 2 2 2 2 3 2 4" xfId="17855" xr:uid="{16C20041-4074-4FAA-A692-008BDE3C6E9D}"/>
    <cellStyle name="Normal 5 2 2 2 2 3 2 5" xfId="9421" xr:uid="{9029EC3E-B8CA-4503-8E50-DE29E389A76A}"/>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24630" xr:uid="{0C6DD157-BB06-4FF9-B2DE-3344CD41A815}"/>
    <cellStyle name="Normal 5 2 2 2 2 3 3 2 2 3" xfId="16196" xr:uid="{2FFECC2E-06AC-45CA-91C3-9CDF794E2ECE}"/>
    <cellStyle name="Normal 5 2 2 2 2 3 3 2 3" xfId="20413" xr:uid="{BE0C9598-804A-4BF6-95C0-07706BEC8E72}"/>
    <cellStyle name="Normal 5 2 2 2 2 3 3 2 4" xfId="11979" xr:uid="{7EFD570E-40CD-4047-8F8D-B7633EDB808A}"/>
    <cellStyle name="Normal 5 2 2 2 2 3 3 3" xfId="5613" xr:uid="{00000000-0005-0000-0000-000029170000}"/>
    <cellStyle name="Normal 5 2 2 2 2 3 3 3 2" xfId="22485" xr:uid="{8DE42B7C-2D23-4998-9DC9-B5FCDD3CC6BB}"/>
    <cellStyle name="Normal 5 2 2 2 2 3 3 3 3" xfId="14051" xr:uid="{FF33A1C2-7961-454B-9548-FFB22DD0193C}"/>
    <cellStyle name="Normal 5 2 2 2 2 3 3 4" xfId="18268" xr:uid="{135BAEE5-4D7B-4A4A-A5C0-C3AC1632BFBE}"/>
    <cellStyle name="Normal 5 2 2 2 2 3 3 5" xfId="9834" xr:uid="{3D18B416-4469-4D2B-A73B-1F6368511D53}"/>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25043" xr:uid="{A5346535-4A80-4F56-ADB1-605B5EC43178}"/>
    <cellStyle name="Normal 5 2 2 2 2 3 4 2 2 3" xfId="16609" xr:uid="{08ABC794-3991-4974-923C-F926849E3453}"/>
    <cellStyle name="Normal 5 2 2 2 2 3 4 2 3" xfId="20826" xr:uid="{2DADA4F4-03BA-4903-8034-5DBE9FB6303E}"/>
    <cellStyle name="Normal 5 2 2 2 2 3 4 2 4" xfId="12392" xr:uid="{1315FB9A-C3F3-457F-88E5-0F9A103552AE}"/>
    <cellStyle name="Normal 5 2 2 2 2 3 4 3" xfId="6026" xr:uid="{00000000-0005-0000-0000-00002D170000}"/>
    <cellStyle name="Normal 5 2 2 2 2 3 4 3 2" xfId="22898" xr:uid="{7284828C-071B-4FE1-B30C-2CE65A0437C0}"/>
    <cellStyle name="Normal 5 2 2 2 2 3 4 3 3" xfId="14464" xr:uid="{F9D29C61-964B-4493-AC9B-C8062FD0798A}"/>
    <cellStyle name="Normal 5 2 2 2 2 3 4 4" xfId="18681" xr:uid="{CB5EAAAD-024D-4A7A-A936-1C2FD13E3177}"/>
    <cellStyle name="Normal 5 2 2 2 2 3 4 5" xfId="10247" xr:uid="{3D7007E9-C232-43DC-8E86-32520D1CBC7B}"/>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25456" xr:uid="{82F94633-C521-4FD1-99BC-74F0606D009D}"/>
    <cellStyle name="Normal 5 2 2 2 2 3 5 2 2 3" xfId="17022" xr:uid="{6A7CD8F8-2C37-4877-949E-87B0088F2F12}"/>
    <cellStyle name="Normal 5 2 2 2 2 3 5 2 3" xfId="21239" xr:uid="{E67B3E30-F54A-499E-9488-BD6F40E41E3F}"/>
    <cellStyle name="Normal 5 2 2 2 2 3 5 2 4" xfId="12805" xr:uid="{083FC56F-F7D8-4E32-A63D-118C7F767EAF}"/>
    <cellStyle name="Normal 5 2 2 2 2 3 5 3" xfId="6439" xr:uid="{00000000-0005-0000-0000-000031170000}"/>
    <cellStyle name="Normal 5 2 2 2 2 3 5 3 2" xfId="23311" xr:uid="{58AC9F5D-5D76-4EF6-8B19-D2B244D5C22A}"/>
    <cellStyle name="Normal 5 2 2 2 2 3 5 3 3" xfId="14877" xr:uid="{2DEB5A32-FC74-404E-A0F7-AA9DE2B219AE}"/>
    <cellStyle name="Normal 5 2 2 2 2 3 5 4" xfId="19094" xr:uid="{D6F132D8-6731-47A0-8A26-6D3906B39902}"/>
    <cellStyle name="Normal 5 2 2 2 2 3 5 5" xfId="10660" xr:uid="{A0DC08A6-31D9-4631-9BB3-56ADBAFD2C17}"/>
    <cellStyle name="Normal 5 2 2 2 2 3 6" xfId="2568" xr:uid="{00000000-0005-0000-0000-000032170000}"/>
    <cellStyle name="Normal 5 2 2 2 2 3 6 2" xfId="6852" xr:uid="{00000000-0005-0000-0000-000033170000}"/>
    <cellStyle name="Normal 5 2 2 2 2 3 6 2 2" xfId="23724" xr:uid="{8A3D60FF-0039-474D-8B52-00D12F2622A1}"/>
    <cellStyle name="Normal 5 2 2 2 2 3 6 2 3" xfId="15290" xr:uid="{7CB165B5-A01E-4F1E-ADDE-DF07327584AE}"/>
    <cellStyle name="Normal 5 2 2 2 2 3 6 3" xfId="19507" xr:uid="{E8065CC3-E915-45D3-99C8-3DE354B97C57}"/>
    <cellStyle name="Normal 5 2 2 2 2 3 6 4" xfId="11073" xr:uid="{53FBA0F5-DDC4-4BEE-A215-28DBB133216D}"/>
    <cellStyle name="Normal 5 2 2 2 2 3 7" xfId="4787" xr:uid="{00000000-0005-0000-0000-000034170000}"/>
    <cellStyle name="Normal 5 2 2 2 2 3 7 2" xfId="21659" xr:uid="{01906D6F-7791-4331-924F-4993C7BF0515}"/>
    <cellStyle name="Normal 5 2 2 2 2 3 7 3" xfId="13225" xr:uid="{D23F1E4C-38FA-450A-B13F-1FA7849A060F}"/>
    <cellStyle name="Normal 5 2 2 2 2 3 8" xfId="17442" xr:uid="{D0618455-2B87-4DA6-8EDC-BA67FA7D795D}"/>
    <cellStyle name="Normal 5 2 2 2 2 3 9" xfId="9008" xr:uid="{2DBE5ACB-F848-4C40-8DDA-9025D1C3B627}"/>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24214" xr:uid="{D6AFF67F-52E0-4434-BD29-6D7B38AA4374}"/>
    <cellStyle name="Normal 5 2 2 2 2 4 2 2 3" xfId="15780" xr:uid="{46AC65DA-F761-4D41-AFB1-FABD91E51F3D}"/>
    <cellStyle name="Normal 5 2 2 2 2 4 2 3" xfId="19997" xr:uid="{9A6777EF-6876-4375-AE9C-53D4D7C6F99C}"/>
    <cellStyle name="Normal 5 2 2 2 2 4 2 4" xfId="11563" xr:uid="{FC07B0BA-73BE-4BC2-B3F5-4D4C20442C5A}"/>
    <cellStyle name="Normal 5 2 2 2 2 4 3" xfId="5197" xr:uid="{00000000-0005-0000-0000-000038170000}"/>
    <cellStyle name="Normal 5 2 2 2 2 4 3 2" xfId="22069" xr:uid="{6DEB714D-11DE-4C79-A907-E9C4C08F2F6F}"/>
    <cellStyle name="Normal 5 2 2 2 2 4 3 3" xfId="13635" xr:uid="{F5CC3887-9205-418C-92E1-CDD00774B907}"/>
    <cellStyle name="Normal 5 2 2 2 2 4 4" xfId="17852" xr:uid="{549AB271-66D0-45E8-B275-989ABA6F0217}"/>
    <cellStyle name="Normal 5 2 2 2 2 4 5" xfId="9418" xr:uid="{EA851224-45CC-457B-872F-16EE698C94B2}"/>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24627" xr:uid="{ED10F8D2-FF77-4EC5-99B6-3EEF0ED83CF3}"/>
    <cellStyle name="Normal 5 2 2 2 2 5 2 2 3" xfId="16193" xr:uid="{0550BCDE-C6D6-4E79-A4AA-535913E5F84D}"/>
    <cellStyle name="Normal 5 2 2 2 2 5 2 3" xfId="20410" xr:uid="{ECF2A539-0464-4E22-9DE7-F8CBD99B8C2C}"/>
    <cellStyle name="Normal 5 2 2 2 2 5 2 4" xfId="11976" xr:uid="{3518E4E3-BD27-4C2A-A94A-E4CF1DBD6247}"/>
    <cellStyle name="Normal 5 2 2 2 2 5 3" xfId="5610" xr:uid="{00000000-0005-0000-0000-00003C170000}"/>
    <cellStyle name="Normal 5 2 2 2 2 5 3 2" xfId="22482" xr:uid="{23A3DFAF-86E5-4B55-ABDC-4CFF68D6E34D}"/>
    <cellStyle name="Normal 5 2 2 2 2 5 3 3" xfId="14048" xr:uid="{30F21401-4686-4E7B-BCF5-4DB7E5FB31DF}"/>
    <cellStyle name="Normal 5 2 2 2 2 5 4" xfId="18265" xr:uid="{7E5D20DC-1BA1-4693-9AA5-6F6F89D004B4}"/>
    <cellStyle name="Normal 5 2 2 2 2 5 5" xfId="9831" xr:uid="{C01842E1-558E-411E-AAFA-B7BEC6796166}"/>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25040" xr:uid="{8E97CA7A-619E-459D-B001-A1C2E54D5981}"/>
    <cellStyle name="Normal 5 2 2 2 2 6 2 2 3" xfId="16606" xr:uid="{91FC58A3-862E-4798-A464-26655F88ACF0}"/>
    <cellStyle name="Normal 5 2 2 2 2 6 2 3" xfId="20823" xr:uid="{B412FAC6-3B5F-4FB2-BA64-D710E1B83990}"/>
    <cellStyle name="Normal 5 2 2 2 2 6 2 4" xfId="12389" xr:uid="{B96F3425-02FE-4C7C-A48A-58D9D0C3DB1A}"/>
    <cellStyle name="Normal 5 2 2 2 2 6 3" xfId="6023" xr:uid="{00000000-0005-0000-0000-000040170000}"/>
    <cellStyle name="Normal 5 2 2 2 2 6 3 2" xfId="22895" xr:uid="{ADF51FDC-3A94-42A7-B85E-6531EFA705B4}"/>
    <cellStyle name="Normal 5 2 2 2 2 6 3 3" xfId="14461" xr:uid="{9EA28C27-1CB8-4D47-93E6-280059F8E171}"/>
    <cellStyle name="Normal 5 2 2 2 2 6 4" xfId="18678" xr:uid="{D3508462-1447-4143-9EE0-C0BF9E113EF6}"/>
    <cellStyle name="Normal 5 2 2 2 2 6 5" xfId="10244" xr:uid="{730002D1-D43B-4BE0-93EC-3D1540061F3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25453" xr:uid="{F302C9A6-91D1-47D5-AD88-9041D80E8234}"/>
    <cellStyle name="Normal 5 2 2 2 2 7 2 2 3" xfId="17019" xr:uid="{E42AD6E5-7EB9-48EF-8047-BBEEDD75A966}"/>
    <cellStyle name="Normal 5 2 2 2 2 7 2 3" xfId="21236" xr:uid="{89933362-0EEE-46BA-BE88-AE01284ED29A}"/>
    <cellStyle name="Normal 5 2 2 2 2 7 2 4" xfId="12802" xr:uid="{B27836C6-4098-4293-87EA-2963AF216D1C}"/>
    <cellStyle name="Normal 5 2 2 2 2 7 3" xfId="6436" xr:uid="{00000000-0005-0000-0000-000044170000}"/>
    <cellStyle name="Normal 5 2 2 2 2 7 3 2" xfId="23308" xr:uid="{4491431F-4A85-4A63-856A-837E7E84F353}"/>
    <cellStyle name="Normal 5 2 2 2 2 7 3 3" xfId="14874" xr:uid="{80F8693B-288D-49E3-8A6C-569435E1B9FF}"/>
    <cellStyle name="Normal 5 2 2 2 2 7 4" xfId="19091" xr:uid="{B6AED121-DA74-4E11-8ACD-CB3BAE0CF39E}"/>
    <cellStyle name="Normal 5 2 2 2 2 7 5" xfId="10657" xr:uid="{B1C8A3C8-AD73-465E-A2B5-47D574BDA9D9}"/>
    <cellStyle name="Normal 5 2 2 2 2 8" xfId="2565" xr:uid="{00000000-0005-0000-0000-000045170000}"/>
    <cellStyle name="Normal 5 2 2 2 2 8 2" xfId="6849" xr:uid="{00000000-0005-0000-0000-000046170000}"/>
    <cellStyle name="Normal 5 2 2 2 2 8 2 2" xfId="23721" xr:uid="{69845ABE-6F0F-41C7-899B-9CCC720B422D}"/>
    <cellStyle name="Normal 5 2 2 2 2 8 2 3" xfId="15287" xr:uid="{289614C3-27F8-4BA8-AE57-3DBA1B5BEFCD}"/>
    <cellStyle name="Normal 5 2 2 2 2 8 3" xfId="19504" xr:uid="{AE97B699-089A-4D18-BC5A-F81A024AC51F}"/>
    <cellStyle name="Normal 5 2 2 2 2 8 4" xfId="11070" xr:uid="{4F9EF2D0-B6DC-40C6-97D9-911FDDD0E245}"/>
    <cellStyle name="Normal 5 2 2 2 2 9" xfId="4784" xr:uid="{00000000-0005-0000-0000-000047170000}"/>
    <cellStyle name="Normal 5 2 2 2 2 9 2" xfId="21656" xr:uid="{156F5A53-24D4-4EC6-B604-4B6094551F00}"/>
    <cellStyle name="Normal 5 2 2 2 2 9 3" xfId="13222" xr:uid="{81D2C5DB-A1CB-4BBF-9FD9-77AF1A6EE819}"/>
    <cellStyle name="Normal 5 2 2 2 3" xfId="414" xr:uid="{00000000-0005-0000-0000-000048170000}"/>
    <cellStyle name="Normal 5 2 2 2 3 10" xfId="9009" xr:uid="{842E7517-BFB7-4009-9B54-D75AA79E165E}"/>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24219" xr:uid="{584AB4A4-522A-448A-B699-7E5DCAE35304}"/>
    <cellStyle name="Normal 5 2 2 2 3 2 2 2 2 3" xfId="15785" xr:uid="{8D743885-CA10-483F-AA8B-EE984F2CEC74}"/>
    <cellStyle name="Normal 5 2 2 2 3 2 2 2 3" xfId="20002" xr:uid="{0A28CFDF-E385-429D-B1A1-02536F6CA447}"/>
    <cellStyle name="Normal 5 2 2 2 3 2 2 2 4" xfId="11568" xr:uid="{EE530B84-85E0-45DD-8373-B103302A6CB8}"/>
    <cellStyle name="Normal 5 2 2 2 3 2 2 3" xfId="5202" xr:uid="{00000000-0005-0000-0000-00004D170000}"/>
    <cellStyle name="Normal 5 2 2 2 3 2 2 3 2" xfId="22074" xr:uid="{72432C9D-C0CF-4877-BC5F-49CA53D724A8}"/>
    <cellStyle name="Normal 5 2 2 2 3 2 2 3 3" xfId="13640" xr:uid="{CEE4FDD2-BACC-47F2-9F42-8604BCE42005}"/>
    <cellStyle name="Normal 5 2 2 2 3 2 2 4" xfId="17857" xr:uid="{59ECE305-D469-4822-95D2-57CCC7332F9B}"/>
    <cellStyle name="Normal 5 2 2 2 3 2 2 5" xfId="9423" xr:uid="{1AE6E7E1-2B65-449F-8D0A-10A0F2DEC93F}"/>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24632" xr:uid="{20D35148-4EF5-42FF-9135-EDB183453BC7}"/>
    <cellStyle name="Normal 5 2 2 2 3 2 3 2 2 3" xfId="16198" xr:uid="{F20140E0-ECD3-4E99-B1D6-F1DD57F0D81F}"/>
    <cellStyle name="Normal 5 2 2 2 3 2 3 2 3" xfId="20415" xr:uid="{E995B00F-4F0E-4B39-B1E2-530FD4D8C899}"/>
    <cellStyle name="Normal 5 2 2 2 3 2 3 2 4" xfId="11981" xr:uid="{BC92F911-A90D-4451-A6A6-5C4C2012DE25}"/>
    <cellStyle name="Normal 5 2 2 2 3 2 3 3" xfId="5615" xr:uid="{00000000-0005-0000-0000-000051170000}"/>
    <cellStyle name="Normal 5 2 2 2 3 2 3 3 2" xfId="22487" xr:uid="{B686B160-6ACD-4D24-B014-E22F9B187847}"/>
    <cellStyle name="Normal 5 2 2 2 3 2 3 3 3" xfId="14053" xr:uid="{814ADC50-451E-4F46-A88C-F5EBBCA4DA9D}"/>
    <cellStyle name="Normal 5 2 2 2 3 2 3 4" xfId="18270" xr:uid="{84949CB2-9AAE-42CD-9E1C-622B9B76A206}"/>
    <cellStyle name="Normal 5 2 2 2 3 2 3 5" xfId="9836" xr:uid="{2A3E345C-23FC-4E48-9EEB-956F0D37529C}"/>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25045" xr:uid="{D438A93B-76EA-4CBE-A889-0B1CE343F2F4}"/>
    <cellStyle name="Normal 5 2 2 2 3 2 4 2 2 3" xfId="16611" xr:uid="{9338E933-4EBC-49CB-A0E8-E8A4CEF4A6BD}"/>
    <cellStyle name="Normal 5 2 2 2 3 2 4 2 3" xfId="20828" xr:uid="{F87D0B72-0464-4EC0-A6D0-9AADBA6A10E8}"/>
    <cellStyle name="Normal 5 2 2 2 3 2 4 2 4" xfId="12394" xr:uid="{9DD26199-235A-4C71-9BDC-70856869875F}"/>
    <cellStyle name="Normal 5 2 2 2 3 2 4 3" xfId="6028" xr:uid="{00000000-0005-0000-0000-000055170000}"/>
    <cellStyle name="Normal 5 2 2 2 3 2 4 3 2" xfId="22900" xr:uid="{9D7063ED-AA09-48AD-8D25-39449BB87C95}"/>
    <cellStyle name="Normal 5 2 2 2 3 2 4 3 3" xfId="14466" xr:uid="{A142A318-7566-463E-B446-8D27D953B9AC}"/>
    <cellStyle name="Normal 5 2 2 2 3 2 4 4" xfId="18683" xr:uid="{EF067ACD-EC91-428A-B52C-BE074185FCF4}"/>
    <cellStyle name="Normal 5 2 2 2 3 2 4 5" xfId="10249" xr:uid="{A27B508F-3AEC-4CDF-9077-E7D967E2204C}"/>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25458" xr:uid="{233DB5C0-82F0-409C-8058-BDEED3765983}"/>
    <cellStyle name="Normal 5 2 2 2 3 2 5 2 2 3" xfId="17024" xr:uid="{230FD303-41F6-47BF-A870-E7B40BDB3520}"/>
    <cellStyle name="Normal 5 2 2 2 3 2 5 2 3" xfId="21241" xr:uid="{B7A3433D-A62F-402C-920E-F1629E7EA5AD}"/>
    <cellStyle name="Normal 5 2 2 2 3 2 5 2 4" xfId="12807" xr:uid="{5C76F0B6-1702-4A9C-910C-37766BE825C0}"/>
    <cellStyle name="Normal 5 2 2 2 3 2 5 3" xfId="6441" xr:uid="{00000000-0005-0000-0000-000059170000}"/>
    <cellStyle name="Normal 5 2 2 2 3 2 5 3 2" xfId="23313" xr:uid="{A9F74582-1DFA-444A-A120-C3FE527BD474}"/>
    <cellStyle name="Normal 5 2 2 2 3 2 5 3 3" xfId="14879" xr:uid="{6DB4B8CE-7378-4A1E-8642-662CB3992354}"/>
    <cellStyle name="Normal 5 2 2 2 3 2 5 4" xfId="19096" xr:uid="{80D587D2-4CED-4EA3-9EC6-EB23E658BBC2}"/>
    <cellStyle name="Normal 5 2 2 2 3 2 5 5" xfId="10662" xr:uid="{3AD10F9D-477D-42EE-A55C-D0A47D945414}"/>
    <cellStyle name="Normal 5 2 2 2 3 2 6" xfId="2570" xr:uid="{00000000-0005-0000-0000-00005A170000}"/>
    <cellStyle name="Normal 5 2 2 2 3 2 6 2" xfId="6854" xr:uid="{00000000-0005-0000-0000-00005B170000}"/>
    <cellStyle name="Normal 5 2 2 2 3 2 6 2 2" xfId="23726" xr:uid="{37CA9F7D-5B83-46A6-92C3-99D44AE62B2A}"/>
    <cellStyle name="Normal 5 2 2 2 3 2 6 2 3" xfId="15292" xr:uid="{A1844294-4723-4966-9C04-F91AAFC93834}"/>
    <cellStyle name="Normal 5 2 2 2 3 2 6 3" xfId="19509" xr:uid="{5BCE0DE9-5014-4157-8C9C-5B92389FB2E5}"/>
    <cellStyle name="Normal 5 2 2 2 3 2 6 4" xfId="11075" xr:uid="{1E37EF26-5637-44E5-A064-EFA247727FD2}"/>
    <cellStyle name="Normal 5 2 2 2 3 2 7" xfId="4789" xr:uid="{00000000-0005-0000-0000-00005C170000}"/>
    <cellStyle name="Normal 5 2 2 2 3 2 7 2" xfId="21661" xr:uid="{D6F7CEFF-B9FC-484D-9C02-148B942CF8E7}"/>
    <cellStyle name="Normal 5 2 2 2 3 2 7 3" xfId="13227" xr:uid="{E2F01AC0-9EAD-480C-BAAD-0222B2CF2E6B}"/>
    <cellStyle name="Normal 5 2 2 2 3 2 8" xfId="17444" xr:uid="{BC23F802-8E6C-4011-A3F9-0D19FD4D9B70}"/>
    <cellStyle name="Normal 5 2 2 2 3 2 9" xfId="9010" xr:uid="{330B848D-39DB-4162-A064-C7FE86C97C4F}"/>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24218" xr:uid="{589C7408-D5B6-4B1A-B90E-092D43EB8840}"/>
    <cellStyle name="Normal 5 2 2 2 3 3 2 2 3" xfId="15784" xr:uid="{2E1ADC56-5C17-4DEA-9370-D448C3450C97}"/>
    <cellStyle name="Normal 5 2 2 2 3 3 2 3" xfId="20001" xr:uid="{73727249-277E-42F4-AF4C-88715AB54C8F}"/>
    <cellStyle name="Normal 5 2 2 2 3 3 2 4" xfId="11567" xr:uid="{92072011-854A-46EA-91F5-45EF30616C47}"/>
    <cellStyle name="Normal 5 2 2 2 3 3 3" xfId="5201" xr:uid="{00000000-0005-0000-0000-000060170000}"/>
    <cellStyle name="Normal 5 2 2 2 3 3 3 2" xfId="22073" xr:uid="{FEAF771C-3FAA-4F1A-949D-17481C34499E}"/>
    <cellStyle name="Normal 5 2 2 2 3 3 3 3" xfId="13639" xr:uid="{3F148D2C-6CB0-4B06-919B-36F1666C9246}"/>
    <cellStyle name="Normal 5 2 2 2 3 3 4" xfId="17856" xr:uid="{EAB16136-7BC9-4B0B-9972-1A67A97F8532}"/>
    <cellStyle name="Normal 5 2 2 2 3 3 5" xfId="9422" xr:uid="{3358785B-43C8-4D25-AEFB-47F07D41A7B5}"/>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24631" xr:uid="{2A612FF3-C3C6-4DE6-8326-5B2D9F0D897D}"/>
    <cellStyle name="Normal 5 2 2 2 3 4 2 2 3" xfId="16197" xr:uid="{513098EC-DA9C-4587-A51C-67A181E2A410}"/>
    <cellStyle name="Normal 5 2 2 2 3 4 2 3" xfId="20414" xr:uid="{C2832255-BCAA-4857-B22E-061835EF4B8A}"/>
    <cellStyle name="Normal 5 2 2 2 3 4 2 4" xfId="11980" xr:uid="{6CA4812D-D238-434D-9DE4-2BDE5F127189}"/>
    <cellStyle name="Normal 5 2 2 2 3 4 3" xfId="5614" xr:uid="{00000000-0005-0000-0000-000064170000}"/>
    <cellStyle name="Normal 5 2 2 2 3 4 3 2" xfId="22486" xr:uid="{0C4A88E9-443C-41EA-9A37-F2EE103EB0C2}"/>
    <cellStyle name="Normal 5 2 2 2 3 4 3 3" xfId="14052" xr:uid="{E6EB4AC6-DEE8-49F5-B061-B1348DB0D60C}"/>
    <cellStyle name="Normal 5 2 2 2 3 4 4" xfId="18269" xr:uid="{A68C4C2C-40E7-4D70-A693-013203B23783}"/>
    <cellStyle name="Normal 5 2 2 2 3 4 5" xfId="9835" xr:uid="{F01FCB8C-278F-4C2C-A659-B0DCBEF4A4F5}"/>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25044" xr:uid="{450EB716-7EA3-4E8B-9C2D-EAC7068EFC99}"/>
    <cellStyle name="Normal 5 2 2 2 3 5 2 2 3" xfId="16610" xr:uid="{DB349BD1-029B-44D5-A606-9225C59FA611}"/>
    <cellStyle name="Normal 5 2 2 2 3 5 2 3" xfId="20827" xr:uid="{69E5988B-8C05-4BBF-BD39-DB16D76C8D5B}"/>
    <cellStyle name="Normal 5 2 2 2 3 5 2 4" xfId="12393" xr:uid="{311EC57C-4341-476F-840A-0DC5C530A065}"/>
    <cellStyle name="Normal 5 2 2 2 3 5 3" xfId="6027" xr:uid="{00000000-0005-0000-0000-000068170000}"/>
    <cellStyle name="Normal 5 2 2 2 3 5 3 2" xfId="22899" xr:uid="{D2E3CB6B-2765-41D3-A9CC-01B043BBF1AA}"/>
    <cellStyle name="Normal 5 2 2 2 3 5 3 3" xfId="14465" xr:uid="{CA66A2E5-9A6E-4222-BDD5-195C080C47D1}"/>
    <cellStyle name="Normal 5 2 2 2 3 5 4" xfId="18682" xr:uid="{FC8F2309-013C-41CA-8BEF-314BFE31CAA8}"/>
    <cellStyle name="Normal 5 2 2 2 3 5 5" xfId="10248" xr:uid="{960EE3FB-3623-43D5-BA0C-6283B016691D}"/>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25457" xr:uid="{23A4B73D-DB3C-44B3-BDC0-788C2087FBAF}"/>
    <cellStyle name="Normal 5 2 2 2 3 6 2 2 3" xfId="17023" xr:uid="{97024104-23ED-4191-80E0-B140964A6E6E}"/>
    <cellStyle name="Normal 5 2 2 2 3 6 2 3" xfId="21240" xr:uid="{45B2EFC7-814F-4CAC-B4E2-FEEA71411435}"/>
    <cellStyle name="Normal 5 2 2 2 3 6 2 4" xfId="12806" xr:uid="{431F3881-887F-498C-8294-04A650056A2F}"/>
    <cellStyle name="Normal 5 2 2 2 3 6 3" xfId="6440" xr:uid="{00000000-0005-0000-0000-00006C170000}"/>
    <cellStyle name="Normal 5 2 2 2 3 6 3 2" xfId="23312" xr:uid="{9B6BA8E0-14DA-4887-9120-AD70919F84E8}"/>
    <cellStyle name="Normal 5 2 2 2 3 6 3 3" xfId="14878" xr:uid="{A0646AC6-C1CC-465E-9D45-18DF93D48F4F}"/>
    <cellStyle name="Normal 5 2 2 2 3 6 4" xfId="19095" xr:uid="{0E3455ED-DF59-45DB-A70D-7DAD1D535413}"/>
    <cellStyle name="Normal 5 2 2 2 3 6 5" xfId="10661" xr:uid="{989958EC-514E-4593-A3DF-C167B1EAAA1A}"/>
    <cellStyle name="Normal 5 2 2 2 3 7" xfId="2569" xr:uid="{00000000-0005-0000-0000-00006D170000}"/>
    <cellStyle name="Normal 5 2 2 2 3 7 2" xfId="6853" xr:uid="{00000000-0005-0000-0000-00006E170000}"/>
    <cellStyle name="Normal 5 2 2 2 3 7 2 2" xfId="23725" xr:uid="{11412AEF-9017-49BD-BEE2-CD748F99EA1C}"/>
    <cellStyle name="Normal 5 2 2 2 3 7 2 3" xfId="15291" xr:uid="{6FC4E0D0-4976-4976-80F5-E17DBC14A59B}"/>
    <cellStyle name="Normal 5 2 2 2 3 7 3" xfId="19508" xr:uid="{3A27C901-44D6-4E76-A507-A6980B9B5D00}"/>
    <cellStyle name="Normal 5 2 2 2 3 7 4" xfId="11074" xr:uid="{41313CA0-BF20-4043-8946-C34B8C072612}"/>
    <cellStyle name="Normal 5 2 2 2 3 8" xfId="4788" xr:uid="{00000000-0005-0000-0000-00006F170000}"/>
    <cellStyle name="Normal 5 2 2 2 3 8 2" xfId="21660" xr:uid="{D8B55CF9-7FA2-4769-9F1C-C7D2B2B82A50}"/>
    <cellStyle name="Normal 5 2 2 2 3 8 3" xfId="13226" xr:uid="{6B47B809-6F17-44FF-86D5-7A9DECEFDB8B}"/>
    <cellStyle name="Normal 5 2 2 2 3 9" xfId="17443" xr:uid="{EDE2930D-82DF-4E2A-A865-3C9B70C73351}"/>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24220" xr:uid="{1276FDE4-9DCF-45E0-A3C0-5153A195AD14}"/>
    <cellStyle name="Normal 5 2 2 2 4 2 2 2 3" xfId="15786" xr:uid="{5E08921C-F6B7-4A7F-B95E-AC673EEAB193}"/>
    <cellStyle name="Normal 5 2 2 2 4 2 2 3" xfId="20003" xr:uid="{EEAB244B-7C0A-4A51-A038-686D46AB8D03}"/>
    <cellStyle name="Normal 5 2 2 2 4 2 2 4" xfId="11569" xr:uid="{9B3A5A08-3DC0-4F23-B683-717FCA2E34FB}"/>
    <cellStyle name="Normal 5 2 2 2 4 2 3" xfId="5203" xr:uid="{00000000-0005-0000-0000-000074170000}"/>
    <cellStyle name="Normal 5 2 2 2 4 2 3 2" xfId="22075" xr:uid="{7AA0A0DA-F83D-4841-ACAF-B11CD2BE81F1}"/>
    <cellStyle name="Normal 5 2 2 2 4 2 3 3" xfId="13641" xr:uid="{3F8793E2-A0AD-4656-9FE7-03FC44D4F17E}"/>
    <cellStyle name="Normal 5 2 2 2 4 2 4" xfId="17858" xr:uid="{4188C181-D123-46C7-93E2-157345ADF745}"/>
    <cellStyle name="Normal 5 2 2 2 4 2 5" xfId="9424" xr:uid="{7BCB3AF0-3F4F-46F8-9D40-9CD356ED030C}"/>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24633" xr:uid="{2AB46234-A0E9-4C5C-88A1-338A913F72D2}"/>
    <cellStyle name="Normal 5 2 2 2 4 3 2 2 3" xfId="16199" xr:uid="{C676E0B7-A8BA-4746-9909-9EFEA34C6B19}"/>
    <cellStyle name="Normal 5 2 2 2 4 3 2 3" xfId="20416" xr:uid="{019F404C-C6B5-478E-AE51-3BB0FDF55894}"/>
    <cellStyle name="Normal 5 2 2 2 4 3 2 4" xfId="11982" xr:uid="{11849CC9-7580-4F8F-9082-32257EE3DB63}"/>
    <cellStyle name="Normal 5 2 2 2 4 3 3" xfId="5616" xr:uid="{00000000-0005-0000-0000-000078170000}"/>
    <cellStyle name="Normal 5 2 2 2 4 3 3 2" xfId="22488" xr:uid="{344F898D-C6A1-42D3-8DE3-C3BEB4CAE068}"/>
    <cellStyle name="Normal 5 2 2 2 4 3 3 3" xfId="14054" xr:uid="{EECC9743-88C4-4DE9-A347-E3564CFCA10A}"/>
    <cellStyle name="Normal 5 2 2 2 4 3 4" xfId="18271" xr:uid="{20BA5D02-E5A1-41DB-AF61-887C78C67FDD}"/>
    <cellStyle name="Normal 5 2 2 2 4 3 5" xfId="9837" xr:uid="{335D0A12-027E-4A07-8AA0-CCBFDD46DA21}"/>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25046" xr:uid="{D28F92F9-7482-4258-B0F1-048376DF85B7}"/>
    <cellStyle name="Normal 5 2 2 2 4 4 2 2 3" xfId="16612" xr:uid="{B53B4937-779B-447F-A4C8-382296F07D5F}"/>
    <cellStyle name="Normal 5 2 2 2 4 4 2 3" xfId="20829" xr:uid="{783AD1EA-D514-4DDE-8415-D91F8B2EF7ED}"/>
    <cellStyle name="Normal 5 2 2 2 4 4 2 4" xfId="12395" xr:uid="{D28298D7-30CA-486E-A491-AD7FA9D39496}"/>
    <cellStyle name="Normal 5 2 2 2 4 4 3" xfId="6029" xr:uid="{00000000-0005-0000-0000-00007C170000}"/>
    <cellStyle name="Normal 5 2 2 2 4 4 3 2" xfId="22901" xr:uid="{61A421D6-0E3D-46AD-9EB6-B45E7C5A3E42}"/>
    <cellStyle name="Normal 5 2 2 2 4 4 3 3" xfId="14467" xr:uid="{CFF4127A-4650-4DE6-9DA9-7895BB9EC0EB}"/>
    <cellStyle name="Normal 5 2 2 2 4 4 4" xfId="18684" xr:uid="{446AE913-9066-4C44-8990-938A9046D584}"/>
    <cellStyle name="Normal 5 2 2 2 4 4 5" xfId="10250" xr:uid="{B0171A4B-8100-48F2-8470-97256B689F7A}"/>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25459" xr:uid="{8E9DDE79-B8DE-4333-BCF4-9A726961D177}"/>
    <cellStyle name="Normal 5 2 2 2 4 5 2 2 3" xfId="17025" xr:uid="{65C7482A-79F2-4394-95F9-70292F46AB72}"/>
    <cellStyle name="Normal 5 2 2 2 4 5 2 3" xfId="21242" xr:uid="{D2AADE3B-C08B-4DDB-8F37-C1BCF4F677B4}"/>
    <cellStyle name="Normal 5 2 2 2 4 5 2 4" xfId="12808" xr:uid="{92A0B30B-D4C9-4067-A2FA-7A7835AD773A}"/>
    <cellStyle name="Normal 5 2 2 2 4 5 3" xfId="6442" xr:uid="{00000000-0005-0000-0000-000080170000}"/>
    <cellStyle name="Normal 5 2 2 2 4 5 3 2" xfId="23314" xr:uid="{252D6B0A-022D-4742-9D74-C2D96A032EA2}"/>
    <cellStyle name="Normal 5 2 2 2 4 5 3 3" xfId="14880" xr:uid="{F24FDFC9-D5AD-4FDD-AA8A-98B2190AD4EA}"/>
    <cellStyle name="Normal 5 2 2 2 4 5 4" xfId="19097" xr:uid="{B8624CE0-CDDF-4B8A-BC5E-FC0485C50522}"/>
    <cellStyle name="Normal 5 2 2 2 4 5 5" xfId="10663" xr:uid="{3C126B28-AEC9-453B-BB3F-5BDABED77146}"/>
    <cellStyle name="Normal 5 2 2 2 4 6" xfId="2571" xr:uid="{00000000-0005-0000-0000-000081170000}"/>
    <cellStyle name="Normal 5 2 2 2 4 6 2" xfId="6855" xr:uid="{00000000-0005-0000-0000-000082170000}"/>
    <cellStyle name="Normal 5 2 2 2 4 6 2 2" xfId="23727" xr:uid="{A19C8BB7-48C8-4892-AEB9-509AC7DDD542}"/>
    <cellStyle name="Normal 5 2 2 2 4 6 2 3" xfId="15293" xr:uid="{B6040957-EE28-4CEE-9273-1C221DDF6FD2}"/>
    <cellStyle name="Normal 5 2 2 2 4 6 3" xfId="19510" xr:uid="{10CA631A-1118-4D0A-A1FE-6B9FCD01E4B3}"/>
    <cellStyle name="Normal 5 2 2 2 4 6 4" xfId="11076" xr:uid="{ADAF14AA-399C-40CD-A3B7-D0ED205F8DFD}"/>
    <cellStyle name="Normal 5 2 2 2 4 7" xfId="4790" xr:uid="{00000000-0005-0000-0000-000083170000}"/>
    <cellStyle name="Normal 5 2 2 2 4 7 2" xfId="21662" xr:uid="{16D010B4-61FC-404A-936D-FAFF5A10FE1F}"/>
    <cellStyle name="Normal 5 2 2 2 4 7 3" xfId="13228" xr:uid="{213A9C9C-E4D6-4E2D-A475-1EF1CD886539}"/>
    <cellStyle name="Normal 5 2 2 2 4 8" xfId="17445" xr:uid="{9713EA03-87E2-4E41-8C0C-50FD733B76BD}"/>
    <cellStyle name="Normal 5 2 2 2 4 9" xfId="9011" xr:uid="{379F96A5-F942-41B6-8B19-29E035155C02}"/>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24213" xr:uid="{52852A48-9589-4DED-AFFE-4CA2363DF6CB}"/>
    <cellStyle name="Normal 5 2 2 2 5 2 2 3" xfId="15779" xr:uid="{1A163028-DC9F-4273-9F10-E6EBDB24B5B8}"/>
    <cellStyle name="Normal 5 2 2 2 5 2 3" xfId="19996" xr:uid="{6DF3E98A-2268-4ACF-9316-04A5BCAB4D42}"/>
    <cellStyle name="Normal 5 2 2 2 5 2 4" xfId="11562" xr:uid="{2A57FDA2-6B19-48A5-B3DD-4B040C8C1543}"/>
    <cellStyle name="Normal 5 2 2 2 5 3" xfId="5196" xr:uid="{00000000-0005-0000-0000-000087170000}"/>
    <cellStyle name="Normal 5 2 2 2 5 3 2" xfId="22068" xr:uid="{2EDA3F6E-6FA8-4980-B842-E615A399817A}"/>
    <cellStyle name="Normal 5 2 2 2 5 3 3" xfId="13634" xr:uid="{999ECF41-628F-4AB9-A5FF-E6AA99B55120}"/>
    <cellStyle name="Normal 5 2 2 2 5 4" xfId="17851" xr:uid="{E52D69D1-876F-431B-9743-72F6E22A2635}"/>
    <cellStyle name="Normal 5 2 2 2 5 5" xfId="9417" xr:uid="{779C7E68-197E-4CFF-AC29-6A4ED7A0BC3D}"/>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24626" xr:uid="{0FE57C7B-A42D-49E2-A665-57CAAD060B46}"/>
    <cellStyle name="Normal 5 2 2 2 6 2 2 3" xfId="16192" xr:uid="{47ACA14A-0CE8-4431-B309-B4857178CDC7}"/>
    <cellStyle name="Normal 5 2 2 2 6 2 3" xfId="20409" xr:uid="{FA85682B-055B-41DA-B82A-58A1B626ABC1}"/>
    <cellStyle name="Normal 5 2 2 2 6 2 4" xfId="11975" xr:uid="{633AF00B-1EFC-4001-A33F-658536A04FB2}"/>
    <cellStyle name="Normal 5 2 2 2 6 3" xfId="5609" xr:uid="{00000000-0005-0000-0000-00008B170000}"/>
    <cellStyle name="Normal 5 2 2 2 6 3 2" xfId="22481" xr:uid="{201EFCC0-453F-4A16-8357-3FF86F19F2C2}"/>
    <cellStyle name="Normal 5 2 2 2 6 3 3" xfId="14047" xr:uid="{C1FF64A0-9998-4A70-8D92-865A88CC86F9}"/>
    <cellStyle name="Normal 5 2 2 2 6 4" xfId="18264" xr:uid="{55DE36DC-8AC7-483A-9137-071506EF92E9}"/>
    <cellStyle name="Normal 5 2 2 2 6 5" xfId="9830" xr:uid="{DA3B873B-623C-4D55-B56B-372198EED703}"/>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25039" xr:uid="{1A768311-22A9-4E52-9D2C-2A8473BEED9D}"/>
    <cellStyle name="Normal 5 2 2 2 7 2 2 3" xfId="16605" xr:uid="{6C3EDF2F-D282-4FC7-A86A-CAE16C5B809C}"/>
    <cellStyle name="Normal 5 2 2 2 7 2 3" xfId="20822" xr:uid="{9DFD1D4E-B96C-40DF-B30E-5259D01CC66A}"/>
    <cellStyle name="Normal 5 2 2 2 7 2 4" xfId="12388" xr:uid="{E788ED7E-0A87-4079-AE58-CB44011840E8}"/>
    <cellStyle name="Normal 5 2 2 2 7 3" xfId="6022" xr:uid="{00000000-0005-0000-0000-00008F170000}"/>
    <cellStyle name="Normal 5 2 2 2 7 3 2" xfId="22894" xr:uid="{A4A45645-6EF4-4A52-813C-37F44C3355DE}"/>
    <cellStyle name="Normal 5 2 2 2 7 3 3" xfId="14460" xr:uid="{79F07D99-BA93-49F3-B5C5-56C73DF83706}"/>
    <cellStyle name="Normal 5 2 2 2 7 4" xfId="18677" xr:uid="{11530F86-B435-49D2-95AE-EA122220459E}"/>
    <cellStyle name="Normal 5 2 2 2 7 5" xfId="10243" xr:uid="{55797741-0156-45EF-AAC3-81072E907AEA}"/>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25452" xr:uid="{BB66D64B-31E8-4071-83BD-6354B733A129}"/>
    <cellStyle name="Normal 5 2 2 2 8 2 2 3" xfId="17018" xr:uid="{ACC7561D-8AF8-42D4-B1C5-F65A14FEE931}"/>
    <cellStyle name="Normal 5 2 2 2 8 2 3" xfId="21235" xr:uid="{59AA3AAE-0262-466A-B242-1D84A8B58703}"/>
    <cellStyle name="Normal 5 2 2 2 8 2 4" xfId="12801" xr:uid="{21DF64D0-1137-47AA-B865-43BCE5D80748}"/>
    <cellStyle name="Normal 5 2 2 2 8 3" xfId="6435" xr:uid="{00000000-0005-0000-0000-000093170000}"/>
    <cellStyle name="Normal 5 2 2 2 8 3 2" xfId="23307" xr:uid="{07A0C5D7-510D-431A-8F30-6D0A216FB042}"/>
    <cellStyle name="Normal 5 2 2 2 8 3 3" xfId="14873" xr:uid="{FAF531E8-5B81-49F3-BA12-F0B53EA3225F}"/>
    <cellStyle name="Normal 5 2 2 2 8 4" xfId="19090" xr:uid="{08199D2B-C7F8-4218-BC20-DA0B035D7075}"/>
    <cellStyle name="Normal 5 2 2 2 8 5" xfId="10656" xr:uid="{72FE0C0D-29A7-4E5F-BD3D-8956128DDFE7}"/>
    <cellStyle name="Normal 5 2 2 2 9" xfId="2564" xr:uid="{00000000-0005-0000-0000-000094170000}"/>
    <cellStyle name="Normal 5 2 2 2 9 2" xfId="6848" xr:uid="{00000000-0005-0000-0000-000095170000}"/>
    <cellStyle name="Normal 5 2 2 2 9 2 2" xfId="23720" xr:uid="{742CC077-A738-4869-BF65-B1F762AAB5C5}"/>
    <cellStyle name="Normal 5 2 2 2 9 2 3" xfId="15286" xr:uid="{4AD454C4-F32A-4FB6-A5CB-A26ED72BD6C8}"/>
    <cellStyle name="Normal 5 2 2 2 9 3" xfId="19503" xr:uid="{69B99831-D423-419F-9098-111F64E014F8}"/>
    <cellStyle name="Normal 5 2 2 2 9 4" xfId="11069" xr:uid="{7CD5B25C-141C-421A-9CF7-D893F139F1E4}"/>
    <cellStyle name="Normal 5 2 2 3" xfId="417" xr:uid="{00000000-0005-0000-0000-000096170000}"/>
    <cellStyle name="Normal 5 2 2 3 10" xfId="17446" xr:uid="{B5DF4777-DBA8-4030-877E-859593F69CEE}"/>
    <cellStyle name="Normal 5 2 2 3 11" xfId="9012" xr:uid="{1CADACCD-0714-4C95-ACEA-E2E9AD3D6953}"/>
    <cellStyle name="Normal 5 2 2 3 2" xfId="418" xr:uid="{00000000-0005-0000-0000-000097170000}"/>
    <cellStyle name="Normal 5 2 2 3 2 10" xfId="9013" xr:uid="{EDA9169C-FC44-4072-A14D-48698CDCFD6E}"/>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24223" xr:uid="{0C38A160-A953-4337-BA0E-55C316BF1001}"/>
    <cellStyle name="Normal 5 2 2 3 2 2 2 2 2 3" xfId="15789" xr:uid="{E0BF5C80-3137-4CB8-A51B-77C7AEA10B75}"/>
    <cellStyle name="Normal 5 2 2 3 2 2 2 2 3" xfId="20006" xr:uid="{0D53156D-D8D7-400C-B53E-55AB0EFD64CD}"/>
    <cellStyle name="Normal 5 2 2 3 2 2 2 2 4" xfId="11572" xr:uid="{0067A251-D498-4270-95E0-B1C84D4B9EDC}"/>
    <cellStyle name="Normal 5 2 2 3 2 2 2 3" xfId="5206" xr:uid="{00000000-0005-0000-0000-00009C170000}"/>
    <cellStyle name="Normal 5 2 2 3 2 2 2 3 2" xfId="22078" xr:uid="{99671A84-4BD1-49B3-9BBD-290764899AB7}"/>
    <cellStyle name="Normal 5 2 2 3 2 2 2 3 3" xfId="13644" xr:uid="{84FB2B25-6E31-4928-B920-6B8808C76692}"/>
    <cellStyle name="Normal 5 2 2 3 2 2 2 4" xfId="17861" xr:uid="{EC182B21-B7AE-436B-896E-55BF1672BE38}"/>
    <cellStyle name="Normal 5 2 2 3 2 2 2 5" xfId="9427" xr:uid="{2B729471-4436-485F-A840-75C21081E271}"/>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24636" xr:uid="{B014091A-A93E-473B-AD2F-B75DDE8D812A}"/>
    <cellStyle name="Normal 5 2 2 3 2 2 3 2 2 3" xfId="16202" xr:uid="{D8A0CBCB-04A9-42DA-8EDC-279174D59FF3}"/>
    <cellStyle name="Normal 5 2 2 3 2 2 3 2 3" xfId="20419" xr:uid="{85D6F6D1-3434-4B1A-A26F-5FA4439F3AF4}"/>
    <cellStyle name="Normal 5 2 2 3 2 2 3 2 4" xfId="11985" xr:uid="{6F571628-C7F8-4F41-B833-47994747BD59}"/>
    <cellStyle name="Normal 5 2 2 3 2 2 3 3" xfId="5619" xr:uid="{00000000-0005-0000-0000-0000A0170000}"/>
    <cellStyle name="Normal 5 2 2 3 2 2 3 3 2" xfId="22491" xr:uid="{74FA95EE-FCC5-463C-8026-E711A778FD5C}"/>
    <cellStyle name="Normal 5 2 2 3 2 2 3 3 3" xfId="14057" xr:uid="{04599133-19C3-4D94-B01A-41068AC60B87}"/>
    <cellStyle name="Normal 5 2 2 3 2 2 3 4" xfId="18274" xr:uid="{2918E2BF-B2CC-48A3-B053-D953DC86A756}"/>
    <cellStyle name="Normal 5 2 2 3 2 2 3 5" xfId="9840" xr:uid="{10A333D9-27FB-4823-A268-32A18977E074}"/>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25049" xr:uid="{454D1CDA-9F37-4CFE-ADE0-2BBACBEE109C}"/>
    <cellStyle name="Normal 5 2 2 3 2 2 4 2 2 3" xfId="16615" xr:uid="{CB39718E-FA33-430A-A17F-E7A9BFEA8327}"/>
    <cellStyle name="Normal 5 2 2 3 2 2 4 2 3" xfId="20832" xr:uid="{2020E29E-FE4F-4741-9272-F79B9D7ED7ED}"/>
    <cellStyle name="Normal 5 2 2 3 2 2 4 2 4" xfId="12398" xr:uid="{D9E04FC4-44E3-4CA6-8D26-906AB3D7E0FB}"/>
    <cellStyle name="Normal 5 2 2 3 2 2 4 3" xfId="6032" xr:uid="{00000000-0005-0000-0000-0000A4170000}"/>
    <cellStyle name="Normal 5 2 2 3 2 2 4 3 2" xfId="22904" xr:uid="{A00E477E-2EDB-43C8-B9DD-CAD63184A965}"/>
    <cellStyle name="Normal 5 2 2 3 2 2 4 3 3" xfId="14470" xr:uid="{684F112C-ECA5-49BC-B36E-0220F5302C99}"/>
    <cellStyle name="Normal 5 2 2 3 2 2 4 4" xfId="18687" xr:uid="{02E28DF0-4273-4F4E-A8F8-9B8D7BBB8128}"/>
    <cellStyle name="Normal 5 2 2 3 2 2 4 5" xfId="10253" xr:uid="{CDD23084-0910-48C6-974B-4F15D2E6679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25462" xr:uid="{AB5C7505-10BA-4286-BA87-064FC20510B2}"/>
    <cellStyle name="Normal 5 2 2 3 2 2 5 2 2 3" xfId="17028" xr:uid="{918269CE-BA51-4D7A-A204-6888C94F1287}"/>
    <cellStyle name="Normal 5 2 2 3 2 2 5 2 3" xfId="21245" xr:uid="{96326E84-40E7-4F78-9E6F-0C4FD4DA9C59}"/>
    <cellStyle name="Normal 5 2 2 3 2 2 5 2 4" xfId="12811" xr:uid="{71BE7FB4-0C2F-4049-8F28-57EAA2D80E04}"/>
    <cellStyle name="Normal 5 2 2 3 2 2 5 3" xfId="6445" xr:uid="{00000000-0005-0000-0000-0000A8170000}"/>
    <cellStyle name="Normal 5 2 2 3 2 2 5 3 2" xfId="23317" xr:uid="{DD255A60-1FA9-4AB7-B796-0A71292960A4}"/>
    <cellStyle name="Normal 5 2 2 3 2 2 5 3 3" xfId="14883" xr:uid="{DB13CFF1-23D3-4252-889E-E35E1B0A953A}"/>
    <cellStyle name="Normal 5 2 2 3 2 2 5 4" xfId="19100" xr:uid="{A7F39A5D-9FE9-4CB6-8ED1-768DDDBFAF72}"/>
    <cellStyle name="Normal 5 2 2 3 2 2 5 5" xfId="10666" xr:uid="{AD5A617A-CD4E-4FB2-8013-B3E855A22941}"/>
    <cellStyle name="Normal 5 2 2 3 2 2 6" xfId="2574" xr:uid="{00000000-0005-0000-0000-0000A9170000}"/>
    <cellStyle name="Normal 5 2 2 3 2 2 6 2" xfId="6858" xr:uid="{00000000-0005-0000-0000-0000AA170000}"/>
    <cellStyle name="Normal 5 2 2 3 2 2 6 2 2" xfId="23730" xr:uid="{4BA84125-7697-4506-8C04-E286861E76A0}"/>
    <cellStyle name="Normal 5 2 2 3 2 2 6 2 3" xfId="15296" xr:uid="{EF5026F4-6C4B-4C35-BA2E-BF9639D78CAE}"/>
    <cellStyle name="Normal 5 2 2 3 2 2 6 3" xfId="19513" xr:uid="{C174B43A-0425-4ED7-9646-1DB203F1C570}"/>
    <cellStyle name="Normal 5 2 2 3 2 2 6 4" xfId="11079" xr:uid="{1EE51691-AF7E-4D62-AD90-02E2B491A9F6}"/>
    <cellStyle name="Normal 5 2 2 3 2 2 7" xfId="4793" xr:uid="{00000000-0005-0000-0000-0000AB170000}"/>
    <cellStyle name="Normal 5 2 2 3 2 2 7 2" xfId="21665" xr:uid="{5D189772-7A75-4A14-ACAC-456C30C9EA6C}"/>
    <cellStyle name="Normal 5 2 2 3 2 2 7 3" xfId="13231" xr:uid="{D6266AC4-0517-4888-B116-43513DD574EE}"/>
    <cellStyle name="Normal 5 2 2 3 2 2 8" xfId="17448" xr:uid="{A283F76B-4D29-4E17-A9DB-D9C7CEF3FB44}"/>
    <cellStyle name="Normal 5 2 2 3 2 2 9" xfId="9014" xr:uid="{506AF998-7983-4967-ABBE-CFC1F392720E}"/>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24222" xr:uid="{9699A72A-DC1E-449C-B399-DAC04C5791FB}"/>
    <cellStyle name="Normal 5 2 2 3 2 3 2 2 3" xfId="15788" xr:uid="{C1AD6FB1-BFC8-4D79-AE87-D32DE2032392}"/>
    <cellStyle name="Normal 5 2 2 3 2 3 2 3" xfId="20005" xr:uid="{81DC86A5-1B97-44D2-9E18-410250E79B51}"/>
    <cellStyle name="Normal 5 2 2 3 2 3 2 4" xfId="11571" xr:uid="{07EA1A40-FAB2-4DEC-B206-977BB814957D}"/>
    <cellStyle name="Normal 5 2 2 3 2 3 3" xfId="5205" xr:uid="{00000000-0005-0000-0000-0000AF170000}"/>
    <cellStyle name="Normal 5 2 2 3 2 3 3 2" xfId="22077" xr:uid="{5E989B3F-3766-4BE4-8904-B32CEAA76862}"/>
    <cellStyle name="Normal 5 2 2 3 2 3 3 3" xfId="13643" xr:uid="{859FA1D2-D01A-4450-92BE-643629C5C1FA}"/>
    <cellStyle name="Normal 5 2 2 3 2 3 4" xfId="17860" xr:uid="{29A225F7-BF3E-449F-8DB1-84247F29CB9D}"/>
    <cellStyle name="Normal 5 2 2 3 2 3 5" xfId="9426" xr:uid="{3AECF255-BFCF-4E64-9CD7-97900C9F9D18}"/>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24635" xr:uid="{65B642C3-AA05-4CB7-89C9-B7D08F050406}"/>
    <cellStyle name="Normal 5 2 2 3 2 4 2 2 3" xfId="16201" xr:uid="{E90949B6-92CB-4396-963F-813FF5006458}"/>
    <cellStyle name="Normal 5 2 2 3 2 4 2 3" xfId="20418" xr:uid="{990C5CBB-22FA-4D95-8530-3313CC0E0723}"/>
    <cellStyle name="Normal 5 2 2 3 2 4 2 4" xfId="11984" xr:uid="{24A6D44E-1D85-4CE7-A448-EF1271EEBED4}"/>
    <cellStyle name="Normal 5 2 2 3 2 4 3" xfId="5618" xr:uid="{00000000-0005-0000-0000-0000B3170000}"/>
    <cellStyle name="Normal 5 2 2 3 2 4 3 2" xfId="22490" xr:uid="{93959105-8B42-4DEE-9AC2-1F502CFB9DA8}"/>
    <cellStyle name="Normal 5 2 2 3 2 4 3 3" xfId="14056" xr:uid="{CE427790-F9A7-4635-99EF-30C3F42CE7B6}"/>
    <cellStyle name="Normal 5 2 2 3 2 4 4" xfId="18273" xr:uid="{5491127D-AB81-4AAE-A620-F4DA7E7E55B7}"/>
    <cellStyle name="Normal 5 2 2 3 2 4 5" xfId="9839" xr:uid="{02206613-F900-448D-869B-50B8C32BBF6C}"/>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25048" xr:uid="{E8050F62-E986-4728-99B5-2DBC4E4158E2}"/>
    <cellStyle name="Normal 5 2 2 3 2 5 2 2 3" xfId="16614" xr:uid="{13575215-C086-4F7E-A634-833D699A324B}"/>
    <cellStyle name="Normal 5 2 2 3 2 5 2 3" xfId="20831" xr:uid="{6E2DDDA3-512E-43B9-8CAD-2E8443641F80}"/>
    <cellStyle name="Normal 5 2 2 3 2 5 2 4" xfId="12397" xr:uid="{65022BA4-0A18-4FA2-BB30-18EE8FCD4706}"/>
    <cellStyle name="Normal 5 2 2 3 2 5 3" xfId="6031" xr:uid="{00000000-0005-0000-0000-0000B7170000}"/>
    <cellStyle name="Normal 5 2 2 3 2 5 3 2" xfId="22903" xr:uid="{80963E72-8289-4A75-96C6-F5EE98143265}"/>
    <cellStyle name="Normal 5 2 2 3 2 5 3 3" xfId="14469" xr:uid="{1456D154-E713-4937-98E2-3F37BE031FBD}"/>
    <cellStyle name="Normal 5 2 2 3 2 5 4" xfId="18686" xr:uid="{01E006C6-B77A-4F0D-973C-FDDF9F58D22F}"/>
    <cellStyle name="Normal 5 2 2 3 2 5 5" xfId="10252" xr:uid="{44216F6C-A602-4A47-B051-109C8C3A1FB3}"/>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25461" xr:uid="{C2867405-38FA-4237-9C01-FF99216A9CAE}"/>
    <cellStyle name="Normal 5 2 2 3 2 6 2 2 3" xfId="17027" xr:uid="{1A1F8598-8BED-4B61-B4C5-5F394F0AEBE9}"/>
    <cellStyle name="Normal 5 2 2 3 2 6 2 3" xfId="21244" xr:uid="{E1D22A52-77E1-4C10-A185-127C07F959E2}"/>
    <cellStyle name="Normal 5 2 2 3 2 6 2 4" xfId="12810" xr:uid="{6D0B22B4-E59F-4E1F-A817-0B74C7EB3EED}"/>
    <cellStyle name="Normal 5 2 2 3 2 6 3" xfId="6444" xr:uid="{00000000-0005-0000-0000-0000BB170000}"/>
    <cellStyle name="Normal 5 2 2 3 2 6 3 2" xfId="23316" xr:uid="{65283BE1-2EE0-4071-BA2C-77F812A6038B}"/>
    <cellStyle name="Normal 5 2 2 3 2 6 3 3" xfId="14882" xr:uid="{95838062-CF94-44C7-9A8C-DBA6AF15076B}"/>
    <cellStyle name="Normal 5 2 2 3 2 6 4" xfId="19099" xr:uid="{12271F2E-AB49-40A8-B89F-907271C6E234}"/>
    <cellStyle name="Normal 5 2 2 3 2 6 5" xfId="10665" xr:uid="{65AE4CC8-4468-4F39-A16C-13AE50C6A464}"/>
    <cellStyle name="Normal 5 2 2 3 2 7" xfId="2573" xr:uid="{00000000-0005-0000-0000-0000BC170000}"/>
    <cellStyle name="Normal 5 2 2 3 2 7 2" xfId="6857" xr:uid="{00000000-0005-0000-0000-0000BD170000}"/>
    <cellStyle name="Normal 5 2 2 3 2 7 2 2" xfId="23729" xr:uid="{36BF0364-61E4-4FD4-83A9-FD7F95DC617C}"/>
    <cellStyle name="Normal 5 2 2 3 2 7 2 3" xfId="15295" xr:uid="{3858A4EB-EA57-42B5-B226-8AA7CF830782}"/>
    <cellStyle name="Normal 5 2 2 3 2 7 3" xfId="19512" xr:uid="{5FE84547-C852-43C4-8078-95279D7C95CE}"/>
    <cellStyle name="Normal 5 2 2 3 2 7 4" xfId="11078" xr:uid="{2BC8A36E-1966-4BBF-BAF9-B8C41AE9A23C}"/>
    <cellStyle name="Normal 5 2 2 3 2 8" xfId="4792" xr:uid="{00000000-0005-0000-0000-0000BE170000}"/>
    <cellStyle name="Normal 5 2 2 3 2 8 2" xfId="21664" xr:uid="{57CC89F0-AC50-4C30-8A3B-DFFA31DD710D}"/>
    <cellStyle name="Normal 5 2 2 3 2 8 3" xfId="13230" xr:uid="{58090F7C-8198-4626-AD20-A63887E4A8FB}"/>
    <cellStyle name="Normal 5 2 2 3 2 9" xfId="17447" xr:uid="{4F815C7E-F2C8-4E2C-ACB2-52585B536597}"/>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24224" xr:uid="{B0F99C46-6BD4-44DE-A83C-9A3A6991B987}"/>
    <cellStyle name="Normal 5 2 2 3 3 2 2 2 3" xfId="15790" xr:uid="{C0EE0682-C8F8-4583-AEBF-5AFA8B95F68A}"/>
    <cellStyle name="Normal 5 2 2 3 3 2 2 3" xfId="20007" xr:uid="{8571551D-08A2-4AD4-8A3B-74D048B97F88}"/>
    <cellStyle name="Normal 5 2 2 3 3 2 2 4" xfId="11573" xr:uid="{4E2C3A3A-05E5-48E0-885F-4D1CCEA3225D}"/>
    <cellStyle name="Normal 5 2 2 3 3 2 3" xfId="5207" xr:uid="{00000000-0005-0000-0000-0000C3170000}"/>
    <cellStyle name="Normal 5 2 2 3 3 2 3 2" xfId="22079" xr:uid="{4AC328CE-850F-43CE-B676-D4CD35B47283}"/>
    <cellStyle name="Normal 5 2 2 3 3 2 3 3" xfId="13645" xr:uid="{EBAAA814-5022-44D8-A2D8-238F16DE2A05}"/>
    <cellStyle name="Normal 5 2 2 3 3 2 4" xfId="17862" xr:uid="{E45BD2C8-14EF-4D2C-97B0-4ADB92A3016F}"/>
    <cellStyle name="Normal 5 2 2 3 3 2 5" xfId="9428" xr:uid="{9951925B-EB61-48AA-94EF-231A1DCF0011}"/>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24637" xr:uid="{73377BE3-DD45-4200-92E8-E51B5BC544D0}"/>
    <cellStyle name="Normal 5 2 2 3 3 3 2 2 3" xfId="16203" xr:uid="{C1829F8C-8D25-4F23-BCF6-72903694D2CF}"/>
    <cellStyle name="Normal 5 2 2 3 3 3 2 3" xfId="20420" xr:uid="{8360165F-E053-40C1-81D3-864A6F9A65E1}"/>
    <cellStyle name="Normal 5 2 2 3 3 3 2 4" xfId="11986" xr:uid="{1D63D21A-2BDA-4DD2-892E-16BF5558B8A1}"/>
    <cellStyle name="Normal 5 2 2 3 3 3 3" xfId="5620" xr:uid="{00000000-0005-0000-0000-0000C7170000}"/>
    <cellStyle name="Normal 5 2 2 3 3 3 3 2" xfId="22492" xr:uid="{C5793D98-8576-401D-8AB1-656C7703708F}"/>
    <cellStyle name="Normal 5 2 2 3 3 3 3 3" xfId="14058" xr:uid="{2C3F5C3A-4293-495D-ADAA-6F020961451A}"/>
    <cellStyle name="Normal 5 2 2 3 3 3 4" xfId="18275" xr:uid="{423AA199-D7AD-4D3E-BAD0-362A8B6C3402}"/>
    <cellStyle name="Normal 5 2 2 3 3 3 5" xfId="9841" xr:uid="{9AE14DB2-86A9-4659-A87D-5CE1FBC1B02C}"/>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25050" xr:uid="{AC4D6085-6E08-4204-97EA-8191124C6F26}"/>
    <cellStyle name="Normal 5 2 2 3 3 4 2 2 3" xfId="16616" xr:uid="{110B918A-BDEC-424F-A887-DE8EDDD26981}"/>
    <cellStyle name="Normal 5 2 2 3 3 4 2 3" xfId="20833" xr:uid="{557A1F91-5AF9-41C3-AC46-1A01A4EFAF79}"/>
    <cellStyle name="Normal 5 2 2 3 3 4 2 4" xfId="12399" xr:uid="{490F7BA1-4FF1-4D68-9F1C-475C45D053C5}"/>
    <cellStyle name="Normal 5 2 2 3 3 4 3" xfId="6033" xr:uid="{00000000-0005-0000-0000-0000CB170000}"/>
    <cellStyle name="Normal 5 2 2 3 3 4 3 2" xfId="22905" xr:uid="{9F2C04ED-4CFC-45BB-A330-C9B375B3ABA7}"/>
    <cellStyle name="Normal 5 2 2 3 3 4 3 3" xfId="14471" xr:uid="{B2A70C00-4B76-471D-941E-93C3BC598DEF}"/>
    <cellStyle name="Normal 5 2 2 3 3 4 4" xfId="18688" xr:uid="{3A5FE865-3288-40E8-B1BE-B247B25D1511}"/>
    <cellStyle name="Normal 5 2 2 3 3 4 5" xfId="10254" xr:uid="{7AE240A9-5481-4DC4-BEBF-E82B789F82B2}"/>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25463" xr:uid="{1105478C-EC2E-42D3-8F8C-2177283E46B8}"/>
    <cellStyle name="Normal 5 2 2 3 3 5 2 2 3" xfId="17029" xr:uid="{68FDBE2D-E644-4157-AF6B-EA8678E8239B}"/>
    <cellStyle name="Normal 5 2 2 3 3 5 2 3" xfId="21246" xr:uid="{6A7A2C28-8C8E-48F5-BF61-E1C1C2BE7965}"/>
    <cellStyle name="Normal 5 2 2 3 3 5 2 4" xfId="12812" xr:uid="{ADE13BFD-5130-4560-80E9-331856002BD5}"/>
    <cellStyle name="Normal 5 2 2 3 3 5 3" xfId="6446" xr:uid="{00000000-0005-0000-0000-0000CF170000}"/>
    <cellStyle name="Normal 5 2 2 3 3 5 3 2" xfId="23318" xr:uid="{789DB638-BB01-4D6E-B634-816796D85A6B}"/>
    <cellStyle name="Normal 5 2 2 3 3 5 3 3" xfId="14884" xr:uid="{C976D64D-9ADA-484C-8183-CFEEB6418C9D}"/>
    <cellStyle name="Normal 5 2 2 3 3 5 4" xfId="19101" xr:uid="{92511E00-0D13-470B-A179-10FE8EDDC6C5}"/>
    <cellStyle name="Normal 5 2 2 3 3 5 5" xfId="10667" xr:uid="{C5DD6555-2C9C-40F5-867F-0BD8044CBC14}"/>
    <cellStyle name="Normal 5 2 2 3 3 6" xfId="2575" xr:uid="{00000000-0005-0000-0000-0000D0170000}"/>
    <cellStyle name="Normal 5 2 2 3 3 6 2" xfId="6859" xr:uid="{00000000-0005-0000-0000-0000D1170000}"/>
    <cellStyle name="Normal 5 2 2 3 3 6 2 2" xfId="23731" xr:uid="{C575EF97-BB2C-4906-91E4-F9003171CB3F}"/>
    <cellStyle name="Normal 5 2 2 3 3 6 2 3" xfId="15297" xr:uid="{595A579B-8C1F-4A49-9CE8-B6C74258C4FF}"/>
    <cellStyle name="Normal 5 2 2 3 3 6 3" xfId="19514" xr:uid="{ECE6049B-1E13-4033-99E6-F91F5A29BEAF}"/>
    <cellStyle name="Normal 5 2 2 3 3 6 4" xfId="11080" xr:uid="{16944D57-50D7-4FEC-BEC2-4C5539BDAA15}"/>
    <cellStyle name="Normal 5 2 2 3 3 7" xfId="4794" xr:uid="{00000000-0005-0000-0000-0000D2170000}"/>
    <cellStyle name="Normal 5 2 2 3 3 7 2" xfId="21666" xr:uid="{66BBC541-AA3A-4149-B77F-778F8429BB8D}"/>
    <cellStyle name="Normal 5 2 2 3 3 7 3" xfId="13232" xr:uid="{033FBDCF-E3BC-484E-ADAA-80B0853D83B9}"/>
    <cellStyle name="Normal 5 2 2 3 3 8" xfId="17449" xr:uid="{D647F366-0FE2-4B4E-9D43-470D1D864439}"/>
    <cellStyle name="Normal 5 2 2 3 3 9" xfId="9015" xr:uid="{F688B0BC-42B2-4ACC-B7F4-A89733135CE6}"/>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24221" xr:uid="{AF30E5AF-4E75-4634-8A31-A430C28EA1C5}"/>
    <cellStyle name="Normal 5 2 2 3 4 2 2 3" xfId="15787" xr:uid="{89A073D5-6A27-451D-9ED2-56D5734724A8}"/>
    <cellStyle name="Normal 5 2 2 3 4 2 3" xfId="20004" xr:uid="{C7D6B0E7-DF24-43CD-B9F9-5B9F48A19D39}"/>
    <cellStyle name="Normal 5 2 2 3 4 2 4" xfId="11570" xr:uid="{237379D7-2558-464C-8C94-0F4E4E45D524}"/>
    <cellStyle name="Normal 5 2 2 3 4 3" xfId="5204" xr:uid="{00000000-0005-0000-0000-0000D6170000}"/>
    <cellStyle name="Normal 5 2 2 3 4 3 2" xfId="22076" xr:uid="{394AF1A4-89C3-47CD-B83E-E7E0096DB608}"/>
    <cellStyle name="Normal 5 2 2 3 4 3 3" xfId="13642" xr:uid="{435B309E-9DFE-4A09-8CC0-4DE372715E77}"/>
    <cellStyle name="Normal 5 2 2 3 4 4" xfId="17859" xr:uid="{8B0CFBFA-100E-49D8-B7F6-4A32E477D2E7}"/>
    <cellStyle name="Normal 5 2 2 3 4 5" xfId="9425" xr:uid="{6BA1EACE-61DD-4CA2-9ACE-CCB3D7F6F708}"/>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24634" xr:uid="{42792598-46AC-4B1E-903B-69075C3CB8F8}"/>
    <cellStyle name="Normal 5 2 2 3 5 2 2 3" xfId="16200" xr:uid="{814D9AA8-6586-462C-8628-ADA593DB647C}"/>
    <cellStyle name="Normal 5 2 2 3 5 2 3" xfId="20417" xr:uid="{45C36203-225C-4715-B4C1-C45236A73EAF}"/>
    <cellStyle name="Normal 5 2 2 3 5 2 4" xfId="11983" xr:uid="{ED64B6A2-2BF1-4A4E-8635-EBAB81E5CC6B}"/>
    <cellStyle name="Normal 5 2 2 3 5 3" xfId="5617" xr:uid="{00000000-0005-0000-0000-0000DA170000}"/>
    <cellStyle name="Normal 5 2 2 3 5 3 2" xfId="22489" xr:uid="{02334E03-F151-478D-B3E5-585CDDE115EC}"/>
    <cellStyle name="Normal 5 2 2 3 5 3 3" xfId="14055" xr:uid="{A9F16FF9-7533-4C2C-892F-8F76F4E65FF4}"/>
    <cellStyle name="Normal 5 2 2 3 5 4" xfId="18272" xr:uid="{FD43EE34-1A28-40CF-834A-58F2449DC46D}"/>
    <cellStyle name="Normal 5 2 2 3 5 5" xfId="9838" xr:uid="{1627471C-BED0-4A98-B421-2E74EE1CCC1A}"/>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25047" xr:uid="{FEEE8A54-5889-4997-B094-5CDC74D87FB6}"/>
    <cellStyle name="Normal 5 2 2 3 6 2 2 3" xfId="16613" xr:uid="{6E54BC4D-23A7-4FBC-8712-1F1D098C047C}"/>
    <cellStyle name="Normal 5 2 2 3 6 2 3" xfId="20830" xr:uid="{9C4A2D0F-D439-4A25-8CA7-C6659EB45A53}"/>
    <cellStyle name="Normal 5 2 2 3 6 2 4" xfId="12396" xr:uid="{288E9229-AF84-451F-8975-2A285678A552}"/>
    <cellStyle name="Normal 5 2 2 3 6 3" xfId="6030" xr:uid="{00000000-0005-0000-0000-0000DE170000}"/>
    <cellStyle name="Normal 5 2 2 3 6 3 2" xfId="22902" xr:uid="{869BEF90-6C61-425E-8E93-53F87E421408}"/>
    <cellStyle name="Normal 5 2 2 3 6 3 3" xfId="14468" xr:uid="{674A2062-D0E5-43B6-BF01-23792BDD82D8}"/>
    <cellStyle name="Normal 5 2 2 3 6 4" xfId="18685" xr:uid="{C1848816-38BE-43E3-93BD-BFBAB8AB67FE}"/>
    <cellStyle name="Normal 5 2 2 3 6 5" xfId="10251" xr:uid="{F1EA511A-8F52-41AB-9ACC-2E6074E1FBD4}"/>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25460" xr:uid="{3D2E49F7-984B-4530-8726-6A226F384B39}"/>
    <cellStyle name="Normal 5 2 2 3 7 2 2 3" xfId="17026" xr:uid="{6B3EAC62-4FCB-4A82-B020-E3C3AEB0895D}"/>
    <cellStyle name="Normal 5 2 2 3 7 2 3" xfId="21243" xr:uid="{10718C3E-540C-4B89-8420-E7966AE1E343}"/>
    <cellStyle name="Normal 5 2 2 3 7 2 4" xfId="12809" xr:uid="{A38D7946-3BA3-4004-8A99-B33C96D59E4A}"/>
    <cellStyle name="Normal 5 2 2 3 7 3" xfId="6443" xr:uid="{00000000-0005-0000-0000-0000E2170000}"/>
    <cellStyle name="Normal 5 2 2 3 7 3 2" xfId="23315" xr:uid="{BB8A8C6C-4C79-4DBD-80B3-1C1E7D38DD6C}"/>
    <cellStyle name="Normal 5 2 2 3 7 3 3" xfId="14881" xr:uid="{A1B087E7-79A9-471E-867D-9097F7174BD4}"/>
    <cellStyle name="Normal 5 2 2 3 7 4" xfId="19098" xr:uid="{ABFA3C7D-0B79-45F0-96BD-EA5A99B32DF3}"/>
    <cellStyle name="Normal 5 2 2 3 7 5" xfId="10664" xr:uid="{2BB3ADD4-E3A9-4092-9933-1C909669F968}"/>
    <cellStyle name="Normal 5 2 2 3 8" xfId="2572" xr:uid="{00000000-0005-0000-0000-0000E3170000}"/>
    <cellStyle name="Normal 5 2 2 3 8 2" xfId="6856" xr:uid="{00000000-0005-0000-0000-0000E4170000}"/>
    <cellStyle name="Normal 5 2 2 3 8 2 2" xfId="23728" xr:uid="{E27CCF48-6447-4070-B602-EFA472E158F0}"/>
    <cellStyle name="Normal 5 2 2 3 8 2 3" xfId="15294" xr:uid="{AF69E526-ED93-4A58-9BDE-F719DE210AC7}"/>
    <cellStyle name="Normal 5 2 2 3 8 3" xfId="19511" xr:uid="{316A4FCE-CFE7-4403-9503-B7441DBBAE74}"/>
    <cellStyle name="Normal 5 2 2 3 8 4" xfId="11077" xr:uid="{714885FE-3793-4FFA-9873-B855BB4A2A51}"/>
    <cellStyle name="Normal 5 2 2 3 9" xfId="4791" xr:uid="{00000000-0005-0000-0000-0000E5170000}"/>
    <cellStyle name="Normal 5 2 2 3 9 2" xfId="21663" xr:uid="{CED8A373-D06D-4397-A4CB-92751EAEF3D4}"/>
    <cellStyle name="Normal 5 2 2 3 9 3" xfId="13229" xr:uid="{3FCFE7A9-1790-49A3-9922-A810833D0CF1}"/>
    <cellStyle name="Normal 5 2 2 4" xfId="421" xr:uid="{00000000-0005-0000-0000-0000E6170000}"/>
    <cellStyle name="Normal 5 2 2 4 10" xfId="9016" xr:uid="{9FB0ACDA-E7F4-4A9A-B7C0-ABDEE56F409F}"/>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24226" xr:uid="{7F6D00B7-4148-46D8-9A3A-E44480C14452}"/>
    <cellStyle name="Normal 5 2 2 4 2 2 2 2 3" xfId="15792" xr:uid="{B4BD1DB7-7BD0-4AC0-98C4-283EDAFEB508}"/>
    <cellStyle name="Normal 5 2 2 4 2 2 2 3" xfId="20009" xr:uid="{7934D41E-7EDF-47ED-9CB0-FE020A71A6A8}"/>
    <cellStyle name="Normal 5 2 2 4 2 2 2 4" xfId="11575" xr:uid="{D9834241-76A1-494F-AC84-35940677A1CE}"/>
    <cellStyle name="Normal 5 2 2 4 2 2 3" xfId="5209" xr:uid="{00000000-0005-0000-0000-0000EB170000}"/>
    <cellStyle name="Normal 5 2 2 4 2 2 3 2" xfId="22081" xr:uid="{368521DA-7F72-4A33-B210-CD5CB470E5E6}"/>
    <cellStyle name="Normal 5 2 2 4 2 2 3 3" xfId="13647" xr:uid="{2446462B-59A5-4B90-A713-9A910C982F19}"/>
    <cellStyle name="Normal 5 2 2 4 2 2 4" xfId="17864" xr:uid="{4ACB189B-1D4F-433D-8214-E030D31DC2C9}"/>
    <cellStyle name="Normal 5 2 2 4 2 2 5" xfId="9430" xr:uid="{2EA2EBEB-D987-43F7-AD21-6CCF1FEA704E}"/>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24639" xr:uid="{C1EFB118-CCB7-4D01-91B1-2EFC204FB330}"/>
    <cellStyle name="Normal 5 2 2 4 2 3 2 2 3" xfId="16205" xr:uid="{602BA29B-88E4-42F5-B362-6B49967F3556}"/>
    <cellStyle name="Normal 5 2 2 4 2 3 2 3" xfId="20422" xr:uid="{C632C73F-C191-43B2-B0D5-63DACAAB0C9E}"/>
    <cellStyle name="Normal 5 2 2 4 2 3 2 4" xfId="11988" xr:uid="{E53BBB15-B827-4E59-A990-3FA2F84ED1E6}"/>
    <cellStyle name="Normal 5 2 2 4 2 3 3" xfId="5622" xr:uid="{00000000-0005-0000-0000-0000EF170000}"/>
    <cellStyle name="Normal 5 2 2 4 2 3 3 2" xfId="22494" xr:uid="{50E14387-6C7E-4891-9AFE-993A156AEE0B}"/>
    <cellStyle name="Normal 5 2 2 4 2 3 3 3" xfId="14060" xr:uid="{DD4C6815-8923-4EEB-84FB-9AD22ABE8DD4}"/>
    <cellStyle name="Normal 5 2 2 4 2 3 4" xfId="18277" xr:uid="{C88E5A4E-9D04-45F1-86E9-0024C60D0F81}"/>
    <cellStyle name="Normal 5 2 2 4 2 3 5" xfId="9843" xr:uid="{E11859D0-E0D3-432D-AE10-767091CBA6E5}"/>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25052" xr:uid="{0D9EC820-77E7-4DAA-AC6C-9822ED7C347C}"/>
    <cellStyle name="Normal 5 2 2 4 2 4 2 2 3" xfId="16618" xr:uid="{B692D917-0661-474C-8E9E-8AD8CEA0CC32}"/>
    <cellStyle name="Normal 5 2 2 4 2 4 2 3" xfId="20835" xr:uid="{44A2A054-77CB-4459-962A-FF5D52D839B6}"/>
    <cellStyle name="Normal 5 2 2 4 2 4 2 4" xfId="12401" xr:uid="{3505B810-9FEB-4B13-A3F8-633DC9F18103}"/>
    <cellStyle name="Normal 5 2 2 4 2 4 3" xfId="6035" xr:uid="{00000000-0005-0000-0000-0000F3170000}"/>
    <cellStyle name="Normal 5 2 2 4 2 4 3 2" xfId="22907" xr:uid="{29171A20-C4B2-4474-B191-543503607E70}"/>
    <cellStyle name="Normal 5 2 2 4 2 4 3 3" xfId="14473" xr:uid="{7FC4B166-0C39-41A2-BA9A-C77CDC557192}"/>
    <cellStyle name="Normal 5 2 2 4 2 4 4" xfId="18690" xr:uid="{2A2A4690-584A-4118-BC01-53C995EC76B6}"/>
    <cellStyle name="Normal 5 2 2 4 2 4 5" xfId="10256" xr:uid="{6B5A2E33-B2C7-4C17-8B62-5B39029C1068}"/>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25465" xr:uid="{35BD8932-BB17-4A49-9D67-0435EFE0B1F1}"/>
    <cellStyle name="Normal 5 2 2 4 2 5 2 2 3" xfId="17031" xr:uid="{94F6AAF4-895D-47CA-8406-F7C20F417FF0}"/>
    <cellStyle name="Normal 5 2 2 4 2 5 2 3" xfId="21248" xr:uid="{07F114BB-3E0F-4D0D-B952-D1F187D6A251}"/>
    <cellStyle name="Normal 5 2 2 4 2 5 2 4" xfId="12814" xr:uid="{ED3EFEFC-5B16-4AAA-9E36-461FD5F05135}"/>
    <cellStyle name="Normal 5 2 2 4 2 5 3" xfId="6448" xr:uid="{00000000-0005-0000-0000-0000F7170000}"/>
    <cellStyle name="Normal 5 2 2 4 2 5 3 2" xfId="23320" xr:uid="{0D0B8F3F-4E78-46DC-A5A6-587CB9C88A08}"/>
    <cellStyle name="Normal 5 2 2 4 2 5 3 3" xfId="14886" xr:uid="{351BE006-E0DB-4725-9E8B-47C780532CB7}"/>
    <cellStyle name="Normal 5 2 2 4 2 5 4" xfId="19103" xr:uid="{199BA11E-A7A4-45A0-9CA0-173855BB80EA}"/>
    <cellStyle name="Normal 5 2 2 4 2 5 5" xfId="10669" xr:uid="{38C29346-F5D7-43E9-991B-5DC12F038CE4}"/>
    <cellStyle name="Normal 5 2 2 4 2 6" xfId="2577" xr:uid="{00000000-0005-0000-0000-0000F8170000}"/>
    <cellStyle name="Normal 5 2 2 4 2 6 2" xfId="6861" xr:uid="{00000000-0005-0000-0000-0000F9170000}"/>
    <cellStyle name="Normal 5 2 2 4 2 6 2 2" xfId="23733" xr:uid="{F35CA0C3-AF2E-4E30-A370-8EE1C2530123}"/>
    <cellStyle name="Normal 5 2 2 4 2 6 2 3" xfId="15299" xr:uid="{AEE76000-BBBE-4583-8881-3E6AA173D067}"/>
    <cellStyle name="Normal 5 2 2 4 2 6 3" xfId="19516" xr:uid="{13864EE8-2084-435E-A9A0-E6BD004152E4}"/>
    <cellStyle name="Normal 5 2 2 4 2 6 4" xfId="11082" xr:uid="{718607CC-64D1-4BD9-B694-B16D13EC2506}"/>
    <cellStyle name="Normal 5 2 2 4 2 7" xfId="4796" xr:uid="{00000000-0005-0000-0000-0000FA170000}"/>
    <cellStyle name="Normal 5 2 2 4 2 7 2" xfId="21668" xr:uid="{B122E2F4-BE01-4914-AFD1-39B9822F5AAC}"/>
    <cellStyle name="Normal 5 2 2 4 2 7 3" xfId="13234" xr:uid="{2BCE037C-57E7-4C27-ADDA-196D788E18AE}"/>
    <cellStyle name="Normal 5 2 2 4 2 8" xfId="17451" xr:uid="{2051A9EE-1384-4E94-955A-38F6FD4D7663}"/>
    <cellStyle name="Normal 5 2 2 4 2 9" xfId="9017" xr:uid="{17DA3F0A-AFFC-481A-B887-1AD5753FE36B}"/>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24225" xr:uid="{03C5153C-342B-4C3C-933B-9B3884FF9F26}"/>
    <cellStyle name="Normal 5 2 2 4 3 2 2 3" xfId="15791" xr:uid="{AF367A4F-F73E-45A2-833A-A2D1EFA4C3EE}"/>
    <cellStyle name="Normal 5 2 2 4 3 2 3" xfId="20008" xr:uid="{5359AB14-AB64-41D0-A0C0-476323831809}"/>
    <cellStyle name="Normal 5 2 2 4 3 2 4" xfId="11574" xr:uid="{4DB87FAC-C059-4EB8-BCEC-8F51479983F1}"/>
    <cellStyle name="Normal 5 2 2 4 3 3" xfId="5208" xr:uid="{00000000-0005-0000-0000-0000FE170000}"/>
    <cellStyle name="Normal 5 2 2 4 3 3 2" xfId="22080" xr:uid="{DA213D24-1260-43F6-89FF-3EA024C72E81}"/>
    <cellStyle name="Normal 5 2 2 4 3 3 3" xfId="13646" xr:uid="{7FD59410-C731-4F6B-9A08-338E4F33CF76}"/>
    <cellStyle name="Normal 5 2 2 4 3 4" xfId="17863" xr:uid="{E66CEE5D-B094-426C-89C8-D5200089E027}"/>
    <cellStyle name="Normal 5 2 2 4 3 5" xfId="9429" xr:uid="{81A5754C-7AAF-401D-9B11-14DAD68D5FF8}"/>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24638" xr:uid="{CBC990C8-CFCC-440B-88A9-A0975E568514}"/>
    <cellStyle name="Normal 5 2 2 4 4 2 2 3" xfId="16204" xr:uid="{2DBA21AF-A235-4E02-A639-AC532BA4393C}"/>
    <cellStyle name="Normal 5 2 2 4 4 2 3" xfId="20421" xr:uid="{42B37097-F3F3-429A-B3FB-B555FDFA4DA1}"/>
    <cellStyle name="Normal 5 2 2 4 4 2 4" xfId="11987" xr:uid="{4646402F-92FC-4961-9B65-B99672A534E1}"/>
    <cellStyle name="Normal 5 2 2 4 4 3" xfId="5621" xr:uid="{00000000-0005-0000-0000-000002180000}"/>
    <cellStyle name="Normal 5 2 2 4 4 3 2" xfId="22493" xr:uid="{94E07348-83F4-44CD-B8B6-262487E8CEEA}"/>
    <cellStyle name="Normal 5 2 2 4 4 3 3" xfId="14059" xr:uid="{2F9C1744-B02D-43ED-BFBF-956087B95B56}"/>
    <cellStyle name="Normal 5 2 2 4 4 4" xfId="18276" xr:uid="{FE147082-D0DC-48EB-B189-78BA9AA3A830}"/>
    <cellStyle name="Normal 5 2 2 4 4 5" xfId="9842" xr:uid="{09C12D12-5087-4FB5-9B75-A41421886906}"/>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25051" xr:uid="{D5FE7336-4E60-4A59-AC2E-AAFB6BED9684}"/>
    <cellStyle name="Normal 5 2 2 4 5 2 2 3" xfId="16617" xr:uid="{8B76DC98-4933-4D60-8123-03DD0F258C0A}"/>
    <cellStyle name="Normal 5 2 2 4 5 2 3" xfId="20834" xr:uid="{AF9A00F7-92B5-44F6-8147-DEDF1A0982A1}"/>
    <cellStyle name="Normal 5 2 2 4 5 2 4" xfId="12400" xr:uid="{B394CB3F-EE0B-45BC-BF45-21A367BBD848}"/>
    <cellStyle name="Normal 5 2 2 4 5 3" xfId="6034" xr:uid="{00000000-0005-0000-0000-000006180000}"/>
    <cellStyle name="Normal 5 2 2 4 5 3 2" xfId="22906" xr:uid="{D06D1202-F0BB-4877-ABF6-2DCA4969C337}"/>
    <cellStyle name="Normal 5 2 2 4 5 3 3" xfId="14472" xr:uid="{2D4E5FE3-B47F-4805-AAD1-1BB230EFF2EF}"/>
    <cellStyle name="Normal 5 2 2 4 5 4" xfId="18689" xr:uid="{8C2CC9AD-1BD5-4208-9D40-9FBD7B8F0FDF}"/>
    <cellStyle name="Normal 5 2 2 4 5 5" xfId="10255" xr:uid="{806D837B-5B50-46B0-9641-A5B0E4F5D14E}"/>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25464" xr:uid="{0E65DF92-314E-4DA2-BBF1-C9F48C813840}"/>
    <cellStyle name="Normal 5 2 2 4 6 2 2 3" xfId="17030" xr:uid="{9AF90F11-E273-4BF6-BAF1-E3ED129BC028}"/>
    <cellStyle name="Normal 5 2 2 4 6 2 3" xfId="21247" xr:uid="{1FCB4797-27A8-45ED-84D8-6431EA31E7BF}"/>
    <cellStyle name="Normal 5 2 2 4 6 2 4" xfId="12813" xr:uid="{BBCFABBA-4CFA-41C6-A603-8F0D038A49A3}"/>
    <cellStyle name="Normal 5 2 2 4 6 3" xfId="6447" xr:uid="{00000000-0005-0000-0000-00000A180000}"/>
    <cellStyle name="Normal 5 2 2 4 6 3 2" xfId="23319" xr:uid="{47ED78D8-B9F9-41FC-ACF0-828A0DE12A2A}"/>
    <cellStyle name="Normal 5 2 2 4 6 3 3" xfId="14885" xr:uid="{CE468D11-7388-4969-BCB4-EBD6623808C9}"/>
    <cellStyle name="Normal 5 2 2 4 6 4" xfId="19102" xr:uid="{0A3325C7-1B0C-4F96-96A1-A9AC5740E8C3}"/>
    <cellStyle name="Normal 5 2 2 4 6 5" xfId="10668" xr:uid="{CF645C82-11AD-4C51-8DF0-19B49FFAADA7}"/>
    <cellStyle name="Normal 5 2 2 4 7" xfId="2576" xr:uid="{00000000-0005-0000-0000-00000B180000}"/>
    <cellStyle name="Normal 5 2 2 4 7 2" xfId="6860" xr:uid="{00000000-0005-0000-0000-00000C180000}"/>
    <cellStyle name="Normal 5 2 2 4 7 2 2" xfId="23732" xr:uid="{3A7ECCFA-D111-430B-8DE0-35F0DB66159D}"/>
    <cellStyle name="Normal 5 2 2 4 7 2 3" xfId="15298" xr:uid="{401A3189-E55F-467E-AA42-A6423BC4848F}"/>
    <cellStyle name="Normal 5 2 2 4 7 3" xfId="19515" xr:uid="{8AC4751E-CD56-4D2F-B2E4-D417D77AEF7F}"/>
    <cellStyle name="Normal 5 2 2 4 7 4" xfId="11081" xr:uid="{48E2803E-8F2C-4001-8B73-AD7B9FBAA389}"/>
    <cellStyle name="Normal 5 2 2 4 8" xfId="4795" xr:uid="{00000000-0005-0000-0000-00000D180000}"/>
    <cellStyle name="Normal 5 2 2 4 8 2" xfId="21667" xr:uid="{5A37C70A-AF72-49E4-8DF9-C8665DB72ACB}"/>
    <cellStyle name="Normal 5 2 2 4 8 3" xfId="13233" xr:uid="{0BB42841-A618-41E5-8E44-EBA20B5CA686}"/>
    <cellStyle name="Normal 5 2 2 4 9" xfId="17450" xr:uid="{6F5D73CA-DCAF-49A6-A6E2-993D0B3F8AC7}"/>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24227" xr:uid="{B370F127-AAA6-4317-A0BE-4F108EC77CF4}"/>
    <cellStyle name="Normal 5 2 2 5 2 2 2 3" xfId="15793" xr:uid="{7DC728E8-0670-4497-8B7B-7C76846A87D8}"/>
    <cellStyle name="Normal 5 2 2 5 2 2 3" xfId="20010" xr:uid="{7E598673-66E9-4090-8C8E-9FE8BFCABCA9}"/>
    <cellStyle name="Normal 5 2 2 5 2 2 4" xfId="11576" xr:uid="{0FCE0E5D-BC66-4388-8C91-2774CAD14F2E}"/>
    <cellStyle name="Normal 5 2 2 5 2 3" xfId="5210" xr:uid="{00000000-0005-0000-0000-000012180000}"/>
    <cellStyle name="Normal 5 2 2 5 2 3 2" xfId="22082" xr:uid="{25927D05-B52A-4176-B872-E6D58F7D201D}"/>
    <cellStyle name="Normal 5 2 2 5 2 3 3" xfId="13648" xr:uid="{CE75EE2E-EB4E-4F25-A1FA-526FDAE8C919}"/>
    <cellStyle name="Normal 5 2 2 5 2 4" xfId="17865" xr:uid="{02D3AB5D-B14D-4314-BACF-D86076555CDD}"/>
    <cellStyle name="Normal 5 2 2 5 2 5" xfId="9431" xr:uid="{E4E64F08-1636-4B27-93F5-6ECD9EB347A7}"/>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24640" xr:uid="{139D6901-49C8-4327-B790-1CECED8FF5BD}"/>
    <cellStyle name="Normal 5 2 2 5 3 2 2 3" xfId="16206" xr:uid="{F0EA35A1-1141-47E7-ACE4-5D9C02491B2C}"/>
    <cellStyle name="Normal 5 2 2 5 3 2 3" xfId="20423" xr:uid="{0E14E99A-FEA8-4A85-BCBA-24C791F72DF4}"/>
    <cellStyle name="Normal 5 2 2 5 3 2 4" xfId="11989" xr:uid="{D9E436B5-4E15-426A-B17B-D4149596795D}"/>
    <cellStyle name="Normal 5 2 2 5 3 3" xfId="5623" xr:uid="{00000000-0005-0000-0000-000016180000}"/>
    <cellStyle name="Normal 5 2 2 5 3 3 2" xfId="22495" xr:uid="{6EA7E53F-DBF0-456F-B9F8-EDF20920634E}"/>
    <cellStyle name="Normal 5 2 2 5 3 3 3" xfId="14061" xr:uid="{B708E576-FE48-4B85-8862-2DBDB2D1E1FB}"/>
    <cellStyle name="Normal 5 2 2 5 3 4" xfId="18278" xr:uid="{BC85E72C-551E-4B09-A6A6-EB1DB2EDDEC0}"/>
    <cellStyle name="Normal 5 2 2 5 3 5" xfId="9844" xr:uid="{DA094429-B009-4EE3-90B1-1B96791FDB66}"/>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25053" xr:uid="{E346CE2B-8DB9-4CB4-8ACE-683E8DAE94B3}"/>
    <cellStyle name="Normal 5 2 2 5 4 2 2 3" xfId="16619" xr:uid="{80135515-3271-4142-8EE3-FCB126A5C4BB}"/>
    <cellStyle name="Normal 5 2 2 5 4 2 3" xfId="20836" xr:uid="{490F516F-E172-43BC-AE0D-E4076D4992BA}"/>
    <cellStyle name="Normal 5 2 2 5 4 2 4" xfId="12402" xr:uid="{2DD632E1-5AEA-4FE2-9F3C-1C6DA54D1C59}"/>
    <cellStyle name="Normal 5 2 2 5 4 3" xfId="6036" xr:uid="{00000000-0005-0000-0000-00001A180000}"/>
    <cellStyle name="Normal 5 2 2 5 4 3 2" xfId="22908" xr:uid="{8B75202E-A93C-4CAC-ABC1-2A49DFF18DE6}"/>
    <cellStyle name="Normal 5 2 2 5 4 3 3" xfId="14474" xr:uid="{71AFE58A-AC89-46BB-9EAE-838FB2A37D22}"/>
    <cellStyle name="Normal 5 2 2 5 4 4" xfId="18691" xr:uid="{79B98E95-00ED-4928-800C-745A472CFBA8}"/>
    <cellStyle name="Normal 5 2 2 5 4 5" xfId="10257" xr:uid="{D938CD48-F5E7-48EE-9C76-EEBA9293319F}"/>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25466" xr:uid="{2414EC74-ECD9-43F4-908B-3DE2C714BEA8}"/>
    <cellStyle name="Normal 5 2 2 5 5 2 2 3" xfId="17032" xr:uid="{F79B6141-DAF2-4CEB-9FE7-A63DB228B449}"/>
    <cellStyle name="Normal 5 2 2 5 5 2 3" xfId="21249" xr:uid="{472819F8-1A5A-45E2-9BCA-4EE31FE828D6}"/>
    <cellStyle name="Normal 5 2 2 5 5 2 4" xfId="12815" xr:uid="{58B6D919-62B8-4766-8B38-43BF78948670}"/>
    <cellStyle name="Normal 5 2 2 5 5 3" xfId="6449" xr:uid="{00000000-0005-0000-0000-00001E180000}"/>
    <cellStyle name="Normal 5 2 2 5 5 3 2" xfId="23321" xr:uid="{82E9FD61-AFDA-4437-86AF-C64C26AFF0A0}"/>
    <cellStyle name="Normal 5 2 2 5 5 3 3" xfId="14887" xr:uid="{B5B2048D-584A-4A77-A551-C45D3EA3A30A}"/>
    <cellStyle name="Normal 5 2 2 5 5 4" xfId="19104" xr:uid="{918F67E6-A155-4D76-AC9F-3BD1BFED22CF}"/>
    <cellStyle name="Normal 5 2 2 5 5 5" xfId="10670" xr:uid="{B73C1B57-2247-43DC-8F97-1D1BE204CA48}"/>
    <cellStyle name="Normal 5 2 2 5 6" xfId="2578" xr:uid="{00000000-0005-0000-0000-00001F180000}"/>
    <cellStyle name="Normal 5 2 2 5 6 2" xfId="6862" xr:uid="{00000000-0005-0000-0000-000020180000}"/>
    <cellStyle name="Normal 5 2 2 5 6 2 2" xfId="23734" xr:uid="{2B11EB18-F5F8-4C52-A473-A5D8EC6BDE78}"/>
    <cellStyle name="Normal 5 2 2 5 6 2 3" xfId="15300" xr:uid="{32BB6EFF-10DC-48EE-B814-A04055702887}"/>
    <cellStyle name="Normal 5 2 2 5 6 3" xfId="19517" xr:uid="{A80E2881-7031-4030-8A4A-BB0A6547B72E}"/>
    <cellStyle name="Normal 5 2 2 5 6 4" xfId="11083" xr:uid="{7D45D628-E407-44AD-B549-C2BB802A85DA}"/>
    <cellStyle name="Normal 5 2 2 5 7" xfId="4797" xr:uid="{00000000-0005-0000-0000-000021180000}"/>
    <cellStyle name="Normal 5 2 2 5 7 2" xfId="21669" xr:uid="{5302187B-C71F-411B-849F-121563F659F6}"/>
    <cellStyle name="Normal 5 2 2 5 7 3" xfId="13235" xr:uid="{A90A73C0-2473-43E5-9014-7B0D0C2868F5}"/>
    <cellStyle name="Normal 5 2 2 5 8" xfId="17452" xr:uid="{9CC54984-58A4-46B6-B58F-742E31D1B9FD}"/>
    <cellStyle name="Normal 5 2 2 5 9" xfId="9018" xr:uid="{0AA303FB-CEE3-4CA2-B16A-4E11E3DB01DF}"/>
    <cellStyle name="Normal 5 2 2 6" xfId="882" xr:uid="{00000000-0005-0000-0000-000022180000}"/>
    <cellStyle name="Normal 5 2 2 6 2" xfId="3117" xr:uid="{00000000-0005-0000-0000-000023180000}"/>
    <cellStyle name="Normal 5 2 2 6 2 2" xfId="7340" xr:uid="{00000000-0005-0000-0000-000024180000}"/>
    <cellStyle name="Normal 5 2 2 6 2 2 2" xfId="24212" xr:uid="{8375B4A1-91DA-4C53-AE66-51D0AAACBADC}"/>
    <cellStyle name="Normal 5 2 2 6 2 2 3" xfId="15778" xr:uid="{48FEEC34-92B0-40FF-AD62-DFDA58803619}"/>
    <cellStyle name="Normal 5 2 2 6 2 3" xfId="19995" xr:uid="{E51813FE-2A01-49A4-8C26-125B2CA4481E}"/>
    <cellStyle name="Normal 5 2 2 6 2 4" xfId="11561" xr:uid="{C26DF83E-3349-4EAF-8ECC-73CC05DB2265}"/>
    <cellStyle name="Normal 5 2 2 6 3" xfId="5195" xr:uid="{00000000-0005-0000-0000-000025180000}"/>
    <cellStyle name="Normal 5 2 2 6 3 2" xfId="22067" xr:uid="{D8187CC5-F54E-4AAF-A6C9-73D818478B6B}"/>
    <cellStyle name="Normal 5 2 2 6 3 3" xfId="13633" xr:uid="{980343E2-818D-45CB-954D-3B52992EA3B8}"/>
    <cellStyle name="Normal 5 2 2 6 4" xfId="17850" xr:uid="{BFE346CB-9DEB-42BA-A954-730BA4D68F05}"/>
    <cellStyle name="Normal 5 2 2 6 5" xfId="9416" xr:uid="{62A023F5-FBE4-4C71-8A42-83ABE0E85425}"/>
    <cellStyle name="Normal 5 2 2 7" xfId="1300" xr:uid="{00000000-0005-0000-0000-000026180000}"/>
    <cellStyle name="Normal 5 2 2 7 2" xfId="3530" xr:uid="{00000000-0005-0000-0000-000027180000}"/>
    <cellStyle name="Normal 5 2 2 7 2 2" xfId="7753" xr:uid="{00000000-0005-0000-0000-000028180000}"/>
    <cellStyle name="Normal 5 2 2 7 2 2 2" xfId="24625" xr:uid="{F692FE43-DA23-49C1-BCCF-0570964A8443}"/>
    <cellStyle name="Normal 5 2 2 7 2 2 3" xfId="16191" xr:uid="{167B0F77-64D9-4CDB-8446-12F2AA8368FE}"/>
    <cellStyle name="Normal 5 2 2 7 2 3" xfId="20408" xr:uid="{78C27583-96B3-4FB3-BB83-93CAB3ECAEB5}"/>
    <cellStyle name="Normal 5 2 2 7 2 4" xfId="11974" xr:uid="{414FED29-CE26-42AB-A33F-AE48348A44C0}"/>
    <cellStyle name="Normal 5 2 2 7 3" xfId="5608" xr:uid="{00000000-0005-0000-0000-000029180000}"/>
    <cellStyle name="Normal 5 2 2 7 3 2" xfId="22480" xr:uid="{BC883BD9-555B-4589-951A-57BF6AC7EB0B}"/>
    <cellStyle name="Normal 5 2 2 7 3 3" xfId="14046" xr:uid="{4ED7C7EB-D4DD-41DA-A4CE-48B5C865A4BE}"/>
    <cellStyle name="Normal 5 2 2 7 4" xfId="18263" xr:uid="{1B44DD74-6FF9-4AD7-A9CC-0FC3808C743E}"/>
    <cellStyle name="Normal 5 2 2 7 5" xfId="9829" xr:uid="{68D43E39-2ABC-4E56-93D8-56C240A54C0D}"/>
    <cellStyle name="Normal 5 2 2 8" xfId="1713" xr:uid="{00000000-0005-0000-0000-00002A180000}"/>
    <cellStyle name="Normal 5 2 2 8 2" xfId="3943" xr:uid="{00000000-0005-0000-0000-00002B180000}"/>
    <cellStyle name="Normal 5 2 2 8 2 2" xfId="8166" xr:uid="{00000000-0005-0000-0000-00002C180000}"/>
    <cellStyle name="Normal 5 2 2 8 2 2 2" xfId="25038" xr:uid="{34C281C4-A42F-4B52-B2BE-1A76F41A71F4}"/>
    <cellStyle name="Normal 5 2 2 8 2 2 3" xfId="16604" xr:uid="{7ACC534B-41EE-47A9-8B55-2AF382DF2182}"/>
    <cellStyle name="Normal 5 2 2 8 2 3" xfId="20821" xr:uid="{F49B02B8-9E70-4899-BCC9-D72FEFA4E368}"/>
    <cellStyle name="Normal 5 2 2 8 2 4" xfId="12387" xr:uid="{BA3CC462-38E2-4953-9977-BEFF0A99BE84}"/>
    <cellStyle name="Normal 5 2 2 8 3" xfId="6021" xr:uid="{00000000-0005-0000-0000-00002D180000}"/>
    <cellStyle name="Normal 5 2 2 8 3 2" xfId="22893" xr:uid="{89E59F26-FE7B-4FC9-8E78-BD3578BFFAC5}"/>
    <cellStyle name="Normal 5 2 2 8 3 3" xfId="14459" xr:uid="{3B448932-49D5-41F2-BC7C-3C57DB365685}"/>
    <cellStyle name="Normal 5 2 2 8 4" xfId="18676" xr:uid="{BC62BA48-245E-4EB0-B511-39780F2F1BC6}"/>
    <cellStyle name="Normal 5 2 2 8 5" xfId="10242" xr:uid="{8C06A581-B94D-4EF5-8DA4-DD2048C6F9F6}"/>
    <cellStyle name="Normal 5 2 2 9" xfId="2127" xr:uid="{00000000-0005-0000-0000-00002E180000}"/>
    <cellStyle name="Normal 5 2 2 9 2" xfId="4356" xr:uid="{00000000-0005-0000-0000-00002F180000}"/>
    <cellStyle name="Normal 5 2 2 9 2 2" xfId="8579" xr:uid="{00000000-0005-0000-0000-000030180000}"/>
    <cellStyle name="Normal 5 2 2 9 2 2 2" xfId="25451" xr:uid="{281B5311-AF1D-4E8D-939C-CA490A94EE8B}"/>
    <cellStyle name="Normal 5 2 2 9 2 2 3" xfId="17017" xr:uid="{6B04A6F1-8446-478B-8B4B-3290FE09CB24}"/>
    <cellStyle name="Normal 5 2 2 9 2 3" xfId="21234" xr:uid="{2C8CD346-3B93-4E60-A026-E9CF9408C3DB}"/>
    <cellStyle name="Normal 5 2 2 9 2 4" xfId="12800" xr:uid="{249A601B-8828-4283-AD7A-1F381109980D}"/>
    <cellStyle name="Normal 5 2 2 9 3" xfId="6434" xr:uid="{00000000-0005-0000-0000-000031180000}"/>
    <cellStyle name="Normal 5 2 2 9 3 2" xfId="23306" xr:uid="{4B3B804C-E09C-41F1-A90E-53485603A0E2}"/>
    <cellStyle name="Normal 5 2 2 9 3 3" xfId="14872" xr:uid="{453214B3-28F9-4AEF-AD42-AC3C5F1981D7}"/>
    <cellStyle name="Normal 5 2 2 9 4" xfId="19089" xr:uid="{D6AF15EA-12BD-4E13-8EA6-806C9C182038}"/>
    <cellStyle name="Normal 5 2 2 9 5" xfId="10655" xr:uid="{A207393C-4BF2-42A0-8B3C-3721C980FC3A}"/>
    <cellStyle name="Normal 5 2 3" xfId="424" xr:uid="{00000000-0005-0000-0000-000032180000}"/>
    <cellStyle name="Normal 5 2 3 10" xfId="4798" xr:uid="{00000000-0005-0000-0000-000033180000}"/>
    <cellStyle name="Normal 5 2 3 10 2" xfId="21670" xr:uid="{BBDA6300-A39B-46D8-8CFF-F0C3A76C24AB}"/>
    <cellStyle name="Normal 5 2 3 10 3" xfId="13236" xr:uid="{C8787D5D-D04D-4C74-9B3E-52A002144C91}"/>
    <cellStyle name="Normal 5 2 3 11" xfId="17453" xr:uid="{E882AF64-F933-4917-81F1-C1000C782CC9}"/>
    <cellStyle name="Normal 5 2 3 12" xfId="9019" xr:uid="{C3CE5025-9D7C-40A7-88D3-4F8600890AB5}"/>
    <cellStyle name="Normal 5 2 3 2" xfId="425" xr:uid="{00000000-0005-0000-0000-000034180000}"/>
    <cellStyle name="Normal 5 2 3 2 10" xfId="17454" xr:uid="{E260453A-244F-4B2B-82B0-115FC1AD6FDB}"/>
    <cellStyle name="Normal 5 2 3 2 11" xfId="9020" xr:uid="{13C6BE1A-DE59-4E18-8002-C1BD8B5CDCC5}"/>
    <cellStyle name="Normal 5 2 3 2 2" xfId="426" xr:uid="{00000000-0005-0000-0000-000035180000}"/>
    <cellStyle name="Normal 5 2 3 2 2 10" xfId="9021" xr:uid="{94EA114D-CCBC-4E29-9E77-F92B537D77FC}"/>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24231" xr:uid="{AA1C6EE2-AB47-424A-89AA-C029B0277EEE}"/>
    <cellStyle name="Normal 5 2 3 2 2 2 2 2 2 3" xfId="15797" xr:uid="{DA974A4F-E538-4A1E-B953-7030AC1E8960}"/>
    <cellStyle name="Normal 5 2 3 2 2 2 2 2 3" xfId="20014" xr:uid="{41DC39E8-53D5-4EF2-9170-DC56C7838AFF}"/>
    <cellStyle name="Normal 5 2 3 2 2 2 2 2 4" xfId="11580" xr:uid="{F7F5F627-D581-439C-AE76-750C3468336F}"/>
    <cellStyle name="Normal 5 2 3 2 2 2 2 3" xfId="5214" xr:uid="{00000000-0005-0000-0000-00003A180000}"/>
    <cellStyle name="Normal 5 2 3 2 2 2 2 3 2" xfId="22086" xr:uid="{1419B881-2105-42F0-A7B6-F95125020674}"/>
    <cellStyle name="Normal 5 2 3 2 2 2 2 3 3" xfId="13652" xr:uid="{71BEAB87-E73C-4859-B125-B0B4EB3E538B}"/>
    <cellStyle name="Normal 5 2 3 2 2 2 2 4" xfId="17869" xr:uid="{36622CE9-C855-4068-A987-F094688DB844}"/>
    <cellStyle name="Normal 5 2 3 2 2 2 2 5" xfId="9435" xr:uid="{A863D793-288B-4724-99F1-FFE7B2544FC7}"/>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24644" xr:uid="{31F24D0A-1FC8-4969-B8A1-256C5CA2DC29}"/>
    <cellStyle name="Normal 5 2 3 2 2 2 3 2 2 3" xfId="16210" xr:uid="{6A175031-A870-4595-A089-DE9A5658266D}"/>
    <cellStyle name="Normal 5 2 3 2 2 2 3 2 3" xfId="20427" xr:uid="{281E28D5-8DBD-4108-955F-5C2A7BF3B995}"/>
    <cellStyle name="Normal 5 2 3 2 2 2 3 2 4" xfId="11993" xr:uid="{56CDEE04-2743-41EF-9332-59A74D2D4E00}"/>
    <cellStyle name="Normal 5 2 3 2 2 2 3 3" xfId="5627" xr:uid="{00000000-0005-0000-0000-00003E180000}"/>
    <cellStyle name="Normal 5 2 3 2 2 2 3 3 2" xfId="22499" xr:uid="{B58ABBF4-A565-4A65-A6BB-2874BB5D62D4}"/>
    <cellStyle name="Normal 5 2 3 2 2 2 3 3 3" xfId="14065" xr:uid="{92A3C78C-8494-461D-B8F4-2390DD0FBB03}"/>
    <cellStyle name="Normal 5 2 3 2 2 2 3 4" xfId="18282" xr:uid="{3D0775BF-CE1C-426A-A23C-EFDDAA9E9D8F}"/>
    <cellStyle name="Normal 5 2 3 2 2 2 3 5" xfId="9848" xr:uid="{8C315CE9-3422-42FC-94D8-2E1559548E88}"/>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25057" xr:uid="{7E804CC6-7B04-4B51-8433-0FF39A6169E3}"/>
    <cellStyle name="Normal 5 2 3 2 2 2 4 2 2 3" xfId="16623" xr:uid="{FD3C26B2-84E5-43C3-8EFD-B8010C7A7999}"/>
    <cellStyle name="Normal 5 2 3 2 2 2 4 2 3" xfId="20840" xr:uid="{6F02D846-BFB4-4403-A85E-C03B3A534AB7}"/>
    <cellStyle name="Normal 5 2 3 2 2 2 4 2 4" xfId="12406" xr:uid="{2188ED3A-D66A-4EED-99BD-254BCFA11A66}"/>
    <cellStyle name="Normal 5 2 3 2 2 2 4 3" xfId="6040" xr:uid="{00000000-0005-0000-0000-000042180000}"/>
    <cellStyle name="Normal 5 2 3 2 2 2 4 3 2" xfId="22912" xr:uid="{67576099-C763-4F46-9E15-AE9C69BE2B46}"/>
    <cellStyle name="Normal 5 2 3 2 2 2 4 3 3" xfId="14478" xr:uid="{7099C648-2039-458D-B0F8-28C8FFC1467F}"/>
    <cellStyle name="Normal 5 2 3 2 2 2 4 4" xfId="18695" xr:uid="{85799601-6ACD-47E6-A4F2-4ED1ED22A0A7}"/>
    <cellStyle name="Normal 5 2 3 2 2 2 4 5" xfId="10261" xr:uid="{8B2404EA-10C2-4074-A70A-9765C9C9A93A}"/>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25470" xr:uid="{4A851D0B-795B-456D-9CD3-CBE8C144F178}"/>
    <cellStyle name="Normal 5 2 3 2 2 2 5 2 2 3" xfId="17036" xr:uid="{21B8A19B-C924-4C03-A437-B75217A5F961}"/>
    <cellStyle name="Normal 5 2 3 2 2 2 5 2 3" xfId="21253" xr:uid="{06D4C1FA-E77B-4C18-A00E-04C264D46D35}"/>
    <cellStyle name="Normal 5 2 3 2 2 2 5 2 4" xfId="12819" xr:uid="{7CD2FF4B-2E33-4D67-92C1-3D15788254BE}"/>
    <cellStyle name="Normal 5 2 3 2 2 2 5 3" xfId="6453" xr:uid="{00000000-0005-0000-0000-000046180000}"/>
    <cellStyle name="Normal 5 2 3 2 2 2 5 3 2" xfId="23325" xr:uid="{A6939E49-401E-42B0-9D95-75EEE93492FC}"/>
    <cellStyle name="Normal 5 2 3 2 2 2 5 3 3" xfId="14891" xr:uid="{2DD39D0F-E955-43CC-B686-77AF79551C16}"/>
    <cellStyle name="Normal 5 2 3 2 2 2 5 4" xfId="19108" xr:uid="{4016C9A0-5DD9-4378-9B00-29BF216065CA}"/>
    <cellStyle name="Normal 5 2 3 2 2 2 5 5" xfId="10674" xr:uid="{47E097C1-AEA9-4DD5-968D-D560F83AC5DF}"/>
    <cellStyle name="Normal 5 2 3 2 2 2 6" xfId="2582" xr:uid="{00000000-0005-0000-0000-000047180000}"/>
    <cellStyle name="Normal 5 2 3 2 2 2 6 2" xfId="6866" xr:uid="{00000000-0005-0000-0000-000048180000}"/>
    <cellStyle name="Normal 5 2 3 2 2 2 6 2 2" xfId="23738" xr:uid="{FCDD8E56-7D35-4A90-92E5-EF9B71852DD7}"/>
    <cellStyle name="Normal 5 2 3 2 2 2 6 2 3" xfId="15304" xr:uid="{FA1C0487-8776-44C9-B70B-A247CC6D3EA7}"/>
    <cellStyle name="Normal 5 2 3 2 2 2 6 3" xfId="19521" xr:uid="{4C949280-E85C-48CF-9B13-57BA4454CE43}"/>
    <cellStyle name="Normal 5 2 3 2 2 2 6 4" xfId="11087" xr:uid="{D6B06879-6164-4DE0-9964-D02544D3310C}"/>
    <cellStyle name="Normal 5 2 3 2 2 2 7" xfId="4801" xr:uid="{00000000-0005-0000-0000-000049180000}"/>
    <cellStyle name="Normal 5 2 3 2 2 2 7 2" xfId="21673" xr:uid="{C676082B-C418-4755-A3B5-8B318D550537}"/>
    <cellStyle name="Normal 5 2 3 2 2 2 7 3" xfId="13239" xr:uid="{76D1BC80-0F67-407F-860F-DD4D5D2E56E9}"/>
    <cellStyle name="Normal 5 2 3 2 2 2 8" xfId="17456" xr:uid="{76CF6DE2-04AD-4805-B333-1F67A19CADA4}"/>
    <cellStyle name="Normal 5 2 3 2 2 2 9" xfId="9022" xr:uid="{A97BE6C3-21CA-4FC1-B14F-B0DD543DE2DD}"/>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24230" xr:uid="{BE7480CC-3CD5-4E7E-8649-03C2B419F04E}"/>
    <cellStyle name="Normal 5 2 3 2 2 3 2 2 3" xfId="15796" xr:uid="{CCC93E1E-CC39-41D6-9D6E-5764EFAE5C3B}"/>
    <cellStyle name="Normal 5 2 3 2 2 3 2 3" xfId="20013" xr:uid="{49F65EC5-F639-4848-B425-C73855B5AD27}"/>
    <cellStyle name="Normal 5 2 3 2 2 3 2 4" xfId="11579" xr:uid="{FCCA042D-A5BE-424B-9F81-B2FB76167F55}"/>
    <cellStyle name="Normal 5 2 3 2 2 3 3" xfId="5213" xr:uid="{00000000-0005-0000-0000-00004D180000}"/>
    <cellStyle name="Normal 5 2 3 2 2 3 3 2" xfId="22085" xr:uid="{2A96151E-0C38-444C-B589-1037150A1A52}"/>
    <cellStyle name="Normal 5 2 3 2 2 3 3 3" xfId="13651" xr:uid="{AAF71013-F958-4009-A8C6-80E7ABB36680}"/>
    <cellStyle name="Normal 5 2 3 2 2 3 4" xfId="17868" xr:uid="{C8E734D3-2559-4DB1-A298-27A09896DBDB}"/>
    <cellStyle name="Normal 5 2 3 2 2 3 5" xfId="9434" xr:uid="{34747D0D-899F-4065-B058-59CD6545D1C7}"/>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24643" xr:uid="{9559DC9A-4998-4ED6-91D3-C5EA6F8C2773}"/>
    <cellStyle name="Normal 5 2 3 2 2 4 2 2 3" xfId="16209" xr:uid="{E252CF09-1340-4178-B985-646D9A5959CC}"/>
    <cellStyle name="Normal 5 2 3 2 2 4 2 3" xfId="20426" xr:uid="{DFEA41BB-EE2B-4193-A54F-4D8B0F22898E}"/>
    <cellStyle name="Normal 5 2 3 2 2 4 2 4" xfId="11992" xr:uid="{604A3A78-5A66-4ADA-9537-AEAEA23EB545}"/>
    <cellStyle name="Normal 5 2 3 2 2 4 3" xfId="5626" xr:uid="{00000000-0005-0000-0000-000051180000}"/>
    <cellStyle name="Normal 5 2 3 2 2 4 3 2" xfId="22498" xr:uid="{3D917E0A-497B-4A6C-8771-EC92C7A150F8}"/>
    <cellStyle name="Normal 5 2 3 2 2 4 3 3" xfId="14064" xr:uid="{E56622E0-4129-445B-B5F1-318C60456146}"/>
    <cellStyle name="Normal 5 2 3 2 2 4 4" xfId="18281" xr:uid="{76AF51A8-E5BF-43DB-AF08-A699707E91D5}"/>
    <cellStyle name="Normal 5 2 3 2 2 4 5" xfId="9847" xr:uid="{DC43D98E-A01F-4A97-B9C3-DED987366362}"/>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25056" xr:uid="{CF2EBD58-23EE-4FAE-B050-FE9076CCE331}"/>
    <cellStyle name="Normal 5 2 3 2 2 5 2 2 3" xfId="16622" xr:uid="{445CB5B2-6BBC-4252-A576-9603864AC250}"/>
    <cellStyle name="Normal 5 2 3 2 2 5 2 3" xfId="20839" xr:uid="{99C8A314-9880-45F4-9465-061044959501}"/>
    <cellStyle name="Normal 5 2 3 2 2 5 2 4" xfId="12405" xr:uid="{BC8AE442-8CED-4947-B479-5985DDCD8BFF}"/>
    <cellStyle name="Normal 5 2 3 2 2 5 3" xfId="6039" xr:uid="{00000000-0005-0000-0000-000055180000}"/>
    <cellStyle name="Normal 5 2 3 2 2 5 3 2" xfId="22911" xr:uid="{102F6B1D-028E-457D-8684-8EB6D0616F33}"/>
    <cellStyle name="Normal 5 2 3 2 2 5 3 3" xfId="14477" xr:uid="{DE127539-B39F-4AA6-B61D-F31AB1A512C5}"/>
    <cellStyle name="Normal 5 2 3 2 2 5 4" xfId="18694" xr:uid="{CF9B6161-B016-423E-98BB-5422C48459F4}"/>
    <cellStyle name="Normal 5 2 3 2 2 5 5" xfId="10260" xr:uid="{425011B9-A699-41D0-B8F7-929D56A185FB}"/>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25469" xr:uid="{C8E391B4-B7E2-48A1-8B3B-88666F7C7719}"/>
    <cellStyle name="Normal 5 2 3 2 2 6 2 2 3" xfId="17035" xr:uid="{344CB281-F45B-421C-BB60-8549F90F721E}"/>
    <cellStyle name="Normal 5 2 3 2 2 6 2 3" xfId="21252" xr:uid="{6FB26006-9966-4CE1-AD11-9249E44D98C7}"/>
    <cellStyle name="Normal 5 2 3 2 2 6 2 4" xfId="12818" xr:uid="{D1C9BA4E-BBC0-4CEE-9432-682E627472A2}"/>
    <cellStyle name="Normal 5 2 3 2 2 6 3" xfId="6452" xr:uid="{00000000-0005-0000-0000-000059180000}"/>
    <cellStyle name="Normal 5 2 3 2 2 6 3 2" xfId="23324" xr:uid="{DFEF4F37-AC3F-4528-94FA-ED61FCB2F910}"/>
    <cellStyle name="Normal 5 2 3 2 2 6 3 3" xfId="14890" xr:uid="{907842E1-CA94-46DF-9CC4-FECB44ECA5D3}"/>
    <cellStyle name="Normal 5 2 3 2 2 6 4" xfId="19107" xr:uid="{7AC79595-0FF3-4AC4-B6A2-19E97586DCCE}"/>
    <cellStyle name="Normal 5 2 3 2 2 6 5" xfId="10673" xr:uid="{5DD4C9F4-D4CF-4DA5-9868-4D9015652EB2}"/>
    <cellStyle name="Normal 5 2 3 2 2 7" xfId="2581" xr:uid="{00000000-0005-0000-0000-00005A180000}"/>
    <cellStyle name="Normal 5 2 3 2 2 7 2" xfId="6865" xr:uid="{00000000-0005-0000-0000-00005B180000}"/>
    <cellStyle name="Normal 5 2 3 2 2 7 2 2" xfId="23737" xr:uid="{37E6BF0E-BF7E-446D-BDCD-5A2FA4B4CA9F}"/>
    <cellStyle name="Normal 5 2 3 2 2 7 2 3" xfId="15303" xr:uid="{EE3988B2-69FD-4872-91EF-520F37F57EBD}"/>
    <cellStyle name="Normal 5 2 3 2 2 7 3" xfId="19520" xr:uid="{E4E83B34-4FA7-4C2B-8D62-3BC9C6E3922B}"/>
    <cellStyle name="Normal 5 2 3 2 2 7 4" xfId="11086" xr:uid="{778D9862-9CBC-4CB4-ABB4-15ABCAF3A077}"/>
    <cellStyle name="Normal 5 2 3 2 2 8" xfId="4800" xr:uid="{00000000-0005-0000-0000-00005C180000}"/>
    <cellStyle name="Normal 5 2 3 2 2 8 2" xfId="21672" xr:uid="{9ABCCB32-DD06-410B-B7F4-F0EA9BE2F89A}"/>
    <cellStyle name="Normal 5 2 3 2 2 8 3" xfId="13238" xr:uid="{456C16A3-0B88-4F33-AB39-C2A86C6C4DAE}"/>
    <cellStyle name="Normal 5 2 3 2 2 9" xfId="17455" xr:uid="{B7AE8926-D5AB-49E6-A8DF-1A818ADED18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24232" xr:uid="{34BBE590-FD5B-4760-9AEF-3B3C5392ED53}"/>
    <cellStyle name="Normal 5 2 3 2 3 2 2 2 3" xfId="15798" xr:uid="{FD1C95C5-C643-4393-BD49-984C9F71C2EF}"/>
    <cellStyle name="Normal 5 2 3 2 3 2 2 3" xfId="20015" xr:uid="{A36F3BB3-B3C1-44B2-9B10-8513C0508825}"/>
    <cellStyle name="Normal 5 2 3 2 3 2 2 4" xfId="11581" xr:uid="{BD6DC930-DA1C-46A8-9E71-C9C8328A3C95}"/>
    <cellStyle name="Normal 5 2 3 2 3 2 3" xfId="5215" xr:uid="{00000000-0005-0000-0000-000061180000}"/>
    <cellStyle name="Normal 5 2 3 2 3 2 3 2" xfId="22087" xr:uid="{A578A8E8-D542-493B-96E0-D0DFAB9F5320}"/>
    <cellStyle name="Normal 5 2 3 2 3 2 3 3" xfId="13653" xr:uid="{965D92B2-0765-460D-BBF0-72BA7158D2C7}"/>
    <cellStyle name="Normal 5 2 3 2 3 2 4" xfId="17870" xr:uid="{BE047CA4-169F-4B00-B927-3AD7DDF2FBEC}"/>
    <cellStyle name="Normal 5 2 3 2 3 2 5" xfId="9436" xr:uid="{24547DF1-09FF-4168-8345-06E1EBB6AFCC}"/>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24645" xr:uid="{8C51C7F4-E883-4390-B423-9041DD4E0E18}"/>
    <cellStyle name="Normal 5 2 3 2 3 3 2 2 3" xfId="16211" xr:uid="{F1C9FD94-AF99-4484-903F-C0C6997C3F5E}"/>
    <cellStyle name="Normal 5 2 3 2 3 3 2 3" xfId="20428" xr:uid="{9CE5B749-0FAF-4CA2-BE6A-9A70FE5414EA}"/>
    <cellStyle name="Normal 5 2 3 2 3 3 2 4" xfId="11994" xr:uid="{0F5672F9-6718-46B0-A7CD-AC6922752C0A}"/>
    <cellStyle name="Normal 5 2 3 2 3 3 3" xfId="5628" xr:uid="{00000000-0005-0000-0000-000065180000}"/>
    <cellStyle name="Normal 5 2 3 2 3 3 3 2" xfId="22500" xr:uid="{D4E244CC-FA43-44DC-8C63-76C417D3A81C}"/>
    <cellStyle name="Normal 5 2 3 2 3 3 3 3" xfId="14066" xr:uid="{FB9CB733-A441-4047-A55B-2AC3F82B0960}"/>
    <cellStyle name="Normal 5 2 3 2 3 3 4" xfId="18283" xr:uid="{03886D7E-8579-4F70-9A00-56D92B9A194B}"/>
    <cellStyle name="Normal 5 2 3 2 3 3 5" xfId="9849" xr:uid="{73FAE4F2-7593-45A3-80AB-E764B673FBD7}"/>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25058" xr:uid="{0E2EB770-3839-4D67-BF61-178D3D832F82}"/>
    <cellStyle name="Normal 5 2 3 2 3 4 2 2 3" xfId="16624" xr:uid="{27FB4AF1-0D1B-48DA-9B50-5C2D9A2690B3}"/>
    <cellStyle name="Normal 5 2 3 2 3 4 2 3" xfId="20841" xr:uid="{829C17DA-1017-475A-AF59-C5085BAC73BB}"/>
    <cellStyle name="Normal 5 2 3 2 3 4 2 4" xfId="12407" xr:uid="{31E7B973-CB96-4946-8BEB-A3B13F4052D4}"/>
    <cellStyle name="Normal 5 2 3 2 3 4 3" xfId="6041" xr:uid="{00000000-0005-0000-0000-000069180000}"/>
    <cellStyle name="Normal 5 2 3 2 3 4 3 2" xfId="22913" xr:uid="{CE7813BC-221C-4AF7-A416-CB50236C847D}"/>
    <cellStyle name="Normal 5 2 3 2 3 4 3 3" xfId="14479" xr:uid="{877F6456-1B74-4394-8640-B4C810A1C156}"/>
    <cellStyle name="Normal 5 2 3 2 3 4 4" xfId="18696" xr:uid="{1DF7A3E1-7405-4201-9114-D76A4B6661F0}"/>
    <cellStyle name="Normal 5 2 3 2 3 4 5" xfId="10262" xr:uid="{77E12EC2-B02E-4ACE-B2E2-8C876A6E81DD}"/>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25471" xr:uid="{8AE80295-F4A2-4130-8C13-76DC1008D06B}"/>
    <cellStyle name="Normal 5 2 3 2 3 5 2 2 3" xfId="17037" xr:uid="{7CC42F69-600D-4E20-A14A-866620958941}"/>
    <cellStyle name="Normal 5 2 3 2 3 5 2 3" xfId="21254" xr:uid="{7740BC7C-1833-4031-B848-90803DF300A8}"/>
    <cellStyle name="Normal 5 2 3 2 3 5 2 4" xfId="12820" xr:uid="{B84E6A7D-7A55-4D8C-839E-F5EEAAECDECB}"/>
    <cellStyle name="Normal 5 2 3 2 3 5 3" xfId="6454" xr:uid="{00000000-0005-0000-0000-00006D180000}"/>
    <cellStyle name="Normal 5 2 3 2 3 5 3 2" xfId="23326" xr:uid="{83237C2B-419A-4A85-A2D1-F92C8443357E}"/>
    <cellStyle name="Normal 5 2 3 2 3 5 3 3" xfId="14892" xr:uid="{36D0EA35-8580-49C8-B0DE-80EB4E89CEE2}"/>
    <cellStyle name="Normal 5 2 3 2 3 5 4" xfId="19109" xr:uid="{4EEAFF0D-2EF5-4205-9402-F4A295081011}"/>
    <cellStyle name="Normal 5 2 3 2 3 5 5" xfId="10675" xr:uid="{9916C42C-B2A1-4B64-AFD9-5673B5658003}"/>
    <cellStyle name="Normal 5 2 3 2 3 6" xfId="2583" xr:uid="{00000000-0005-0000-0000-00006E180000}"/>
    <cellStyle name="Normal 5 2 3 2 3 6 2" xfId="6867" xr:uid="{00000000-0005-0000-0000-00006F180000}"/>
    <cellStyle name="Normal 5 2 3 2 3 6 2 2" xfId="23739" xr:uid="{C3FCB655-A709-40B0-9BC5-FD6CB76EB8CA}"/>
    <cellStyle name="Normal 5 2 3 2 3 6 2 3" xfId="15305" xr:uid="{822DEAF0-3547-417F-B4B9-0FDDD38D2D60}"/>
    <cellStyle name="Normal 5 2 3 2 3 6 3" xfId="19522" xr:uid="{A0412028-BA43-4DB6-B3E6-9C5B766B86FE}"/>
    <cellStyle name="Normal 5 2 3 2 3 6 4" xfId="11088" xr:uid="{25CA53D8-99AC-46E5-9358-FB32D4788065}"/>
    <cellStyle name="Normal 5 2 3 2 3 7" xfId="4802" xr:uid="{00000000-0005-0000-0000-000070180000}"/>
    <cellStyle name="Normal 5 2 3 2 3 7 2" xfId="21674" xr:uid="{B74D77D3-B097-40C3-98A3-2CF34608BA31}"/>
    <cellStyle name="Normal 5 2 3 2 3 7 3" xfId="13240" xr:uid="{AACD51A3-823D-4CE8-92E6-8B788DD111C6}"/>
    <cellStyle name="Normal 5 2 3 2 3 8" xfId="17457" xr:uid="{22D4D0D3-8388-4C36-96A8-FF4BB2D368A6}"/>
    <cellStyle name="Normal 5 2 3 2 3 9" xfId="9023" xr:uid="{BB3EE240-74CA-4564-9F6D-CC76A0DA13CC}"/>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24229" xr:uid="{274D03E5-401A-4D99-BA53-FB294CEFA001}"/>
    <cellStyle name="Normal 5 2 3 2 4 2 2 3" xfId="15795" xr:uid="{E9F90506-945B-43E6-8BA2-1B6F82A57BE4}"/>
    <cellStyle name="Normal 5 2 3 2 4 2 3" xfId="20012" xr:uid="{6AC82047-F131-4C1E-9D4B-100BE9FE8BF2}"/>
    <cellStyle name="Normal 5 2 3 2 4 2 4" xfId="11578" xr:uid="{36908281-92D4-4930-A63B-9C957044716F}"/>
    <cellStyle name="Normal 5 2 3 2 4 3" xfId="5212" xr:uid="{00000000-0005-0000-0000-000074180000}"/>
    <cellStyle name="Normal 5 2 3 2 4 3 2" xfId="22084" xr:uid="{DFB56B95-A103-40F1-A515-E103878B2B7F}"/>
    <cellStyle name="Normal 5 2 3 2 4 3 3" xfId="13650" xr:uid="{54DCE8A1-CBBD-4457-B211-83DD42522495}"/>
    <cellStyle name="Normal 5 2 3 2 4 4" xfId="17867" xr:uid="{F9560D48-C0F9-4D2B-9F75-DC20FBDC7AF8}"/>
    <cellStyle name="Normal 5 2 3 2 4 5" xfId="9433" xr:uid="{72B3C919-DACC-4A4D-B9D4-5135BBE8157C}"/>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24642" xr:uid="{098BC954-223F-4948-801F-A14B697CB0F7}"/>
    <cellStyle name="Normal 5 2 3 2 5 2 2 3" xfId="16208" xr:uid="{C80C85EF-1164-4BD2-BAD1-532F6C33E0B8}"/>
    <cellStyle name="Normal 5 2 3 2 5 2 3" xfId="20425" xr:uid="{B933EB37-8413-483B-843C-C0357D507A92}"/>
    <cellStyle name="Normal 5 2 3 2 5 2 4" xfId="11991" xr:uid="{2F71F461-5D1F-4D21-ACF7-33AAD995E8A2}"/>
    <cellStyle name="Normal 5 2 3 2 5 3" xfId="5625" xr:uid="{00000000-0005-0000-0000-000078180000}"/>
    <cellStyle name="Normal 5 2 3 2 5 3 2" xfId="22497" xr:uid="{B1DD7C05-0D3E-4BE9-B523-3B27779699C0}"/>
    <cellStyle name="Normal 5 2 3 2 5 3 3" xfId="14063" xr:uid="{C685B7F4-B815-495F-AB61-BEBE3EFD7AAA}"/>
    <cellStyle name="Normal 5 2 3 2 5 4" xfId="18280" xr:uid="{A721DE3D-7AF5-4BDD-BF38-534DC2EC1F32}"/>
    <cellStyle name="Normal 5 2 3 2 5 5" xfId="9846" xr:uid="{FBEB1A72-6185-4EB6-AC30-D7D6AB0F465B}"/>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25055" xr:uid="{5C0B2514-39D1-47CC-805B-65A842F02149}"/>
    <cellStyle name="Normal 5 2 3 2 6 2 2 3" xfId="16621" xr:uid="{FDEB06F4-FD86-4512-BCCC-5C49CDA102DA}"/>
    <cellStyle name="Normal 5 2 3 2 6 2 3" xfId="20838" xr:uid="{0D19DD4E-478E-43B8-B141-54E93C378CE2}"/>
    <cellStyle name="Normal 5 2 3 2 6 2 4" xfId="12404" xr:uid="{3FC24985-7768-4EDC-A0D6-0454EDA91785}"/>
    <cellStyle name="Normal 5 2 3 2 6 3" xfId="6038" xr:uid="{00000000-0005-0000-0000-00007C180000}"/>
    <cellStyle name="Normal 5 2 3 2 6 3 2" xfId="22910" xr:uid="{926D169B-EEC9-453A-BAB4-098B30FDE931}"/>
    <cellStyle name="Normal 5 2 3 2 6 3 3" xfId="14476" xr:uid="{10766DCD-CE03-41A3-944B-5E5E674F1778}"/>
    <cellStyle name="Normal 5 2 3 2 6 4" xfId="18693" xr:uid="{891D461B-71C6-4DA4-AB57-0FD99D1E1708}"/>
    <cellStyle name="Normal 5 2 3 2 6 5" xfId="10259" xr:uid="{2BFF18F5-4CD8-4FD0-99F3-9E06D12A44A2}"/>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25468" xr:uid="{A9974042-9A71-4870-8407-D891F8F32052}"/>
    <cellStyle name="Normal 5 2 3 2 7 2 2 3" xfId="17034" xr:uid="{B635A64E-E862-467D-A431-B802A9F02824}"/>
    <cellStyle name="Normal 5 2 3 2 7 2 3" xfId="21251" xr:uid="{5E27A29E-D9BB-464D-84F9-8DBE6CC11BAA}"/>
    <cellStyle name="Normal 5 2 3 2 7 2 4" xfId="12817" xr:uid="{4192DD35-351F-4B1A-B0F4-16314546CBEA}"/>
    <cellStyle name="Normal 5 2 3 2 7 3" xfId="6451" xr:uid="{00000000-0005-0000-0000-000080180000}"/>
    <cellStyle name="Normal 5 2 3 2 7 3 2" xfId="23323" xr:uid="{9EDB11C2-64A5-4DB4-8CA4-EC7786D7E81F}"/>
    <cellStyle name="Normal 5 2 3 2 7 3 3" xfId="14889" xr:uid="{3171FE61-FD3C-4EF0-BDEE-014BA5EB1FBE}"/>
    <cellStyle name="Normal 5 2 3 2 7 4" xfId="19106" xr:uid="{75985C7C-681E-49EB-B340-9DC4D041E02B}"/>
    <cellStyle name="Normal 5 2 3 2 7 5" xfId="10672" xr:uid="{227BCBA5-CEE1-47AE-A71D-D7DC32CA2D98}"/>
    <cellStyle name="Normal 5 2 3 2 8" xfId="2580" xr:uid="{00000000-0005-0000-0000-000081180000}"/>
    <cellStyle name="Normal 5 2 3 2 8 2" xfId="6864" xr:uid="{00000000-0005-0000-0000-000082180000}"/>
    <cellStyle name="Normal 5 2 3 2 8 2 2" xfId="23736" xr:uid="{6103AB2D-31F1-4240-82C7-2221F76E0EDC}"/>
    <cellStyle name="Normal 5 2 3 2 8 2 3" xfId="15302" xr:uid="{C9D37A1C-767F-4AF4-B619-B75779BE93E7}"/>
    <cellStyle name="Normal 5 2 3 2 8 3" xfId="19519" xr:uid="{7E4C2156-1C01-43BE-B05A-87CDAD1C18EF}"/>
    <cellStyle name="Normal 5 2 3 2 8 4" xfId="11085" xr:uid="{626B41AC-A25B-4841-9B4E-798CBD6EF103}"/>
    <cellStyle name="Normal 5 2 3 2 9" xfId="4799" xr:uid="{00000000-0005-0000-0000-000083180000}"/>
    <cellStyle name="Normal 5 2 3 2 9 2" xfId="21671" xr:uid="{46F5B959-FD2E-41EB-870E-7FBD8E7F81B5}"/>
    <cellStyle name="Normal 5 2 3 2 9 3" xfId="13237" xr:uid="{B0B1646D-5BE6-4480-BDC0-F77E2BD78F92}"/>
    <cellStyle name="Normal 5 2 3 3" xfId="429" xr:uid="{00000000-0005-0000-0000-000084180000}"/>
    <cellStyle name="Normal 5 2 3 3 10" xfId="9024" xr:uid="{537457F4-3A72-4F04-917C-C6E19DBE1A1A}"/>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24234" xr:uid="{478B05C8-F8AE-4BA4-B8F6-A8B165E11058}"/>
    <cellStyle name="Normal 5 2 3 3 2 2 2 2 3" xfId="15800" xr:uid="{D7E63DD1-6703-4041-B959-7FA0233AD1F0}"/>
    <cellStyle name="Normal 5 2 3 3 2 2 2 3" xfId="20017" xr:uid="{3F2974D7-51E9-4FA4-8E3F-B7C579735A3D}"/>
    <cellStyle name="Normal 5 2 3 3 2 2 2 4" xfId="11583" xr:uid="{3A94922B-028F-4AC8-AB68-1E00AA0DF1B5}"/>
    <cellStyle name="Normal 5 2 3 3 2 2 3" xfId="5217" xr:uid="{00000000-0005-0000-0000-000089180000}"/>
    <cellStyle name="Normal 5 2 3 3 2 2 3 2" xfId="22089" xr:uid="{60D5EE56-596D-4763-882E-837696BFC324}"/>
    <cellStyle name="Normal 5 2 3 3 2 2 3 3" xfId="13655" xr:uid="{E2ADC8F4-9B1F-434D-9671-2368DDF04914}"/>
    <cellStyle name="Normal 5 2 3 3 2 2 4" xfId="17872" xr:uid="{0E6153A2-A8D6-4455-BB39-315EC8B55B4B}"/>
    <cellStyle name="Normal 5 2 3 3 2 2 5" xfId="9438" xr:uid="{14FE3F88-31D7-46A1-B2FE-8EADB33B9EF2}"/>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24647" xr:uid="{2628D58D-6B40-4A7E-8F13-A0C4AAD68688}"/>
    <cellStyle name="Normal 5 2 3 3 2 3 2 2 3" xfId="16213" xr:uid="{44EDA251-853F-427C-8C32-6C5FB52F014C}"/>
    <cellStyle name="Normal 5 2 3 3 2 3 2 3" xfId="20430" xr:uid="{B81D3466-28D5-4433-BFC1-D50B22CE3153}"/>
    <cellStyle name="Normal 5 2 3 3 2 3 2 4" xfId="11996" xr:uid="{264CD2DE-80EE-4473-8362-FD5C4A6137D6}"/>
    <cellStyle name="Normal 5 2 3 3 2 3 3" xfId="5630" xr:uid="{00000000-0005-0000-0000-00008D180000}"/>
    <cellStyle name="Normal 5 2 3 3 2 3 3 2" xfId="22502" xr:uid="{8FE202A0-EFF0-45BA-8787-F8C1EDF4B083}"/>
    <cellStyle name="Normal 5 2 3 3 2 3 3 3" xfId="14068" xr:uid="{7704E1DD-B66C-4B8D-BDCA-1D4DD466D1AC}"/>
    <cellStyle name="Normal 5 2 3 3 2 3 4" xfId="18285" xr:uid="{328FF30E-E253-426B-9CEA-D359F9653F82}"/>
    <cellStyle name="Normal 5 2 3 3 2 3 5" xfId="9851" xr:uid="{0B5035EE-0E30-433F-931D-BEACDD6CA56D}"/>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25060" xr:uid="{D7B6B410-2748-495D-9A7C-53B30535772E}"/>
    <cellStyle name="Normal 5 2 3 3 2 4 2 2 3" xfId="16626" xr:uid="{9C13F7E1-6832-4669-9A9C-F142CD9E679E}"/>
    <cellStyle name="Normal 5 2 3 3 2 4 2 3" xfId="20843" xr:uid="{423A8EE4-8ED7-4434-940D-3D105607CDCB}"/>
    <cellStyle name="Normal 5 2 3 3 2 4 2 4" xfId="12409" xr:uid="{B61DA80A-F045-4607-8CF2-6B5F2F54C210}"/>
    <cellStyle name="Normal 5 2 3 3 2 4 3" xfId="6043" xr:uid="{00000000-0005-0000-0000-000091180000}"/>
    <cellStyle name="Normal 5 2 3 3 2 4 3 2" xfId="22915" xr:uid="{2DE27BC8-7D48-4FC7-AE52-9A06D11367C7}"/>
    <cellStyle name="Normal 5 2 3 3 2 4 3 3" xfId="14481" xr:uid="{12E4C363-95AC-4046-BF76-EF9ED661E4C6}"/>
    <cellStyle name="Normal 5 2 3 3 2 4 4" xfId="18698" xr:uid="{101E852F-1608-4AD4-B701-5CBF17E91625}"/>
    <cellStyle name="Normal 5 2 3 3 2 4 5" xfId="10264" xr:uid="{95DB8020-E746-45CB-AF75-E18F1D24A6D9}"/>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25473" xr:uid="{8C5EE62C-351E-4BA5-8A77-88D19BF1D10C}"/>
    <cellStyle name="Normal 5 2 3 3 2 5 2 2 3" xfId="17039" xr:uid="{344A93BA-BA4D-4B36-BB78-49521C5E18A9}"/>
    <cellStyle name="Normal 5 2 3 3 2 5 2 3" xfId="21256" xr:uid="{E7E3E00F-0AFC-4E73-B739-AE2FD817D850}"/>
    <cellStyle name="Normal 5 2 3 3 2 5 2 4" xfId="12822" xr:uid="{0BBB0E7D-CD18-4F69-BE43-D43AA3FFECE1}"/>
    <cellStyle name="Normal 5 2 3 3 2 5 3" xfId="6456" xr:uid="{00000000-0005-0000-0000-000095180000}"/>
    <cellStyle name="Normal 5 2 3 3 2 5 3 2" xfId="23328" xr:uid="{5AA92BBE-E668-4A1D-AB5C-F4862AD59147}"/>
    <cellStyle name="Normal 5 2 3 3 2 5 3 3" xfId="14894" xr:uid="{83DEFD1D-3B1E-4B3E-8E00-EAC5C41250A6}"/>
    <cellStyle name="Normal 5 2 3 3 2 5 4" xfId="19111" xr:uid="{3C8E38E6-B120-4020-8377-12E49C9EC78B}"/>
    <cellStyle name="Normal 5 2 3 3 2 5 5" xfId="10677" xr:uid="{62D5A047-C44F-4EAA-B636-D50C44C26B14}"/>
    <cellStyle name="Normal 5 2 3 3 2 6" xfId="2585" xr:uid="{00000000-0005-0000-0000-000096180000}"/>
    <cellStyle name="Normal 5 2 3 3 2 6 2" xfId="6869" xr:uid="{00000000-0005-0000-0000-000097180000}"/>
    <cellStyle name="Normal 5 2 3 3 2 6 2 2" xfId="23741" xr:uid="{99100F3A-B17A-47CA-99D1-36D47CA7F006}"/>
    <cellStyle name="Normal 5 2 3 3 2 6 2 3" xfId="15307" xr:uid="{74E8A651-1AB0-435A-AE1A-E7DBAD344798}"/>
    <cellStyle name="Normal 5 2 3 3 2 6 3" xfId="19524" xr:uid="{FF6AB6BF-5151-4D58-9A4B-EE95CF3DD7E3}"/>
    <cellStyle name="Normal 5 2 3 3 2 6 4" xfId="11090" xr:uid="{27192DD4-E0D1-4693-B19C-D81EE2F5CB54}"/>
    <cellStyle name="Normal 5 2 3 3 2 7" xfId="4804" xr:uid="{00000000-0005-0000-0000-000098180000}"/>
    <cellStyle name="Normal 5 2 3 3 2 7 2" xfId="21676" xr:uid="{2F439B8B-893D-49B6-AEE2-9B8179AFDA00}"/>
    <cellStyle name="Normal 5 2 3 3 2 7 3" xfId="13242" xr:uid="{E8BA304C-C1D3-4C83-BE14-5CA2C3CF7205}"/>
    <cellStyle name="Normal 5 2 3 3 2 8" xfId="17459" xr:uid="{1598F5A1-AE75-4770-AF5F-9011247587B6}"/>
    <cellStyle name="Normal 5 2 3 3 2 9" xfId="9025" xr:uid="{CD8018A6-4954-4754-AE17-320C7A2E26CA}"/>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24233" xr:uid="{EB3F7FD0-2828-498A-9876-4F94DB7E9B41}"/>
    <cellStyle name="Normal 5 2 3 3 3 2 2 3" xfId="15799" xr:uid="{C05D9A3B-6E68-4206-8A51-4E2AB156DA4B}"/>
    <cellStyle name="Normal 5 2 3 3 3 2 3" xfId="20016" xr:uid="{3C4A495E-19D1-4EA5-A030-EEF1DBC91D58}"/>
    <cellStyle name="Normal 5 2 3 3 3 2 4" xfId="11582" xr:uid="{DFB52FA7-F90F-4B2B-A332-AAD226656CBA}"/>
    <cellStyle name="Normal 5 2 3 3 3 3" xfId="5216" xr:uid="{00000000-0005-0000-0000-00009C180000}"/>
    <cellStyle name="Normal 5 2 3 3 3 3 2" xfId="22088" xr:uid="{B7B626C8-53A7-4834-8730-798096F267FF}"/>
    <cellStyle name="Normal 5 2 3 3 3 3 3" xfId="13654" xr:uid="{AAB8A839-51FB-4FBA-B67F-86543DDFBEE0}"/>
    <cellStyle name="Normal 5 2 3 3 3 4" xfId="17871" xr:uid="{6F542B25-E5EC-4B09-BE17-5946EAE88E25}"/>
    <cellStyle name="Normal 5 2 3 3 3 5" xfId="9437" xr:uid="{E4F3126A-5439-4EE0-B638-B15207A06031}"/>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24646" xr:uid="{10D2C95B-D13B-4D49-9EDC-238A155F21B7}"/>
    <cellStyle name="Normal 5 2 3 3 4 2 2 3" xfId="16212" xr:uid="{E152BC90-47D4-4683-921D-7E8ADD25389E}"/>
    <cellStyle name="Normal 5 2 3 3 4 2 3" xfId="20429" xr:uid="{7EA80D06-FA87-42DE-993D-F7E7CEBAF8CD}"/>
    <cellStyle name="Normal 5 2 3 3 4 2 4" xfId="11995" xr:uid="{B3E0FD00-8E2C-468C-93D7-77DED8976010}"/>
    <cellStyle name="Normal 5 2 3 3 4 3" xfId="5629" xr:uid="{00000000-0005-0000-0000-0000A0180000}"/>
    <cellStyle name="Normal 5 2 3 3 4 3 2" xfId="22501" xr:uid="{73C97C19-C110-4EAA-8007-BBF6E3C2E32F}"/>
    <cellStyle name="Normal 5 2 3 3 4 3 3" xfId="14067" xr:uid="{CF040D88-1109-4332-9399-B1F65C45208F}"/>
    <cellStyle name="Normal 5 2 3 3 4 4" xfId="18284" xr:uid="{1B53AB09-8DBA-43BC-A9FC-7801CE073CD8}"/>
    <cellStyle name="Normal 5 2 3 3 4 5" xfId="9850" xr:uid="{5E889B2F-DEFE-4AC2-AC67-9303D0CB4C1D}"/>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25059" xr:uid="{D34C7A55-677C-49FA-9A86-71F76B563A3F}"/>
    <cellStyle name="Normal 5 2 3 3 5 2 2 3" xfId="16625" xr:uid="{FA295CB9-82DB-488D-AA20-EDB6EDE70C84}"/>
    <cellStyle name="Normal 5 2 3 3 5 2 3" xfId="20842" xr:uid="{8E11082A-1F70-401D-884A-E11B0E94F0B6}"/>
    <cellStyle name="Normal 5 2 3 3 5 2 4" xfId="12408" xr:uid="{4D205E63-56EF-43B2-8E03-B784224D8AE8}"/>
    <cellStyle name="Normal 5 2 3 3 5 3" xfId="6042" xr:uid="{00000000-0005-0000-0000-0000A4180000}"/>
    <cellStyle name="Normal 5 2 3 3 5 3 2" xfId="22914" xr:uid="{3C3CAD3C-7F93-48C7-B60E-39EC9D94415B}"/>
    <cellStyle name="Normal 5 2 3 3 5 3 3" xfId="14480" xr:uid="{8C586A7E-5700-403B-93C3-F70DA84A2392}"/>
    <cellStyle name="Normal 5 2 3 3 5 4" xfId="18697" xr:uid="{0E2EBC77-3701-4A02-BD1F-0E76D565F45B}"/>
    <cellStyle name="Normal 5 2 3 3 5 5" xfId="10263" xr:uid="{995F5DFC-EA40-4FAC-BC95-5BCF18668775}"/>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25472" xr:uid="{6EED0332-E042-472E-B748-A19C0D6C748D}"/>
    <cellStyle name="Normal 5 2 3 3 6 2 2 3" xfId="17038" xr:uid="{FDB19731-D969-44B1-8E48-52F1103EC499}"/>
    <cellStyle name="Normal 5 2 3 3 6 2 3" xfId="21255" xr:uid="{44464E2C-F309-4E78-9167-CDCE19BB820E}"/>
    <cellStyle name="Normal 5 2 3 3 6 2 4" xfId="12821" xr:uid="{1AE9BC94-32C7-4ED8-8845-143EFB514CD1}"/>
    <cellStyle name="Normal 5 2 3 3 6 3" xfId="6455" xr:uid="{00000000-0005-0000-0000-0000A8180000}"/>
    <cellStyle name="Normal 5 2 3 3 6 3 2" xfId="23327" xr:uid="{14383207-A742-415F-98FA-39F1F8AFDBD0}"/>
    <cellStyle name="Normal 5 2 3 3 6 3 3" xfId="14893" xr:uid="{AABB32C6-3F21-4A06-BD7C-F70CFB8AE17A}"/>
    <cellStyle name="Normal 5 2 3 3 6 4" xfId="19110" xr:uid="{B0B61815-B59C-496C-8736-9D9176AF5422}"/>
    <cellStyle name="Normal 5 2 3 3 6 5" xfId="10676" xr:uid="{D213BA62-DAB7-4849-AC55-6B90C827C24B}"/>
    <cellStyle name="Normal 5 2 3 3 7" xfId="2584" xr:uid="{00000000-0005-0000-0000-0000A9180000}"/>
    <cellStyle name="Normal 5 2 3 3 7 2" xfId="6868" xr:uid="{00000000-0005-0000-0000-0000AA180000}"/>
    <cellStyle name="Normal 5 2 3 3 7 2 2" xfId="23740" xr:uid="{143E83BB-7EC8-43EC-A1EA-119591A0822F}"/>
    <cellStyle name="Normal 5 2 3 3 7 2 3" xfId="15306" xr:uid="{8173EE74-80D8-48FA-B9DB-E3139738C40F}"/>
    <cellStyle name="Normal 5 2 3 3 7 3" xfId="19523" xr:uid="{F1AA7C7E-7B78-4763-BACB-4672A133FD58}"/>
    <cellStyle name="Normal 5 2 3 3 7 4" xfId="11089" xr:uid="{D9017215-7B6E-4170-805F-176CE5040E3A}"/>
    <cellStyle name="Normal 5 2 3 3 8" xfId="4803" xr:uid="{00000000-0005-0000-0000-0000AB180000}"/>
    <cellStyle name="Normal 5 2 3 3 8 2" xfId="21675" xr:uid="{73CC95D3-F7A2-46E5-9F58-25C7D3C0DA2F}"/>
    <cellStyle name="Normal 5 2 3 3 8 3" xfId="13241" xr:uid="{86099664-4CB1-4D11-BF7F-A70685E246EE}"/>
    <cellStyle name="Normal 5 2 3 3 9" xfId="17458" xr:uid="{7326E8A5-EFFA-4631-883F-84FF18E6E419}"/>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24235" xr:uid="{7CA3DCFD-BED8-44DF-84B7-2A52EC8D65DF}"/>
    <cellStyle name="Normal 5 2 3 4 2 2 2 3" xfId="15801" xr:uid="{DFC2FC64-585F-4AB6-8DA7-BC70DCC7C94F}"/>
    <cellStyle name="Normal 5 2 3 4 2 2 3" xfId="20018" xr:uid="{9B530D49-45AE-48DA-B2A1-46D802B28738}"/>
    <cellStyle name="Normal 5 2 3 4 2 2 4" xfId="11584" xr:uid="{547E8FA9-543D-4A14-80B6-393EB0C9FDB3}"/>
    <cellStyle name="Normal 5 2 3 4 2 3" xfId="5218" xr:uid="{00000000-0005-0000-0000-0000B0180000}"/>
    <cellStyle name="Normal 5 2 3 4 2 3 2" xfId="22090" xr:uid="{6C958303-71F2-44EB-8A03-15C4516953F3}"/>
    <cellStyle name="Normal 5 2 3 4 2 3 3" xfId="13656" xr:uid="{9214374F-B932-4BFF-97B6-1A8291EFC1E6}"/>
    <cellStyle name="Normal 5 2 3 4 2 4" xfId="17873" xr:uid="{84B7481D-0558-4444-A615-0A7AB0570110}"/>
    <cellStyle name="Normal 5 2 3 4 2 5" xfId="9439" xr:uid="{F29D65AC-1EB2-4DE5-A020-533393D6013D}"/>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24648" xr:uid="{FE159F09-B34E-41F3-98C6-0A19E3E15628}"/>
    <cellStyle name="Normal 5 2 3 4 3 2 2 3" xfId="16214" xr:uid="{FC51C259-3C75-4779-8FF7-E917259C8E27}"/>
    <cellStyle name="Normal 5 2 3 4 3 2 3" xfId="20431" xr:uid="{707F7B65-E6E6-438C-B8D3-8D36F6562DFA}"/>
    <cellStyle name="Normal 5 2 3 4 3 2 4" xfId="11997" xr:uid="{2AA518A5-BDBD-4E13-9708-572A83B67729}"/>
    <cellStyle name="Normal 5 2 3 4 3 3" xfId="5631" xr:uid="{00000000-0005-0000-0000-0000B4180000}"/>
    <cellStyle name="Normal 5 2 3 4 3 3 2" xfId="22503" xr:uid="{772A6A32-6537-498B-A50C-1012D4739C6A}"/>
    <cellStyle name="Normal 5 2 3 4 3 3 3" xfId="14069" xr:uid="{7AC48A40-4C3F-44EE-A03A-1843AD6E13BF}"/>
    <cellStyle name="Normal 5 2 3 4 3 4" xfId="18286" xr:uid="{E248AC8A-C879-4727-8AE0-24428B032C79}"/>
    <cellStyle name="Normal 5 2 3 4 3 5" xfId="9852" xr:uid="{29D33DD8-9C1A-4879-94D1-F92336FDC775}"/>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25061" xr:uid="{288970F4-BDC1-4E6C-B02D-BFA1B07593C4}"/>
    <cellStyle name="Normal 5 2 3 4 4 2 2 3" xfId="16627" xr:uid="{D84A9A51-8CC9-4B40-B95B-08ED02D42C89}"/>
    <cellStyle name="Normal 5 2 3 4 4 2 3" xfId="20844" xr:uid="{50FFE92B-0EB9-4233-B3FE-2DBF31227EC5}"/>
    <cellStyle name="Normal 5 2 3 4 4 2 4" xfId="12410" xr:uid="{B485B1B4-F2A9-442C-8E26-DBE346BA478B}"/>
    <cellStyle name="Normal 5 2 3 4 4 3" xfId="6044" xr:uid="{00000000-0005-0000-0000-0000B8180000}"/>
    <cellStyle name="Normal 5 2 3 4 4 3 2" xfId="22916" xr:uid="{94BCB180-3F52-4641-A6EC-DFB60AFCD8BD}"/>
    <cellStyle name="Normal 5 2 3 4 4 3 3" xfId="14482" xr:uid="{70B4EEBE-7ECA-40EB-AB90-801EEA937A1F}"/>
    <cellStyle name="Normal 5 2 3 4 4 4" xfId="18699" xr:uid="{C09622B3-6A23-4CD9-8B5C-297477FDA3F0}"/>
    <cellStyle name="Normal 5 2 3 4 4 5" xfId="10265" xr:uid="{43A49709-B780-49C6-AED1-C9638DC4BEA6}"/>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25474" xr:uid="{6CFA2B1D-4904-402F-BCFD-4F3F3EE2C5B3}"/>
    <cellStyle name="Normal 5 2 3 4 5 2 2 3" xfId="17040" xr:uid="{762A79F4-EDF7-4C20-92B1-B89A6312BAD8}"/>
    <cellStyle name="Normal 5 2 3 4 5 2 3" xfId="21257" xr:uid="{8E025633-D72B-4D69-8F39-40EF97726078}"/>
    <cellStyle name="Normal 5 2 3 4 5 2 4" xfId="12823" xr:uid="{7C3DFA55-203A-4D43-8289-D9C7A3332D13}"/>
    <cellStyle name="Normal 5 2 3 4 5 3" xfId="6457" xr:uid="{00000000-0005-0000-0000-0000BC180000}"/>
    <cellStyle name="Normal 5 2 3 4 5 3 2" xfId="23329" xr:uid="{FEC3B981-1B23-4C94-A9CC-D41867F0A67F}"/>
    <cellStyle name="Normal 5 2 3 4 5 3 3" xfId="14895" xr:uid="{1836207E-764D-4C0C-9D63-35BC28D6C8A5}"/>
    <cellStyle name="Normal 5 2 3 4 5 4" xfId="19112" xr:uid="{211C4CD4-A8BE-4E56-A94D-B2A11ECB24E3}"/>
    <cellStyle name="Normal 5 2 3 4 5 5" xfId="10678" xr:uid="{76F53F3A-1986-4939-81B2-9FED00F3E211}"/>
    <cellStyle name="Normal 5 2 3 4 6" xfId="2586" xr:uid="{00000000-0005-0000-0000-0000BD180000}"/>
    <cellStyle name="Normal 5 2 3 4 6 2" xfId="6870" xr:uid="{00000000-0005-0000-0000-0000BE180000}"/>
    <cellStyle name="Normal 5 2 3 4 6 2 2" xfId="23742" xr:uid="{61D6B9A9-F77E-4B2B-9D4F-4C0C12169ACE}"/>
    <cellStyle name="Normal 5 2 3 4 6 2 3" xfId="15308" xr:uid="{1705705E-7A5B-43B7-8E3A-9FA122EC3B79}"/>
    <cellStyle name="Normal 5 2 3 4 6 3" xfId="19525" xr:uid="{758082C1-F798-43E5-A826-734798BCC850}"/>
    <cellStyle name="Normal 5 2 3 4 6 4" xfId="11091" xr:uid="{35A5D6F2-120E-455A-A022-540E4ED37AEB}"/>
    <cellStyle name="Normal 5 2 3 4 7" xfId="4805" xr:uid="{00000000-0005-0000-0000-0000BF180000}"/>
    <cellStyle name="Normal 5 2 3 4 7 2" xfId="21677" xr:uid="{3DDD301E-582E-4F1A-A065-F12322D48975}"/>
    <cellStyle name="Normal 5 2 3 4 7 3" xfId="13243" xr:uid="{82C4DCF0-2A6A-4B6A-B7DC-4A5415C22EA2}"/>
    <cellStyle name="Normal 5 2 3 4 8" xfId="17460" xr:uid="{76BF3975-50FC-4DA8-B045-B17D49F2EAC4}"/>
    <cellStyle name="Normal 5 2 3 4 9" xfId="9026" xr:uid="{70CD8969-B8BE-4D35-8632-17C0E064888F}"/>
    <cellStyle name="Normal 5 2 3 5" xfId="898" xr:uid="{00000000-0005-0000-0000-0000C0180000}"/>
    <cellStyle name="Normal 5 2 3 5 2" xfId="3133" xr:uid="{00000000-0005-0000-0000-0000C1180000}"/>
    <cellStyle name="Normal 5 2 3 5 2 2" xfId="7356" xr:uid="{00000000-0005-0000-0000-0000C2180000}"/>
    <cellStyle name="Normal 5 2 3 5 2 2 2" xfId="24228" xr:uid="{53E637D9-B771-47EA-8961-60CFF743842A}"/>
    <cellStyle name="Normal 5 2 3 5 2 2 3" xfId="15794" xr:uid="{C546CC8C-0FD3-4DE0-B85F-39B02729D866}"/>
    <cellStyle name="Normal 5 2 3 5 2 3" xfId="20011" xr:uid="{C187A96A-A13E-4FD1-9024-5EA4575957A4}"/>
    <cellStyle name="Normal 5 2 3 5 2 4" xfId="11577" xr:uid="{BC40EFDE-7749-4D5E-A503-3849871E2896}"/>
    <cellStyle name="Normal 5 2 3 5 3" xfId="5211" xr:uid="{00000000-0005-0000-0000-0000C3180000}"/>
    <cellStyle name="Normal 5 2 3 5 3 2" xfId="22083" xr:uid="{F925208B-560E-4790-8C8B-6F272A01C6DF}"/>
    <cellStyle name="Normal 5 2 3 5 3 3" xfId="13649" xr:uid="{9AB63103-5E59-426E-A11B-6795B48E1CE5}"/>
    <cellStyle name="Normal 5 2 3 5 4" xfId="17866" xr:uid="{DEF6BBF9-BBA1-4572-AA23-FE309223A9EF}"/>
    <cellStyle name="Normal 5 2 3 5 5" xfId="9432" xr:uid="{4ED27F24-DC3B-49C1-A072-29E94CCE281C}"/>
    <cellStyle name="Normal 5 2 3 6" xfId="1316" xr:uid="{00000000-0005-0000-0000-0000C4180000}"/>
    <cellStyle name="Normal 5 2 3 6 2" xfId="3546" xr:uid="{00000000-0005-0000-0000-0000C5180000}"/>
    <cellStyle name="Normal 5 2 3 6 2 2" xfId="7769" xr:uid="{00000000-0005-0000-0000-0000C6180000}"/>
    <cellStyle name="Normal 5 2 3 6 2 2 2" xfId="24641" xr:uid="{BDFE5BE1-C06D-4CCB-BC62-41885A03FDCC}"/>
    <cellStyle name="Normal 5 2 3 6 2 2 3" xfId="16207" xr:uid="{25FA8610-E35C-4F43-B389-503557B27199}"/>
    <cellStyle name="Normal 5 2 3 6 2 3" xfId="20424" xr:uid="{42388A3E-0CF3-4890-BD4A-9996F2A6E892}"/>
    <cellStyle name="Normal 5 2 3 6 2 4" xfId="11990" xr:uid="{894597D5-9C03-47B9-B774-B1A3220D457A}"/>
    <cellStyle name="Normal 5 2 3 6 3" xfId="5624" xr:uid="{00000000-0005-0000-0000-0000C7180000}"/>
    <cellStyle name="Normal 5 2 3 6 3 2" xfId="22496" xr:uid="{2415C0FF-783E-4ED1-9076-E0D67B0EC5B4}"/>
    <cellStyle name="Normal 5 2 3 6 3 3" xfId="14062" xr:uid="{91EBECBA-F49F-4F12-926A-D2691B23205B}"/>
    <cellStyle name="Normal 5 2 3 6 4" xfId="18279" xr:uid="{8D79CF90-2DE4-41C9-B000-C7258B0AE7CE}"/>
    <cellStyle name="Normal 5 2 3 6 5" xfId="9845" xr:uid="{B67568A4-1D64-4C67-9CF8-C837C95EF9B4}"/>
    <cellStyle name="Normal 5 2 3 7" xfId="1729" xr:uid="{00000000-0005-0000-0000-0000C8180000}"/>
    <cellStyle name="Normal 5 2 3 7 2" xfId="3959" xr:uid="{00000000-0005-0000-0000-0000C9180000}"/>
    <cellStyle name="Normal 5 2 3 7 2 2" xfId="8182" xr:uid="{00000000-0005-0000-0000-0000CA180000}"/>
    <cellStyle name="Normal 5 2 3 7 2 2 2" xfId="25054" xr:uid="{46E1640C-6300-41F1-BE53-38BD130D5994}"/>
    <cellStyle name="Normal 5 2 3 7 2 2 3" xfId="16620" xr:uid="{F72E0D45-F20B-457C-98D7-9296CF0A17D2}"/>
    <cellStyle name="Normal 5 2 3 7 2 3" xfId="20837" xr:uid="{9A5D2BA9-E9D0-463A-9991-7C296E47B91F}"/>
    <cellStyle name="Normal 5 2 3 7 2 4" xfId="12403" xr:uid="{9BC9D69D-83C9-4CED-8877-769EB0C819D8}"/>
    <cellStyle name="Normal 5 2 3 7 3" xfId="6037" xr:uid="{00000000-0005-0000-0000-0000CB180000}"/>
    <cellStyle name="Normal 5 2 3 7 3 2" xfId="22909" xr:uid="{B1611C46-6F77-4ACB-964F-FCFE701B5747}"/>
    <cellStyle name="Normal 5 2 3 7 3 3" xfId="14475" xr:uid="{53223CA5-8C01-4505-B473-C278FCF070CF}"/>
    <cellStyle name="Normal 5 2 3 7 4" xfId="18692" xr:uid="{8A221B91-B3D2-4C07-89F0-2085262CC494}"/>
    <cellStyle name="Normal 5 2 3 7 5" xfId="10258" xr:uid="{2733467F-87A6-4A39-98C1-C08CD87DC4A2}"/>
    <cellStyle name="Normal 5 2 3 8" xfId="2143" xr:uid="{00000000-0005-0000-0000-0000CC180000}"/>
    <cellStyle name="Normal 5 2 3 8 2" xfId="4372" xr:uid="{00000000-0005-0000-0000-0000CD180000}"/>
    <cellStyle name="Normal 5 2 3 8 2 2" xfId="8595" xr:uid="{00000000-0005-0000-0000-0000CE180000}"/>
    <cellStyle name="Normal 5 2 3 8 2 2 2" xfId="25467" xr:uid="{5C86E57A-B3A6-4AAD-B97B-B704C9D39CBE}"/>
    <cellStyle name="Normal 5 2 3 8 2 2 3" xfId="17033" xr:uid="{FEC96CAB-AE00-4F3D-90E4-4172D43588DF}"/>
    <cellStyle name="Normal 5 2 3 8 2 3" xfId="21250" xr:uid="{88244F2B-9421-49ED-8EFC-D20B26AD5D6F}"/>
    <cellStyle name="Normal 5 2 3 8 2 4" xfId="12816" xr:uid="{F67BE79D-01B3-47A6-AD30-9F2A2C1461E8}"/>
    <cellStyle name="Normal 5 2 3 8 3" xfId="6450" xr:uid="{00000000-0005-0000-0000-0000CF180000}"/>
    <cellStyle name="Normal 5 2 3 8 3 2" xfId="23322" xr:uid="{9E5DC625-F354-420E-A5DE-F481921A98D6}"/>
    <cellStyle name="Normal 5 2 3 8 3 3" xfId="14888" xr:uid="{06501DCE-9ED3-4303-9C87-3D0750AE39FE}"/>
    <cellStyle name="Normal 5 2 3 8 4" xfId="19105" xr:uid="{9869EA84-1092-4DE0-949E-23E92A76A643}"/>
    <cellStyle name="Normal 5 2 3 8 5" xfId="10671" xr:uid="{38C633EA-0B88-4F4B-812B-139ADADD631A}"/>
    <cellStyle name="Normal 5 2 3 9" xfId="2579" xr:uid="{00000000-0005-0000-0000-0000D0180000}"/>
    <cellStyle name="Normal 5 2 3 9 2" xfId="6863" xr:uid="{00000000-0005-0000-0000-0000D1180000}"/>
    <cellStyle name="Normal 5 2 3 9 2 2" xfId="23735" xr:uid="{CE964525-6C49-412A-A9A9-95335B696957}"/>
    <cellStyle name="Normal 5 2 3 9 2 3" xfId="15301" xr:uid="{D8FAB89D-E966-4C41-AF97-E019907D0C06}"/>
    <cellStyle name="Normal 5 2 3 9 3" xfId="19518" xr:uid="{F599D83D-CC42-4A9D-8E39-3BE8B1880D5D}"/>
    <cellStyle name="Normal 5 2 3 9 4" xfId="11084" xr:uid="{2CB67225-F695-46E2-BB51-F6802C3FCB0C}"/>
    <cellStyle name="Normal 5 2 4" xfId="432" xr:uid="{00000000-0005-0000-0000-0000D2180000}"/>
    <cellStyle name="Normal 5 2 4 10" xfId="17461" xr:uid="{72D130B4-5DE6-4AE1-A5C2-51C887B1CC96}"/>
    <cellStyle name="Normal 5 2 4 11" xfId="9027" xr:uid="{AD1D9BCE-4E4D-4A14-9DDB-F9D1C7E9D8D4}"/>
    <cellStyle name="Normal 5 2 4 2" xfId="433" xr:uid="{00000000-0005-0000-0000-0000D3180000}"/>
    <cellStyle name="Normal 5 2 4 2 10" xfId="9028" xr:uid="{FFA0C2F4-5C6F-4405-9BBD-1F9E7E96EC8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24238" xr:uid="{6C581AD2-FEAA-439F-A7EE-4B42C98F9616}"/>
    <cellStyle name="Normal 5 2 4 2 2 2 2 2 3" xfId="15804" xr:uid="{D0AD241E-533D-45C8-90FC-06AC85CB9794}"/>
    <cellStyle name="Normal 5 2 4 2 2 2 2 3" xfId="20021" xr:uid="{04BE7884-899A-46BA-8BD1-77A74E637C02}"/>
    <cellStyle name="Normal 5 2 4 2 2 2 2 4" xfId="11587" xr:uid="{9BA05709-F6E6-485E-B248-2A0052092E45}"/>
    <cellStyle name="Normal 5 2 4 2 2 2 3" xfId="5221" xr:uid="{00000000-0005-0000-0000-0000D8180000}"/>
    <cellStyle name="Normal 5 2 4 2 2 2 3 2" xfId="22093" xr:uid="{166B35E9-E53B-4F5D-B299-7247C2B67BB1}"/>
    <cellStyle name="Normal 5 2 4 2 2 2 3 3" xfId="13659" xr:uid="{45FFFB4F-18F1-46E5-958E-44C33F9A7C47}"/>
    <cellStyle name="Normal 5 2 4 2 2 2 4" xfId="17876" xr:uid="{48CE8590-92F2-420C-BF4E-F1DBCAA32767}"/>
    <cellStyle name="Normal 5 2 4 2 2 2 5" xfId="9442" xr:uid="{844CD293-76A3-40C4-AE7A-72A9D9A4FCAC}"/>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24651" xr:uid="{81CFE120-D204-465E-8231-E9D49B4B7CFD}"/>
    <cellStyle name="Normal 5 2 4 2 2 3 2 2 3" xfId="16217" xr:uid="{ADC9E375-2300-46C4-A311-B9D0984A78D1}"/>
    <cellStyle name="Normal 5 2 4 2 2 3 2 3" xfId="20434" xr:uid="{B3BC3A61-76AB-47AA-A192-DEFF6EE38EEC}"/>
    <cellStyle name="Normal 5 2 4 2 2 3 2 4" xfId="12000" xr:uid="{D45C3AE3-F836-4F74-8D54-F0104311DB95}"/>
    <cellStyle name="Normal 5 2 4 2 2 3 3" xfId="5634" xr:uid="{00000000-0005-0000-0000-0000DC180000}"/>
    <cellStyle name="Normal 5 2 4 2 2 3 3 2" xfId="22506" xr:uid="{3C30AF65-01D4-46C0-9594-89DEC4EB939D}"/>
    <cellStyle name="Normal 5 2 4 2 2 3 3 3" xfId="14072" xr:uid="{315105F9-B195-466C-A267-1EC73DC8FF28}"/>
    <cellStyle name="Normal 5 2 4 2 2 3 4" xfId="18289" xr:uid="{98391058-716C-4A21-8017-9FFE0A504305}"/>
    <cellStyle name="Normal 5 2 4 2 2 3 5" xfId="9855" xr:uid="{F5BE8F81-CFC4-4E0D-AB13-CE7B754B03CB}"/>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25064" xr:uid="{688082AD-1577-4934-A9A7-FD36C15BC03C}"/>
    <cellStyle name="Normal 5 2 4 2 2 4 2 2 3" xfId="16630" xr:uid="{C4DEB931-853F-4935-813F-235F71463343}"/>
    <cellStyle name="Normal 5 2 4 2 2 4 2 3" xfId="20847" xr:uid="{0CB710AC-7F46-41ED-917E-2D2F09CB7977}"/>
    <cellStyle name="Normal 5 2 4 2 2 4 2 4" xfId="12413" xr:uid="{0016C226-BA8F-42D2-B1AC-E3F6344C9E36}"/>
    <cellStyle name="Normal 5 2 4 2 2 4 3" xfId="6047" xr:uid="{00000000-0005-0000-0000-0000E0180000}"/>
    <cellStyle name="Normal 5 2 4 2 2 4 3 2" xfId="22919" xr:uid="{8CF899CF-08A0-4E43-90D8-6248CA2CA021}"/>
    <cellStyle name="Normal 5 2 4 2 2 4 3 3" xfId="14485" xr:uid="{E016314B-7427-4AAB-925D-9E46D5F84BC4}"/>
    <cellStyle name="Normal 5 2 4 2 2 4 4" xfId="18702" xr:uid="{C31A49A7-1CA8-41B3-BB05-945D73B6AB86}"/>
    <cellStyle name="Normal 5 2 4 2 2 4 5" xfId="10268" xr:uid="{466A9C26-19F8-400B-B8CF-F556646E13A1}"/>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25477" xr:uid="{82ADDEE5-4BF5-4CCF-979C-65ADE30F0B60}"/>
    <cellStyle name="Normal 5 2 4 2 2 5 2 2 3" xfId="17043" xr:uid="{2213B2DE-E46D-46F4-ACB1-614DD8DA4439}"/>
    <cellStyle name="Normal 5 2 4 2 2 5 2 3" xfId="21260" xr:uid="{094A90AF-AB97-434C-8131-999A81E7156E}"/>
    <cellStyle name="Normal 5 2 4 2 2 5 2 4" xfId="12826" xr:uid="{C7F08E3A-1A7C-4705-BE41-2FF1CF2A3A1D}"/>
    <cellStyle name="Normal 5 2 4 2 2 5 3" xfId="6460" xr:uid="{00000000-0005-0000-0000-0000E4180000}"/>
    <cellStyle name="Normal 5 2 4 2 2 5 3 2" xfId="23332" xr:uid="{5103D7F5-AE04-4B97-9C11-CDAC40050784}"/>
    <cellStyle name="Normal 5 2 4 2 2 5 3 3" xfId="14898" xr:uid="{586295BE-7DA2-4236-8717-95EA9231499C}"/>
    <cellStyle name="Normal 5 2 4 2 2 5 4" xfId="19115" xr:uid="{2851C4C6-EA36-4893-864B-CBC4E820455D}"/>
    <cellStyle name="Normal 5 2 4 2 2 5 5" xfId="10681" xr:uid="{1C1A30E3-9F2F-4EAD-B2B2-05A3D4D75643}"/>
    <cellStyle name="Normal 5 2 4 2 2 6" xfId="2589" xr:uid="{00000000-0005-0000-0000-0000E5180000}"/>
    <cellStyle name="Normal 5 2 4 2 2 6 2" xfId="6873" xr:uid="{00000000-0005-0000-0000-0000E6180000}"/>
    <cellStyle name="Normal 5 2 4 2 2 6 2 2" xfId="23745" xr:uid="{2D33E84E-7652-4FFB-86D3-1FF17E6871FD}"/>
    <cellStyle name="Normal 5 2 4 2 2 6 2 3" xfId="15311" xr:uid="{D2C5C26D-9B19-4900-A0E0-A1A2E843D0DA}"/>
    <cellStyle name="Normal 5 2 4 2 2 6 3" xfId="19528" xr:uid="{F1264584-D33B-4326-9DB5-29BA20BF245C}"/>
    <cellStyle name="Normal 5 2 4 2 2 6 4" xfId="11094" xr:uid="{E4542376-2A46-4D5F-940D-4FEDC1C88C3C}"/>
    <cellStyle name="Normal 5 2 4 2 2 7" xfId="4808" xr:uid="{00000000-0005-0000-0000-0000E7180000}"/>
    <cellStyle name="Normal 5 2 4 2 2 7 2" xfId="21680" xr:uid="{EC006E8F-30C5-46EF-B047-BD90C3E0AD4B}"/>
    <cellStyle name="Normal 5 2 4 2 2 7 3" xfId="13246" xr:uid="{E32B5394-0AD2-4556-A9D9-3BA8A966AD9A}"/>
    <cellStyle name="Normal 5 2 4 2 2 8" xfId="17463" xr:uid="{10F536D4-4E52-4379-BEA6-94C1647B1A6D}"/>
    <cellStyle name="Normal 5 2 4 2 2 9" xfId="9029" xr:uid="{E6DBAFC1-C89F-4630-B1DA-CC9F4FF71758}"/>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24237" xr:uid="{DEFDCD3C-7291-469D-B02C-36094A22831E}"/>
    <cellStyle name="Normal 5 2 4 2 3 2 2 3" xfId="15803" xr:uid="{9D06534D-A49A-49EB-A5AE-ED521C5EA4E6}"/>
    <cellStyle name="Normal 5 2 4 2 3 2 3" xfId="20020" xr:uid="{B4228CD1-34C4-4B61-B813-AB3DDB764A61}"/>
    <cellStyle name="Normal 5 2 4 2 3 2 4" xfId="11586" xr:uid="{82B20D45-8644-4C23-A487-2096CA8C48B3}"/>
    <cellStyle name="Normal 5 2 4 2 3 3" xfId="5220" xr:uid="{00000000-0005-0000-0000-0000EB180000}"/>
    <cellStyle name="Normal 5 2 4 2 3 3 2" xfId="22092" xr:uid="{C6A5F41A-85D2-4462-9212-1641A52AF345}"/>
    <cellStyle name="Normal 5 2 4 2 3 3 3" xfId="13658" xr:uid="{1259C36C-6166-4305-AED0-B3179B6454D4}"/>
    <cellStyle name="Normal 5 2 4 2 3 4" xfId="17875" xr:uid="{B7313467-902D-4392-BB6E-D4A56FA53320}"/>
    <cellStyle name="Normal 5 2 4 2 3 5" xfId="9441" xr:uid="{D78FEC52-73CF-4E4A-A08D-60692461C3C0}"/>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24650" xr:uid="{1F705D60-4245-461C-9F34-5E7D72B11AE3}"/>
    <cellStyle name="Normal 5 2 4 2 4 2 2 3" xfId="16216" xr:uid="{60FD4139-C2DF-428B-92C8-E2324F06A749}"/>
    <cellStyle name="Normal 5 2 4 2 4 2 3" xfId="20433" xr:uid="{4338AFAB-C60A-454E-B763-CDAB6ED7F7DF}"/>
    <cellStyle name="Normal 5 2 4 2 4 2 4" xfId="11999" xr:uid="{42E3E49B-41C7-452F-9758-14FE3EBA9CC9}"/>
    <cellStyle name="Normal 5 2 4 2 4 3" xfId="5633" xr:uid="{00000000-0005-0000-0000-0000EF180000}"/>
    <cellStyle name="Normal 5 2 4 2 4 3 2" xfId="22505" xr:uid="{93AFC3BC-5A9A-4E1D-AF67-C6D3FCE28763}"/>
    <cellStyle name="Normal 5 2 4 2 4 3 3" xfId="14071" xr:uid="{8D94FC22-9D3B-4359-A7A7-EF419BC76A3D}"/>
    <cellStyle name="Normal 5 2 4 2 4 4" xfId="18288" xr:uid="{32B3E29F-790B-44CE-ABD6-18D5F2BCCCB6}"/>
    <cellStyle name="Normal 5 2 4 2 4 5" xfId="9854" xr:uid="{BA3D8301-438F-46DD-B90A-C4107CEDC0D4}"/>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25063" xr:uid="{32ABB918-489B-4730-B54E-55A276FD245D}"/>
    <cellStyle name="Normal 5 2 4 2 5 2 2 3" xfId="16629" xr:uid="{61619D9E-391F-435B-A1AE-EC614EE40EEC}"/>
    <cellStyle name="Normal 5 2 4 2 5 2 3" xfId="20846" xr:uid="{B1B3430C-101F-4890-860B-A87904338526}"/>
    <cellStyle name="Normal 5 2 4 2 5 2 4" xfId="12412" xr:uid="{8E320456-17B9-4897-9C07-2F66118BC2CD}"/>
    <cellStyle name="Normal 5 2 4 2 5 3" xfId="6046" xr:uid="{00000000-0005-0000-0000-0000F3180000}"/>
    <cellStyle name="Normal 5 2 4 2 5 3 2" xfId="22918" xr:uid="{2AFD595E-2A0F-40CD-8BFB-FCB3071F7AFD}"/>
    <cellStyle name="Normal 5 2 4 2 5 3 3" xfId="14484" xr:uid="{AC7ADE56-D5BE-4C21-BDB7-CC91E164E28C}"/>
    <cellStyle name="Normal 5 2 4 2 5 4" xfId="18701" xr:uid="{3FC6CF2B-9A15-4ADF-A85A-8AFA615A2E59}"/>
    <cellStyle name="Normal 5 2 4 2 5 5" xfId="10267" xr:uid="{79EEAD2E-6639-45C7-BE02-D82FE46CA7B9}"/>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25476" xr:uid="{07C0F8FB-14B0-4EA5-8AC4-CA876BD6E4A8}"/>
    <cellStyle name="Normal 5 2 4 2 6 2 2 3" xfId="17042" xr:uid="{68EBB3D1-3627-49F7-BF83-9185B68C88AD}"/>
    <cellStyle name="Normal 5 2 4 2 6 2 3" xfId="21259" xr:uid="{51B322E9-EAB5-421C-B6B6-3F868BEEDD6B}"/>
    <cellStyle name="Normal 5 2 4 2 6 2 4" xfId="12825" xr:uid="{2661FF4C-087A-4F88-9EF3-2E7A713AAA5A}"/>
    <cellStyle name="Normal 5 2 4 2 6 3" xfId="6459" xr:uid="{00000000-0005-0000-0000-0000F7180000}"/>
    <cellStyle name="Normal 5 2 4 2 6 3 2" xfId="23331" xr:uid="{6D5179CD-689B-47FF-BAE8-07C21E5C17EC}"/>
    <cellStyle name="Normal 5 2 4 2 6 3 3" xfId="14897" xr:uid="{FF2CAC17-32A4-4A9C-89B0-3DD23CC187BC}"/>
    <cellStyle name="Normal 5 2 4 2 6 4" xfId="19114" xr:uid="{460E62EE-9AE5-4301-9DFA-AD67D8892CA7}"/>
    <cellStyle name="Normal 5 2 4 2 6 5" xfId="10680" xr:uid="{A079CE58-5416-4D1A-AC13-25A1AADA3705}"/>
    <cellStyle name="Normal 5 2 4 2 7" xfId="2588" xr:uid="{00000000-0005-0000-0000-0000F8180000}"/>
    <cellStyle name="Normal 5 2 4 2 7 2" xfId="6872" xr:uid="{00000000-0005-0000-0000-0000F9180000}"/>
    <cellStyle name="Normal 5 2 4 2 7 2 2" xfId="23744" xr:uid="{7370A4E3-CED0-4781-B485-47553A52EB3F}"/>
    <cellStyle name="Normal 5 2 4 2 7 2 3" xfId="15310" xr:uid="{713CE304-2179-4E6A-895B-8391CB94463F}"/>
    <cellStyle name="Normal 5 2 4 2 7 3" xfId="19527" xr:uid="{23B7525A-23F4-442D-B4A5-38DB16E16ABC}"/>
    <cellStyle name="Normal 5 2 4 2 7 4" xfId="11093" xr:uid="{088BFEEC-6620-4ED1-8941-579768008AC5}"/>
    <cellStyle name="Normal 5 2 4 2 8" xfId="4807" xr:uid="{00000000-0005-0000-0000-0000FA180000}"/>
    <cellStyle name="Normal 5 2 4 2 8 2" xfId="21679" xr:uid="{39AD0664-2787-495E-89A2-9E32335D35B4}"/>
    <cellStyle name="Normal 5 2 4 2 8 3" xfId="13245" xr:uid="{364E065A-5FBF-414E-BECB-070CBC7F06CA}"/>
    <cellStyle name="Normal 5 2 4 2 9" xfId="17462" xr:uid="{49ADEE09-57B6-42ED-B440-6612FE998E25}"/>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24239" xr:uid="{E3BFF25B-A619-4FF8-8A9E-7928D8C746D5}"/>
    <cellStyle name="Normal 5 2 4 3 2 2 2 3" xfId="15805" xr:uid="{12E13ADE-7214-49DD-A420-6DC25F6B2E56}"/>
    <cellStyle name="Normal 5 2 4 3 2 2 3" xfId="20022" xr:uid="{64646D98-BCC6-43C8-B408-04732A328AD5}"/>
    <cellStyle name="Normal 5 2 4 3 2 2 4" xfId="11588" xr:uid="{0B305E73-A476-4F3E-84D5-F2E584779E98}"/>
    <cellStyle name="Normal 5 2 4 3 2 3" xfId="5222" xr:uid="{00000000-0005-0000-0000-0000FF180000}"/>
    <cellStyle name="Normal 5 2 4 3 2 3 2" xfId="22094" xr:uid="{05FDA251-2508-4EC1-88D9-177254ED86B5}"/>
    <cellStyle name="Normal 5 2 4 3 2 3 3" xfId="13660" xr:uid="{6672E460-7DA3-43FD-A550-6F40D9C7BF5C}"/>
    <cellStyle name="Normal 5 2 4 3 2 4" xfId="17877" xr:uid="{65DE21C9-700E-4A6F-A3A9-DC2617FBB141}"/>
    <cellStyle name="Normal 5 2 4 3 2 5" xfId="9443" xr:uid="{F8705435-1C14-4CC3-948F-F6C38FE3D525}"/>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24652" xr:uid="{8632DD81-FB17-4292-98D2-714FA2FE7715}"/>
    <cellStyle name="Normal 5 2 4 3 3 2 2 3" xfId="16218" xr:uid="{13101C50-AF1E-441F-8DF3-CED2CE0C6829}"/>
    <cellStyle name="Normal 5 2 4 3 3 2 3" xfId="20435" xr:uid="{A78A359E-054C-4435-8C8B-EE448F816C3A}"/>
    <cellStyle name="Normal 5 2 4 3 3 2 4" xfId="12001" xr:uid="{1F570BD3-F76C-4137-B259-AA8456D19EBD}"/>
    <cellStyle name="Normal 5 2 4 3 3 3" xfId="5635" xr:uid="{00000000-0005-0000-0000-000003190000}"/>
    <cellStyle name="Normal 5 2 4 3 3 3 2" xfId="22507" xr:uid="{19B8F2E3-C459-43BB-9499-869529D0A744}"/>
    <cellStyle name="Normal 5 2 4 3 3 3 3" xfId="14073" xr:uid="{FBEF6902-AA3A-4939-B29F-85DC4F15FECB}"/>
    <cellStyle name="Normal 5 2 4 3 3 4" xfId="18290" xr:uid="{510432B1-1FB0-4701-9692-39BDB1031BDE}"/>
    <cellStyle name="Normal 5 2 4 3 3 5" xfId="9856" xr:uid="{4554033C-01C5-45F3-8229-775B5C9CB083}"/>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25065" xr:uid="{47040405-EA36-4ABC-82EF-00F4F093B986}"/>
    <cellStyle name="Normal 5 2 4 3 4 2 2 3" xfId="16631" xr:uid="{B61FE576-624F-4AB3-94D2-B60FC3B420E4}"/>
    <cellStyle name="Normal 5 2 4 3 4 2 3" xfId="20848" xr:uid="{4D2D2DF4-9C46-49CC-AADA-55A078613BE2}"/>
    <cellStyle name="Normal 5 2 4 3 4 2 4" xfId="12414" xr:uid="{74610109-E1AD-4E75-926A-67A68BB362D5}"/>
    <cellStyle name="Normal 5 2 4 3 4 3" xfId="6048" xr:uid="{00000000-0005-0000-0000-000007190000}"/>
    <cellStyle name="Normal 5 2 4 3 4 3 2" xfId="22920" xr:uid="{591EFFFB-9FFC-45D0-8F2A-DBCA09C41FED}"/>
    <cellStyle name="Normal 5 2 4 3 4 3 3" xfId="14486" xr:uid="{6FE18AC2-6AE5-45CC-8E1D-D52A766AFD78}"/>
    <cellStyle name="Normal 5 2 4 3 4 4" xfId="18703" xr:uid="{BF3CAC5F-E713-4BC2-B203-99F7C085E29E}"/>
    <cellStyle name="Normal 5 2 4 3 4 5" xfId="10269" xr:uid="{3F8C5F58-C673-4C9A-A562-48E123EB64C0}"/>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25478" xr:uid="{8C3E6F14-2246-4836-82FB-77A16030600C}"/>
    <cellStyle name="Normal 5 2 4 3 5 2 2 3" xfId="17044" xr:uid="{EDC254C3-8249-401F-87A4-B15DAD4FFDEC}"/>
    <cellStyle name="Normal 5 2 4 3 5 2 3" xfId="21261" xr:uid="{651CC32A-748A-40F5-8E91-DAE7A572EBE6}"/>
    <cellStyle name="Normal 5 2 4 3 5 2 4" xfId="12827" xr:uid="{7DAE61BE-44ED-4A11-9B6C-49BD655360A5}"/>
    <cellStyle name="Normal 5 2 4 3 5 3" xfId="6461" xr:uid="{00000000-0005-0000-0000-00000B190000}"/>
    <cellStyle name="Normal 5 2 4 3 5 3 2" xfId="23333" xr:uid="{B3B4F869-FAB2-49E9-940B-31B5CBE56BCE}"/>
    <cellStyle name="Normal 5 2 4 3 5 3 3" xfId="14899" xr:uid="{3F439AF1-FE32-4761-97DD-6C13732B2E9D}"/>
    <cellStyle name="Normal 5 2 4 3 5 4" xfId="19116" xr:uid="{0F1F8FB7-133B-46FE-9F45-216C25BD189C}"/>
    <cellStyle name="Normal 5 2 4 3 5 5" xfId="10682" xr:uid="{A5324F87-7943-4DE7-A032-2BADEF7A698A}"/>
    <cellStyle name="Normal 5 2 4 3 6" xfId="2590" xr:uid="{00000000-0005-0000-0000-00000C190000}"/>
    <cellStyle name="Normal 5 2 4 3 6 2" xfId="6874" xr:uid="{00000000-0005-0000-0000-00000D190000}"/>
    <cellStyle name="Normal 5 2 4 3 6 2 2" xfId="23746" xr:uid="{00307B18-3AB2-4540-BF8F-62C1D1176872}"/>
    <cellStyle name="Normal 5 2 4 3 6 2 3" xfId="15312" xr:uid="{A1231F2A-3265-4940-A1C3-5A053CB13CB5}"/>
    <cellStyle name="Normal 5 2 4 3 6 3" xfId="19529" xr:uid="{2399C612-26E4-4EFA-A45E-AD37CC3E58B1}"/>
    <cellStyle name="Normal 5 2 4 3 6 4" xfId="11095" xr:uid="{A9CF04C2-5FCD-4BFF-AC80-BC5214EC9F22}"/>
    <cellStyle name="Normal 5 2 4 3 7" xfId="4809" xr:uid="{00000000-0005-0000-0000-00000E190000}"/>
    <cellStyle name="Normal 5 2 4 3 7 2" xfId="21681" xr:uid="{A88B8DC2-9D63-484C-904B-DA785389DB3F}"/>
    <cellStyle name="Normal 5 2 4 3 7 3" xfId="13247" xr:uid="{C73CED7C-9A34-4D0D-B298-2124BF6F03C3}"/>
    <cellStyle name="Normal 5 2 4 3 8" xfId="17464" xr:uid="{8BBAB700-5736-419F-B194-2F0F9215FB0A}"/>
    <cellStyle name="Normal 5 2 4 3 9" xfId="9030" xr:uid="{26C70382-F115-41DB-BAB3-4F6C1696CE59}"/>
    <cellStyle name="Normal 5 2 4 4" xfId="906" xr:uid="{00000000-0005-0000-0000-00000F190000}"/>
    <cellStyle name="Normal 5 2 4 4 2" xfId="3141" xr:uid="{00000000-0005-0000-0000-000010190000}"/>
    <cellStyle name="Normal 5 2 4 4 2 2" xfId="7364" xr:uid="{00000000-0005-0000-0000-000011190000}"/>
    <cellStyle name="Normal 5 2 4 4 2 2 2" xfId="24236" xr:uid="{EEE606A3-43FC-4364-9844-2414322A30F7}"/>
    <cellStyle name="Normal 5 2 4 4 2 2 3" xfId="15802" xr:uid="{DD137DFA-9B19-4487-A709-FC80C9D729D5}"/>
    <cellStyle name="Normal 5 2 4 4 2 3" xfId="20019" xr:uid="{FEED3288-807F-4B9A-A1FE-6679B90923D3}"/>
    <cellStyle name="Normal 5 2 4 4 2 4" xfId="11585" xr:uid="{A0749F71-6C96-488A-91ED-C9FF910B738D}"/>
    <cellStyle name="Normal 5 2 4 4 3" xfId="5219" xr:uid="{00000000-0005-0000-0000-000012190000}"/>
    <cellStyle name="Normal 5 2 4 4 3 2" xfId="22091" xr:uid="{005C0D9D-1A1A-4E04-BF3A-76053BCAA2AA}"/>
    <cellStyle name="Normal 5 2 4 4 3 3" xfId="13657" xr:uid="{FAA78F24-D8FC-4C22-B65C-FD2B91859D20}"/>
    <cellStyle name="Normal 5 2 4 4 4" xfId="17874" xr:uid="{68A0212A-A04E-4A3C-A150-40D5C30B3773}"/>
    <cellStyle name="Normal 5 2 4 4 5" xfId="9440" xr:uid="{90216907-337C-4FEB-8C77-EE64EFD18D68}"/>
    <cellStyle name="Normal 5 2 4 5" xfId="1324" xr:uid="{00000000-0005-0000-0000-000013190000}"/>
    <cellStyle name="Normal 5 2 4 5 2" xfId="3554" xr:uid="{00000000-0005-0000-0000-000014190000}"/>
    <cellStyle name="Normal 5 2 4 5 2 2" xfId="7777" xr:uid="{00000000-0005-0000-0000-000015190000}"/>
    <cellStyle name="Normal 5 2 4 5 2 2 2" xfId="24649" xr:uid="{E2EFB975-2568-45CB-AD43-BF03243D9A9F}"/>
    <cellStyle name="Normal 5 2 4 5 2 2 3" xfId="16215" xr:uid="{3AC99613-9F65-4380-99DE-A2CD2F97A8EB}"/>
    <cellStyle name="Normal 5 2 4 5 2 3" xfId="20432" xr:uid="{FC64360D-C1A1-4300-A67F-84231DC4F580}"/>
    <cellStyle name="Normal 5 2 4 5 2 4" xfId="11998" xr:uid="{53F1573F-0EFE-4E91-80FA-9F874353C20B}"/>
    <cellStyle name="Normal 5 2 4 5 3" xfId="5632" xr:uid="{00000000-0005-0000-0000-000016190000}"/>
    <cellStyle name="Normal 5 2 4 5 3 2" xfId="22504" xr:uid="{2DCA5D49-2C2E-410D-A0D1-F49C67B00B5A}"/>
    <cellStyle name="Normal 5 2 4 5 3 3" xfId="14070" xr:uid="{7857318C-E81B-4C4D-8388-E9C8EECF131F}"/>
    <cellStyle name="Normal 5 2 4 5 4" xfId="18287" xr:uid="{B2FF807D-BBC8-4494-8185-DD54F5DD3590}"/>
    <cellStyle name="Normal 5 2 4 5 5" xfId="9853" xr:uid="{E4BE3CCC-30B7-4B77-B10D-4C7C0EF74158}"/>
    <cellStyle name="Normal 5 2 4 6" xfId="1737" xr:uid="{00000000-0005-0000-0000-000017190000}"/>
    <cellStyle name="Normal 5 2 4 6 2" xfId="3967" xr:uid="{00000000-0005-0000-0000-000018190000}"/>
    <cellStyle name="Normal 5 2 4 6 2 2" xfId="8190" xr:uid="{00000000-0005-0000-0000-000019190000}"/>
    <cellStyle name="Normal 5 2 4 6 2 2 2" xfId="25062" xr:uid="{82F8FB7F-6495-4B22-A801-23E56C5AE0F9}"/>
    <cellStyle name="Normal 5 2 4 6 2 2 3" xfId="16628" xr:uid="{C52B4E99-DDBA-45C4-AC58-5B4A1923B05C}"/>
    <cellStyle name="Normal 5 2 4 6 2 3" xfId="20845" xr:uid="{00101450-47FF-4F5F-95D2-08D6EA85E0A7}"/>
    <cellStyle name="Normal 5 2 4 6 2 4" xfId="12411" xr:uid="{11BEFED7-FF52-4763-A732-352151B9769E}"/>
    <cellStyle name="Normal 5 2 4 6 3" xfId="6045" xr:uid="{00000000-0005-0000-0000-00001A190000}"/>
    <cellStyle name="Normal 5 2 4 6 3 2" xfId="22917" xr:uid="{BB35CB9B-74BD-4030-9546-83FE9ADE0D06}"/>
    <cellStyle name="Normal 5 2 4 6 3 3" xfId="14483" xr:uid="{4F5F6B74-2EB3-4916-9A8F-9B23AF6F40BF}"/>
    <cellStyle name="Normal 5 2 4 6 4" xfId="18700" xr:uid="{FE84861B-798E-41CB-A629-970397290301}"/>
    <cellStyle name="Normal 5 2 4 6 5" xfId="10266" xr:uid="{E8923B14-148C-4710-AD80-400743337A5A}"/>
    <cellStyle name="Normal 5 2 4 7" xfId="2151" xr:uid="{00000000-0005-0000-0000-00001B190000}"/>
    <cellStyle name="Normal 5 2 4 7 2" xfId="4380" xr:uid="{00000000-0005-0000-0000-00001C190000}"/>
    <cellStyle name="Normal 5 2 4 7 2 2" xfId="8603" xr:uid="{00000000-0005-0000-0000-00001D190000}"/>
    <cellStyle name="Normal 5 2 4 7 2 2 2" xfId="25475" xr:uid="{338437C5-D6CF-4C2F-88A1-ADB311F0623A}"/>
    <cellStyle name="Normal 5 2 4 7 2 2 3" xfId="17041" xr:uid="{E714A9F4-B5FE-4A3C-B46F-110B10252E0D}"/>
    <cellStyle name="Normal 5 2 4 7 2 3" xfId="21258" xr:uid="{04349F4B-A3F1-4F28-BDA1-5A3AF037D5FD}"/>
    <cellStyle name="Normal 5 2 4 7 2 4" xfId="12824" xr:uid="{A5B7B40D-49D9-442B-B162-64BFF7FD3522}"/>
    <cellStyle name="Normal 5 2 4 7 3" xfId="6458" xr:uid="{00000000-0005-0000-0000-00001E190000}"/>
    <cellStyle name="Normal 5 2 4 7 3 2" xfId="23330" xr:uid="{435CC2E9-FA98-4B56-95C8-3EBF00F80529}"/>
    <cellStyle name="Normal 5 2 4 7 3 3" xfId="14896" xr:uid="{B115B20E-D335-4573-A404-B292AED38378}"/>
    <cellStyle name="Normal 5 2 4 7 4" xfId="19113" xr:uid="{09B7381E-B1EA-4761-BE89-8F7A11DABA46}"/>
    <cellStyle name="Normal 5 2 4 7 5" xfId="10679" xr:uid="{D8D24C39-59C9-483E-95B4-F935475FFAE7}"/>
    <cellStyle name="Normal 5 2 4 8" xfId="2587" xr:uid="{00000000-0005-0000-0000-00001F190000}"/>
    <cellStyle name="Normal 5 2 4 8 2" xfId="6871" xr:uid="{00000000-0005-0000-0000-000020190000}"/>
    <cellStyle name="Normal 5 2 4 8 2 2" xfId="23743" xr:uid="{29238387-B558-4503-80EB-278FB8DAF6BA}"/>
    <cellStyle name="Normal 5 2 4 8 2 3" xfId="15309" xr:uid="{22142B0F-2101-4503-8946-11F4BEACEC72}"/>
    <cellStyle name="Normal 5 2 4 8 3" xfId="19526" xr:uid="{977AC259-570A-42C9-A8BB-0EF2155CEA00}"/>
    <cellStyle name="Normal 5 2 4 8 4" xfId="11092" xr:uid="{115AC3AB-D138-4AA0-8CC0-310BDC046EBB}"/>
    <cellStyle name="Normal 5 2 4 9" xfId="4806" xr:uid="{00000000-0005-0000-0000-000021190000}"/>
    <cellStyle name="Normal 5 2 4 9 2" xfId="21678" xr:uid="{AFB7B8E0-4446-46BE-AC95-778234BE5535}"/>
    <cellStyle name="Normal 5 2 4 9 3" xfId="13244" xr:uid="{FC306310-BFA6-4CE8-80A7-F2E6CE9B7339}"/>
    <cellStyle name="Normal 5 2 5" xfId="436" xr:uid="{00000000-0005-0000-0000-000022190000}"/>
    <cellStyle name="Normal 5 2 5 10" xfId="9031" xr:uid="{284F1965-ACAA-410C-B99B-6EF01EE72A1E}"/>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24241" xr:uid="{409986AB-52E0-4C80-8E0E-EB57DFD0E9D0}"/>
    <cellStyle name="Normal 5 2 5 2 2 2 2 3" xfId="15807" xr:uid="{9999017F-4AD6-4105-9FAC-F2784DB7F2F6}"/>
    <cellStyle name="Normal 5 2 5 2 2 2 3" xfId="20024" xr:uid="{E3B43945-C704-4DEE-97CE-99D7026E3A0F}"/>
    <cellStyle name="Normal 5 2 5 2 2 2 4" xfId="11590" xr:uid="{0CD1CC65-6948-4A2F-958C-A47E3EA4E426}"/>
    <cellStyle name="Normal 5 2 5 2 2 3" xfId="5224" xr:uid="{00000000-0005-0000-0000-000027190000}"/>
    <cellStyle name="Normal 5 2 5 2 2 3 2" xfId="22096" xr:uid="{F2536C7A-4D0B-4A47-BF22-A63A397BEEA1}"/>
    <cellStyle name="Normal 5 2 5 2 2 3 3" xfId="13662" xr:uid="{18900D66-9A63-4214-9288-F906102F614F}"/>
    <cellStyle name="Normal 5 2 5 2 2 4" xfId="17879" xr:uid="{176C9E6C-C6FE-458A-A5DA-F9423DA62398}"/>
    <cellStyle name="Normal 5 2 5 2 2 5" xfId="9445" xr:uid="{CD46F143-8A68-461C-945B-1532A64292C2}"/>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24654" xr:uid="{BB697AFC-AB7D-40E0-BF6B-F62F8F536C64}"/>
    <cellStyle name="Normal 5 2 5 2 3 2 2 3" xfId="16220" xr:uid="{99D0E8EB-BAD7-47AA-A49B-319EB3DC62C7}"/>
    <cellStyle name="Normal 5 2 5 2 3 2 3" xfId="20437" xr:uid="{72E35324-95D6-4330-8BCC-1CD09F6A3908}"/>
    <cellStyle name="Normal 5 2 5 2 3 2 4" xfId="12003" xr:uid="{74FFDFB8-7B2B-447E-9D97-0CE0B4A34C33}"/>
    <cellStyle name="Normal 5 2 5 2 3 3" xfId="5637" xr:uid="{00000000-0005-0000-0000-00002B190000}"/>
    <cellStyle name="Normal 5 2 5 2 3 3 2" xfId="22509" xr:uid="{0D3F471A-5881-47B1-A1F8-ED4D4AD0EEB4}"/>
    <cellStyle name="Normal 5 2 5 2 3 3 3" xfId="14075" xr:uid="{D9A91F9A-82C2-4FF3-9ACE-FC4D87A77D87}"/>
    <cellStyle name="Normal 5 2 5 2 3 4" xfId="18292" xr:uid="{71873F19-AEF3-4008-AFAB-A06C47BB4B59}"/>
    <cellStyle name="Normal 5 2 5 2 3 5" xfId="9858" xr:uid="{71B183FF-A9E5-4455-88A7-A3E6227AB35C}"/>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25067" xr:uid="{F4A65C70-8A6A-45AC-9D15-8A4B63156719}"/>
    <cellStyle name="Normal 5 2 5 2 4 2 2 3" xfId="16633" xr:uid="{777C07E9-A89F-4205-8013-42F15E022EAC}"/>
    <cellStyle name="Normal 5 2 5 2 4 2 3" xfId="20850" xr:uid="{5A041298-672F-4310-A46F-E6A0BD1D9D72}"/>
    <cellStyle name="Normal 5 2 5 2 4 2 4" xfId="12416" xr:uid="{72286A19-C889-4B9C-8E52-3AE79BCE558F}"/>
    <cellStyle name="Normal 5 2 5 2 4 3" xfId="6050" xr:uid="{00000000-0005-0000-0000-00002F190000}"/>
    <cellStyle name="Normal 5 2 5 2 4 3 2" xfId="22922" xr:uid="{24D32B19-ED5B-496E-BB85-95B836D95F34}"/>
    <cellStyle name="Normal 5 2 5 2 4 3 3" xfId="14488" xr:uid="{58925A7C-0A8D-4F3A-B40A-EB5CE9EF5118}"/>
    <cellStyle name="Normal 5 2 5 2 4 4" xfId="18705" xr:uid="{062E9B0B-A972-4F18-A5B5-0C59464BD629}"/>
    <cellStyle name="Normal 5 2 5 2 4 5" xfId="10271" xr:uid="{2DFBCBFA-10CD-477A-AC41-1A1FF35DDCD9}"/>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25480" xr:uid="{5986E66D-28BD-4806-8322-7133F5214255}"/>
    <cellStyle name="Normal 5 2 5 2 5 2 2 3" xfId="17046" xr:uid="{89EDC57C-F1F4-43F5-A5C7-815606855794}"/>
    <cellStyle name="Normal 5 2 5 2 5 2 3" xfId="21263" xr:uid="{F960D0EA-FC29-48A9-9A01-2B5CC6C7873D}"/>
    <cellStyle name="Normal 5 2 5 2 5 2 4" xfId="12829" xr:uid="{946338B7-3DD9-4270-86ED-31D4232C0E5E}"/>
    <cellStyle name="Normal 5 2 5 2 5 3" xfId="6463" xr:uid="{00000000-0005-0000-0000-000033190000}"/>
    <cellStyle name="Normal 5 2 5 2 5 3 2" xfId="23335" xr:uid="{C507F74E-24BE-453B-83DB-FD4892F008D5}"/>
    <cellStyle name="Normal 5 2 5 2 5 3 3" xfId="14901" xr:uid="{DCAD4EF5-D569-45C3-ABCE-8158DF660A7D}"/>
    <cellStyle name="Normal 5 2 5 2 5 4" xfId="19118" xr:uid="{96741F31-D416-4C9E-BF5E-3560F7E8667B}"/>
    <cellStyle name="Normal 5 2 5 2 5 5" xfId="10684" xr:uid="{6C433A1A-0832-4F5C-B3B5-722FC494080C}"/>
    <cellStyle name="Normal 5 2 5 2 6" xfId="2592" xr:uid="{00000000-0005-0000-0000-000034190000}"/>
    <cellStyle name="Normal 5 2 5 2 6 2" xfId="6876" xr:uid="{00000000-0005-0000-0000-000035190000}"/>
    <cellStyle name="Normal 5 2 5 2 6 2 2" xfId="23748" xr:uid="{74117604-EF92-4BE6-AB4B-6ADAE9E9D9D2}"/>
    <cellStyle name="Normal 5 2 5 2 6 2 3" xfId="15314" xr:uid="{F7906904-449E-4011-8CEE-E232AFC1EAA7}"/>
    <cellStyle name="Normal 5 2 5 2 6 3" xfId="19531" xr:uid="{00848362-C71D-4BE7-8B05-2E6C0135D115}"/>
    <cellStyle name="Normal 5 2 5 2 6 4" xfId="11097" xr:uid="{82393516-64B8-4C50-917E-8B8707799B4C}"/>
    <cellStyle name="Normal 5 2 5 2 7" xfId="4811" xr:uid="{00000000-0005-0000-0000-000036190000}"/>
    <cellStyle name="Normal 5 2 5 2 7 2" xfId="21683" xr:uid="{A2F1588A-CEDE-456B-8E3A-D004CDED271A}"/>
    <cellStyle name="Normal 5 2 5 2 7 3" xfId="13249" xr:uid="{E95D4D0B-14D4-471A-B451-70BCB37715B0}"/>
    <cellStyle name="Normal 5 2 5 2 8" xfId="17466" xr:uid="{66F8C76E-2B9D-49CD-B5DD-1D243081CE24}"/>
    <cellStyle name="Normal 5 2 5 2 9" xfId="9032" xr:uid="{17DA3E41-1CAE-479D-82AC-03E22FEB5B33}"/>
    <cellStyle name="Normal 5 2 5 3" xfId="910" xr:uid="{00000000-0005-0000-0000-000037190000}"/>
    <cellStyle name="Normal 5 2 5 3 2" xfId="3145" xr:uid="{00000000-0005-0000-0000-000038190000}"/>
    <cellStyle name="Normal 5 2 5 3 2 2" xfId="7368" xr:uid="{00000000-0005-0000-0000-000039190000}"/>
    <cellStyle name="Normal 5 2 5 3 2 2 2" xfId="24240" xr:uid="{9530AFC4-0C8B-4870-B013-91E93EC5D248}"/>
    <cellStyle name="Normal 5 2 5 3 2 2 3" xfId="15806" xr:uid="{C92F3A3E-BD06-45B4-9DC9-176BF74D6B2D}"/>
    <cellStyle name="Normal 5 2 5 3 2 3" xfId="20023" xr:uid="{EDEC7122-CAD4-419D-AECC-74D5C5DAD217}"/>
    <cellStyle name="Normal 5 2 5 3 2 4" xfId="11589" xr:uid="{823CEE11-B126-4787-9959-FCDE22233687}"/>
    <cellStyle name="Normal 5 2 5 3 3" xfId="5223" xr:uid="{00000000-0005-0000-0000-00003A190000}"/>
    <cellStyle name="Normal 5 2 5 3 3 2" xfId="22095" xr:uid="{3A6B4B1D-4BD6-413D-8993-57A21A05A4E1}"/>
    <cellStyle name="Normal 5 2 5 3 3 3" xfId="13661" xr:uid="{EDA77AF1-C8FD-4563-AF8E-86E4E85363C4}"/>
    <cellStyle name="Normal 5 2 5 3 4" xfId="17878" xr:uid="{D05400AA-C8E6-4565-A727-D59470AD10FD}"/>
    <cellStyle name="Normal 5 2 5 3 5" xfId="9444" xr:uid="{8952F4A6-7A7F-4553-B69F-29ABDF88F12C}"/>
    <cellStyle name="Normal 5 2 5 4" xfId="1328" xr:uid="{00000000-0005-0000-0000-00003B190000}"/>
    <cellStyle name="Normal 5 2 5 4 2" xfId="3558" xr:uid="{00000000-0005-0000-0000-00003C190000}"/>
    <cellStyle name="Normal 5 2 5 4 2 2" xfId="7781" xr:uid="{00000000-0005-0000-0000-00003D190000}"/>
    <cellStyle name="Normal 5 2 5 4 2 2 2" xfId="24653" xr:uid="{1C2E6C03-B0B9-4630-BA70-04D361FE70FF}"/>
    <cellStyle name="Normal 5 2 5 4 2 2 3" xfId="16219" xr:uid="{882C7AF9-A3F8-4899-AEEE-24AD20864954}"/>
    <cellStyle name="Normal 5 2 5 4 2 3" xfId="20436" xr:uid="{A80D5662-411A-44B2-8A09-033B5F5889EC}"/>
    <cellStyle name="Normal 5 2 5 4 2 4" xfId="12002" xr:uid="{AB73D4FE-0F63-4A61-A6B5-2ACD84305015}"/>
    <cellStyle name="Normal 5 2 5 4 3" xfId="5636" xr:uid="{00000000-0005-0000-0000-00003E190000}"/>
    <cellStyle name="Normal 5 2 5 4 3 2" xfId="22508" xr:uid="{BBB05CEB-209E-4496-A525-211E350D7483}"/>
    <cellStyle name="Normal 5 2 5 4 3 3" xfId="14074" xr:uid="{E7BEF526-35D3-4804-9AFB-A9C517841597}"/>
    <cellStyle name="Normal 5 2 5 4 4" xfId="18291" xr:uid="{FB05CF29-C62F-4BB5-A75C-2E9BFFCABC85}"/>
    <cellStyle name="Normal 5 2 5 4 5" xfId="9857" xr:uid="{97BC2C26-68EF-4D29-9286-25BBC6B56640}"/>
    <cellStyle name="Normal 5 2 5 5" xfId="1741" xr:uid="{00000000-0005-0000-0000-00003F190000}"/>
    <cellStyle name="Normal 5 2 5 5 2" xfId="3971" xr:uid="{00000000-0005-0000-0000-000040190000}"/>
    <cellStyle name="Normal 5 2 5 5 2 2" xfId="8194" xr:uid="{00000000-0005-0000-0000-000041190000}"/>
    <cellStyle name="Normal 5 2 5 5 2 2 2" xfId="25066" xr:uid="{9660E32C-6832-42EC-993D-B3FED9638786}"/>
    <cellStyle name="Normal 5 2 5 5 2 2 3" xfId="16632" xr:uid="{20E9C124-5B30-4227-887A-ED09CF2227CF}"/>
    <cellStyle name="Normal 5 2 5 5 2 3" xfId="20849" xr:uid="{42D46D76-B7F0-440B-8039-38C43AA38D27}"/>
    <cellStyle name="Normal 5 2 5 5 2 4" xfId="12415" xr:uid="{D5528B35-A25B-4E97-ACF1-16B1D0E1165F}"/>
    <cellStyle name="Normal 5 2 5 5 3" xfId="6049" xr:uid="{00000000-0005-0000-0000-000042190000}"/>
    <cellStyle name="Normal 5 2 5 5 3 2" xfId="22921" xr:uid="{6A1235F6-6AE1-4FA1-A710-77A77FB8E384}"/>
    <cellStyle name="Normal 5 2 5 5 3 3" xfId="14487" xr:uid="{0363A059-47E5-46A1-97F2-B54710E534C8}"/>
    <cellStyle name="Normal 5 2 5 5 4" xfId="18704" xr:uid="{9F2CC645-4E92-4D22-B9E8-C020BB8BCF85}"/>
    <cellStyle name="Normal 5 2 5 5 5" xfId="10270" xr:uid="{8BA3E1BE-6B2F-4D25-A2FB-45867E77779B}"/>
    <cellStyle name="Normal 5 2 5 6" xfId="2155" xr:uid="{00000000-0005-0000-0000-000043190000}"/>
    <cellStyle name="Normal 5 2 5 6 2" xfId="4384" xr:uid="{00000000-0005-0000-0000-000044190000}"/>
    <cellStyle name="Normal 5 2 5 6 2 2" xfId="8607" xr:uid="{00000000-0005-0000-0000-000045190000}"/>
    <cellStyle name="Normal 5 2 5 6 2 2 2" xfId="25479" xr:uid="{2E8BD53D-606C-4532-9A28-232116A6B767}"/>
    <cellStyle name="Normal 5 2 5 6 2 2 3" xfId="17045" xr:uid="{CF006A36-9A6D-4475-90AE-FDA43D6A6A9E}"/>
    <cellStyle name="Normal 5 2 5 6 2 3" xfId="21262" xr:uid="{8CE0596E-BEB6-477C-8CB8-9E8D2B5BD4D2}"/>
    <cellStyle name="Normal 5 2 5 6 2 4" xfId="12828" xr:uid="{B2FB4E5D-DFF5-414D-A8C0-C6749D329EBA}"/>
    <cellStyle name="Normal 5 2 5 6 3" xfId="6462" xr:uid="{00000000-0005-0000-0000-000046190000}"/>
    <cellStyle name="Normal 5 2 5 6 3 2" xfId="23334" xr:uid="{88581F9D-20B1-4CDF-8423-754F7E100D7E}"/>
    <cellStyle name="Normal 5 2 5 6 3 3" xfId="14900" xr:uid="{B3B0694A-F02C-474A-81E5-C701DB7D061D}"/>
    <cellStyle name="Normal 5 2 5 6 4" xfId="19117" xr:uid="{F8771B8E-3685-44AF-B7CE-DD8B63C5FF66}"/>
    <cellStyle name="Normal 5 2 5 6 5" xfId="10683" xr:uid="{8DA7219D-0AF3-4A27-B823-97A8E88AEA91}"/>
    <cellStyle name="Normal 5 2 5 7" xfId="2591" xr:uid="{00000000-0005-0000-0000-000047190000}"/>
    <cellStyle name="Normal 5 2 5 7 2" xfId="6875" xr:uid="{00000000-0005-0000-0000-000048190000}"/>
    <cellStyle name="Normal 5 2 5 7 2 2" xfId="23747" xr:uid="{1DBD048D-18AB-4B93-A8AA-3C1B54019546}"/>
    <cellStyle name="Normal 5 2 5 7 2 3" xfId="15313" xr:uid="{72717CAC-6563-4A4C-9B0C-670B782F70E2}"/>
    <cellStyle name="Normal 5 2 5 7 3" xfId="19530" xr:uid="{81A3E34D-196F-4C9E-822A-6B5D726ED270}"/>
    <cellStyle name="Normal 5 2 5 7 4" xfId="11096" xr:uid="{16AFDE5A-1180-4093-BF97-E14E2A6560A9}"/>
    <cellStyle name="Normal 5 2 5 8" xfId="4810" xr:uid="{00000000-0005-0000-0000-000049190000}"/>
    <cellStyle name="Normal 5 2 5 8 2" xfId="21682" xr:uid="{AF62B503-6D33-42BC-97D3-A816C9FC9329}"/>
    <cellStyle name="Normal 5 2 5 8 3" xfId="13248" xr:uid="{B01D4149-49BB-4466-B7CE-A93F25014F98}"/>
    <cellStyle name="Normal 5 2 5 9" xfId="17465" xr:uid="{BDFA2BA2-F260-4904-B68F-19F8163E7B71}"/>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24242" xr:uid="{5B2787E3-E1A9-49A2-8155-58A5A1D16AD8}"/>
    <cellStyle name="Normal 5 2 6 2 2 2 3" xfId="15808" xr:uid="{712F8335-4672-4D2E-9BAB-DCD6F70BAF61}"/>
    <cellStyle name="Normal 5 2 6 2 2 3" xfId="20025" xr:uid="{5BEB4278-D17D-4105-8D34-6D2CD8DEA2DA}"/>
    <cellStyle name="Normal 5 2 6 2 2 4" xfId="11591" xr:uid="{2BF0F002-B6BD-40CB-8B2A-99B26B4AC1CB}"/>
    <cellStyle name="Normal 5 2 6 2 3" xfId="5225" xr:uid="{00000000-0005-0000-0000-00004E190000}"/>
    <cellStyle name="Normal 5 2 6 2 3 2" xfId="22097" xr:uid="{88846C15-1070-4897-B9FB-541E89CA149C}"/>
    <cellStyle name="Normal 5 2 6 2 3 3" xfId="13663" xr:uid="{93350DB2-56B0-40FC-97F7-B68826D51E01}"/>
    <cellStyle name="Normal 5 2 6 2 4" xfId="17880" xr:uid="{2EA9A4CB-F4E6-43B3-9010-9046DF1F657B}"/>
    <cellStyle name="Normal 5 2 6 2 5" xfId="9446" xr:uid="{C35230AC-EBBF-4644-9BBA-282BC268E3D5}"/>
    <cellStyle name="Normal 5 2 6 3" xfId="1330" xr:uid="{00000000-0005-0000-0000-00004F190000}"/>
    <cellStyle name="Normal 5 2 6 3 2" xfId="3560" xr:uid="{00000000-0005-0000-0000-000050190000}"/>
    <cellStyle name="Normal 5 2 6 3 2 2" xfId="7783" xr:uid="{00000000-0005-0000-0000-000051190000}"/>
    <cellStyle name="Normal 5 2 6 3 2 2 2" xfId="24655" xr:uid="{57FF68B8-6A38-4F1E-8D37-BE81A5EE6BE0}"/>
    <cellStyle name="Normal 5 2 6 3 2 2 3" xfId="16221" xr:uid="{F37F0CC3-BE15-46F6-ABB9-61623983CE2A}"/>
    <cellStyle name="Normal 5 2 6 3 2 3" xfId="20438" xr:uid="{04EE81D3-CC62-4DFA-8DB0-1ADE4ACCCC7D}"/>
    <cellStyle name="Normal 5 2 6 3 2 4" xfId="12004" xr:uid="{3AF5E49D-9158-48EC-BE14-4824E2E51111}"/>
    <cellStyle name="Normal 5 2 6 3 3" xfId="5638" xr:uid="{00000000-0005-0000-0000-000052190000}"/>
    <cellStyle name="Normal 5 2 6 3 3 2" xfId="22510" xr:uid="{15BDBBDF-5F91-4C36-A501-AD9C49CE39C2}"/>
    <cellStyle name="Normal 5 2 6 3 3 3" xfId="14076" xr:uid="{8860A224-33B9-4183-A1F9-56C2085A69E0}"/>
    <cellStyle name="Normal 5 2 6 3 4" xfId="18293" xr:uid="{896F1C30-625B-4CE0-8A00-DFAB29A3B141}"/>
    <cellStyle name="Normal 5 2 6 3 5" xfId="9859" xr:uid="{37B0FE4C-F5E0-45D1-92EA-4988D9AF42F4}"/>
    <cellStyle name="Normal 5 2 6 4" xfId="1743" xr:uid="{00000000-0005-0000-0000-000053190000}"/>
    <cellStyle name="Normal 5 2 6 4 2" xfId="3973" xr:uid="{00000000-0005-0000-0000-000054190000}"/>
    <cellStyle name="Normal 5 2 6 4 2 2" xfId="8196" xr:uid="{00000000-0005-0000-0000-000055190000}"/>
    <cellStyle name="Normal 5 2 6 4 2 2 2" xfId="25068" xr:uid="{477B5ADF-34AF-45A5-BF62-DF4623EA5BBC}"/>
    <cellStyle name="Normal 5 2 6 4 2 2 3" xfId="16634" xr:uid="{DBBCF4A5-BC06-4FEC-9F1C-6E6DE9F924C7}"/>
    <cellStyle name="Normal 5 2 6 4 2 3" xfId="20851" xr:uid="{99E71300-2E12-4148-B6B1-F8DCF36537A6}"/>
    <cellStyle name="Normal 5 2 6 4 2 4" xfId="12417" xr:uid="{6AFB7896-A64B-43EA-935A-CC62EBB758FC}"/>
    <cellStyle name="Normal 5 2 6 4 3" xfId="6051" xr:uid="{00000000-0005-0000-0000-000056190000}"/>
    <cellStyle name="Normal 5 2 6 4 3 2" xfId="22923" xr:uid="{ACE3620A-771C-4E8C-845C-7F25203075A5}"/>
    <cellStyle name="Normal 5 2 6 4 3 3" xfId="14489" xr:uid="{BF870A56-F069-47F8-9328-DF538E01855C}"/>
    <cellStyle name="Normal 5 2 6 4 4" xfId="18706" xr:uid="{B5176DD1-44DA-45C2-AB11-8394166C6496}"/>
    <cellStyle name="Normal 5 2 6 4 5" xfId="10272" xr:uid="{D02BF296-2D58-4CE7-8DC4-E052DAC4FD39}"/>
    <cellStyle name="Normal 5 2 6 5" xfId="2157" xr:uid="{00000000-0005-0000-0000-000057190000}"/>
    <cellStyle name="Normal 5 2 6 5 2" xfId="4386" xr:uid="{00000000-0005-0000-0000-000058190000}"/>
    <cellStyle name="Normal 5 2 6 5 2 2" xfId="8609" xr:uid="{00000000-0005-0000-0000-000059190000}"/>
    <cellStyle name="Normal 5 2 6 5 2 2 2" xfId="25481" xr:uid="{B41CD8A5-8F95-4DEF-B9F6-F8C015587EDB}"/>
    <cellStyle name="Normal 5 2 6 5 2 2 3" xfId="17047" xr:uid="{115C5C63-ACB0-4F70-8F2E-EE3CF69E442C}"/>
    <cellStyle name="Normal 5 2 6 5 2 3" xfId="21264" xr:uid="{3A93A350-4CB8-47D6-9123-78D4616AAFC2}"/>
    <cellStyle name="Normal 5 2 6 5 2 4" xfId="12830" xr:uid="{B13D6D25-8BCA-4E66-8CC9-35C000922D29}"/>
    <cellStyle name="Normal 5 2 6 5 3" xfId="6464" xr:uid="{00000000-0005-0000-0000-00005A190000}"/>
    <cellStyle name="Normal 5 2 6 5 3 2" xfId="23336" xr:uid="{67CDC9F4-D8E1-49D6-B44B-27EEAF83C42A}"/>
    <cellStyle name="Normal 5 2 6 5 3 3" xfId="14902" xr:uid="{D982FCDE-E621-4443-B773-B2290D7238BB}"/>
    <cellStyle name="Normal 5 2 6 5 4" xfId="19119" xr:uid="{1D24517C-3003-4EC4-A934-E2CF30F1B8D3}"/>
    <cellStyle name="Normal 5 2 6 5 5" xfId="10685" xr:uid="{FB5D69DF-9F0F-44C7-8158-E17A87C3CA91}"/>
    <cellStyle name="Normal 5 2 6 6" xfId="2593" xr:uid="{00000000-0005-0000-0000-00005B190000}"/>
    <cellStyle name="Normal 5 2 6 6 2" xfId="6877" xr:uid="{00000000-0005-0000-0000-00005C190000}"/>
    <cellStyle name="Normal 5 2 6 6 2 2" xfId="23749" xr:uid="{C0EEC25C-22B4-4669-A751-56D550BEBFCA}"/>
    <cellStyle name="Normal 5 2 6 6 2 3" xfId="15315" xr:uid="{2A87417E-3B70-4C74-896F-F4D1D3D3A8A7}"/>
    <cellStyle name="Normal 5 2 6 6 3" xfId="19532" xr:uid="{64E18647-072F-42A0-BA14-30BF97F9B8EF}"/>
    <cellStyle name="Normal 5 2 6 6 4" xfId="11098" xr:uid="{03313861-A78F-493F-A783-EB6642D67B0D}"/>
    <cellStyle name="Normal 5 2 6 7" xfId="4812" xr:uid="{00000000-0005-0000-0000-00005D190000}"/>
    <cellStyle name="Normal 5 2 6 7 2" xfId="21684" xr:uid="{376E928A-577E-4A7F-8641-CE8B2431771A}"/>
    <cellStyle name="Normal 5 2 6 7 3" xfId="13250" xr:uid="{88315F46-4EEF-4298-A12E-6C112653599F}"/>
    <cellStyle name="Normal 5 2 6 8" xfId="17467" xr:uid="{6CFC5240-3C45-49E6-BAEA-827A0BA609E4}"/>
    <cellStyle name="Normal 5 2 6 9" xfId="9033" xr:uid="{48F89E4D-C220-4198-815D-7D067D923A93}"/>
    <cellStyle name="Normal 5 2 7" xfId="881" xr:uid="{00000000-0005-0000-0000-00005E190000}"/>
    <cellStyle name="Normal 5 2 7 2" xfId="3116" xr:uid="{00000000-0005-0000-0000-00005F190000}"/>
    <cellStyle name="Normal 5 2 7 2 2" xfId="7339" xr:uid="{00000000-0005-0000-0000-000060190000}"/>
    <cellStyle name="Normal 5 2 7 2 2 2" xfId="24211" xr:uid="{FD042B90-5F88-4C62-81AE-51262AC14EB1}"/>
    <cellStyle name="Normal 5 2 7 2 2 3" xfId="15777" xr:uid="{9D285C3A-47B9-4633-9207-3D6FB7ECBE05}"/>
    <cellStyle name="Normal 5 2 7 2 3" xfId="19994" xr:uid="{9895FAFC-AC58-46D3-94F7-966D9698EA93}"/>
    <cellStyle name="Normal 5 2 7 2 4" xfId="11560" xr:uid="{FFD75415-6CF4-4AAC-9BB2-87E596CCDF69}"/>
    <cellStyle name="Normal 5 2 7 3" xfId="5194" xr:uid="{00000000-0005-0000-0000-000061190000}"/>
    <cellStyle name="Normal 5 2 7 3 2" xfId="22066" xr:uid="{98502035-14E8-455B-A9C7-7C7105D22017}"/>
    <cellStyle name="Normal 5 2 7 3 3" xfId="13632" xr:uid="{64ABB323-1B91-4B59-8326-3D56DA75C795}"/>
    <cellStyle name="Normal 5 2 7 4" xfId="17849" xr:uid="{20C55D7F-8D97-4F55-8D82-AC0CA78533FA}"/>
    <cellStyle name="Normal 5 2 7 5" xfId="9415" xr:uid="{C796F6B6-B456-4647-B631-85C8633B3962}"/>
    <cellStyle name="Normal 5 2 8" xfId="1299" xr:uid="{00000000-0005-0000-0000-000062190000}"/>
    <cellStyle name="Normal 5 2 8 2" xfId="3529" xr:uid="{00000000-0005-0000-0000-000063190000}"/>
    <cellStyle name="Normal 5 2 8 2 2" xfId="7752" xr:uid="{00000000-0005-0000-0000-000064190000}"/>
    <cellStyle name="Normal 5 2 8 2 2 2" xfId="24624" xr:uid="{86D74406-5179-44FB-A942-E0E7E440CCE6}"/>
    <cellStyle name="Normal 5 2 8 2 2 3" xfId="16190" xr:uid="{C4D6DBE4-1660-4275-8834-33EF3EECFDB5}"/>
    <cellStyle name="Normal 5 2 8 2 3" xfId="20407" xr:uid="{7D591A6A-2148-4524-A516-9C700BD41AD2}"/>
    <cellStyle name="Normal 5 2 8 2 4" xfId="11973" xr:uid="{EA827ACD-B1AF-4325-8451-6CD643F61D46}"/>
    <cellStyle name="Normal 5 2 8 3" xfId="5607" xr:uid="{00000000-0005-0000-0000-000065190000}"/>
    <cellStyle name="Normal 5 2 8 3 2" xfId="22479" xr:uid="{3334F58B-523D-414C-9C4B-BCDE986B4534}"/>
    <cellStyle name="Normal 5 2 8 3 3" xfId="14045" xr:uid="{58E8D313-D594-47E0-B623-69E8B26BAF9D}"/>
    <cellStyle name="Normal 5 2 8 4" xfId="18262" xr:uid="{C8AEEC58-D473-4914-8A09-5E499F3CBDEF}"/>
    <cellStyle name="Normal 5 2 8 5" xfId="9828" xr:uid="{26948C89-15AA-4176-A724-6CDF876C487F}"/>
    <cellStyle name="Normal 5 2 9" xfId="1712" xr:uid="{00000000-0005-0000-0000-000066190000}"/>
    <cellStyle name="Normal 5 2 9 2" xfId="3942" xr:uid="{00000000-0005-0000-0000-000067190000}"/>
    <cellStyle name="Normal 5 2 9 2 2" xfId="8165" xr:uid="{00000000-0005-0000-0000-000068190000}"/>
    <cellStyle name="Normal 5 2 9 2 2 2" xfId="25037" xr:uid="{6CA7C9EA-1BBF-40B4-93CF-78FED0068A1F}"/>
    <cellStyle name="Normal 5 2 9 2 2 3" xfId="16603" xr:uid="{805451EF-AF7D-40C1-9E87-D2E8D5433058}"/>
    <cellStyle name="Normal 5 2 9 2 3" xfId="20820" xr:uid="{75A41A97-C8C8-41B3-BE5A-7C880C29E113}"/>
    <cellStyle name="Normal 5 2 9 2 4" xfId="12386" xr:uid="{8F5D00EB-992C-4296-96EC-CD00DBCA5054}"/>
    <cellStyle name="Normal 5 2 9 3" xfId="6020" xr:uid="{00000000-0005-0000-0000-000069190000}"/>
    <cellStyle name="Normal 5 2 9 3 2" xfId="22892" xr:uid="{DF6DA235-54D4-4E36-B854-8A87BB7ADB7B}"/>
    <cellStyle name="Normal 5 2 9 3 3" xfId="14458" xr:uid="{4135D928-A078-4BDF-A5AC-349DE352DADB}"/>
    <cellStyle name="Normal 5 2 9 4" xfId="18675" xr:uid="{5124488C-5896-4FF8-B52C-7A25103A72F7}"/>
    <cellStyle name="Normal 5 2 9 5" xfId="10241" xr:uid="{C222D106-CD03-4468-AB88-4C756F70502F}"/>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25482" xr:uid="{BFA9CB50-3923-4524-82CA-09DDA52243D9}"/>
    <cellStyle name="Normal 5 3 10 2 2 3" xfId="17048" xr:uid="{A43AA71A-07F5-4DE9-B489-CECB3DCD1240}"/>
    <cellStyle name="Normal 5 3 10 2 3" xfId="21265" xr:uid="{82C84F83-7778-4ADE-9DD0-011131D6B466}"/>
    <cellStyle name="Normal 5 3 10 2 4" xfId="12831" xr:uid="{E31D2E9B-9FAA-4503-8857-3907FF95B07A}"/>
    <cellStyle name="Normal 5 3 10 3" xfId="6465" xr:uid="{00000000-0005-0000-0000-00006E190000}"/>
    <cellStyle name="Normal 5 3 10 3 2" xfId="23337" xr:uid="{8DA3160F-BEF3-45AE-9A81-5AEC46FB6F98}"/>
    <cellStyle name="Normal 5 3 10 3 3" xfId="14903" xr:uid="{AE1FD007-0CFF-49C1-B41B-78759B7E8AB7}"/>
    <cellStyle name="Normal 5 3 10 4" xfId="19120" xr:uid="{F11705E4-568A-4A17-8406-9EF1C55E693B}"/>
    <cellStyle name="Normal 5 3 10 5" xfId="10686" xr:uid="{3862969F-3444-485B-8ABD-D1ED89E6DB4D}"/>
    <cellStyle name="Normal 5 3 11" xfId="2594" xr:uid="{00000000-0005-0000-0000-00006F190000}"/>
    <cellStyle name="Normal 5 3 11 2" xfId="6878" xr:uid="{00000000-0005-0000-0000-000070190000}"/>
    <cellStyle name="Normal 5 3 11 2 2" xfId="23750" xr:uid="{5E0D270E-11C1-4A5E-8C0E-02F96A547BDE}"/>
    <cellStyle name="Normal 5 3 11 2 3" xfId="15316" xr:uid="{21FF83F1-38FA-4293-A2EC-B17F6C013DD1}"/>
    <cellStyle name="Normal 5 3 11 3" xfId="19533" xr:uid="{156B4756-0903-4028-99A2-1A60848DA978}"/>
    <cellStyle name="Normal 5 3 11 4" xfId="11099" xr:uid="{502899FB-307F-4BED-9B32-37044849B002}"/>
    <cellStyle name="Normal 5 3 12" xfId="4813" xr:uid="{00000000-0005-0000-0000-000071190000}"/>
    <cellStyle name="Normal 5 3 12 2" xfId="21685" xr:uid="{AB36429B-E331-4DF7-A145-98FB3D34D218}"/>
    <cellStyle name="Normal 5 3 12 3" xfId="13251" xr:uid="{43A4ABC9-97F3-4C05-9D2C-721624CA620D}"/>
    <cellStyle name="Normal 5 3 13" xfId="17468" xr:uid="{FCDE90C8-B701-4FE4-B199-15B3D7C4B5B4}"/>
    <cellStyle name="Normal 5 3 14" xfId="9034" xr:uid="{46E4CC88-0A44-4A8A-B377-9EB4229006C8}"/>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21686" xr:uid="{6C82F225-DD10-4658-A630-BCB14BAF736D}"/>
    <cellStyle name="Normal 5 3 3 10 3" xfId="13252" xr:uid="{90615733-8022-4D95-AD47-1B035B6FE0D5}"/>
    <cellStyle name="Normal 5 3 3 11" xfId="17469" xr:uid="{26ABE5A0-8146-4752-9F6A-29A9E39B184A}"/>
    <cellStyle name="Normal 5 3 3 12" xfId="9035" xr:uid="{C02F7E5B-BF82-405F-B227-3DB1B383A95E}"/>
    <cellStyle name="Normal 5 3 3 2" xfId="442" xr:uid="{00000000-0005-0000-0000-000076190000}"/>
    <cellStyle name="Normal 5 3 3 2 10" xfId="17470" xr:uid="{AA896401-B540-4673-A6A5-EC160B977507}"/>
    <cellStyle name="Normal 5 3 3 2 11" xfId="9036" xr:uid="{703123BF-33ED-49E3-8A8F-160F069AECAA}"/>
    <cellStyle name="Normal 5 3 3 2 2" xfId="443" xr:uid="{00000000-0005-0000-0000-000077190000}"/>
    <cellStyle name="Normal 5 3 3 2 2 10" xfId="9037" xr:uid="{295342F4-8C40-4C83-B366-8F9410BA41B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24247" xr:uid="{800E689D-959F-49F9-AD37-8CB30B6B170D}"/>
    <cellStyle name="Normal 5 3 3 2 2 2 2 2 2 3" xfId="15813" xr:uid="{8583D7A6-B02A-42FF-BF35-E60288157EDD}"/>
    <cellStyle name="Normal 5 3 3 2 2 2 2 2 3" xfId="20030" xr:uid="{D86BC2A2-86A8-4052-A05A-057897F65897}"/>
    <cellStyle name="Normal 5 3 3 2 2 2 2 2 4" xfId="11596" xr:uid="{F564AEF7-7A6E-432F-B24B-9CF75BD21F94}"/>
    <cellStyle name="Normal 5 3 3 2 2 2 2 3" xfId="5230" xr:uid="{00000000-0005-0000-0000-00007C190000}"/>
    <cellStyle name="Normal 5 3 3 2 2 2 2 3 2" xfId="22102" xr:uid="{C02C9ABB-F20D-4C59-948E-0E7CE01D213A}"/>
    <cellStyle name="Normal 5 3 3 2 2 2 2 3 3" xfId="13668" xr:uid="{FF0D0C73-18D1-4F30-8ACA-7F4672B7CBD7}"/>
    <cellStyle name="Normal 5 3 3 2 2 2 2 4" xfId="17885" xr:uid="{BDF854DA-761B-4D99-9AF6-19A80A0D91F2}"/>
    <cellStyle name="Normal 5 3 3 2 2 2 2 5" xfId="9451" xr:uid="{F68EB2CD-F375-426A-BFD6-16B7FA777F65}"/>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24660" xr:uid="{49CC647D-A95E-4C65-A9AE-61C45F0761B7}"/>
    <cellStyle name="Normal 5 3 3 2 2 2 3 2 2 3" xfId="16226" xr:uid="{F7104E8C-74CA-4CB5-BAC4-B2F480F71C86}"/>
    <cellStyle name="Normal 5 3 3 2 2 2 3 2 3" xfId="20443" xr:uid="{6CA1DF0D-D38E-4C2B-90E1-F0E57E4DBC76}"/>
    <cellStyle name="Normal 5 3 3 2 2 2 3 2 4" xfId="12009" xr:uid="{EB308579-9625-4A4E-8E50-D3DD81D2A7B1}"/>
    <cellStyle name="Normal 5 3 3 2 2 2 3 3" xfId="5643" xr:uid="{00000000-0005-0000-0000-000080190000}"/>
    <cellStyle name="Normal 5 3 3 2 2 2 3 3 2" xfId="22515" xr:uid="{151D5812-9DAB-4317-B3EE-9E59057E9F0C}"/>
    <cellStyle name="Normal 5 3 3 2 2 2 3 3 3" xfId="14081" xr:uid="{5CCE71E4-463E-4B35-A845-EC7FD20B4B23}"/>
    <cellStyle name="Normal 5 3 3 2 2 2 3 4" xfId="18298" xr:uid="{44DA284C-F5D4-4970-BDAA-A664596C9058}"/>
    <cellStyle name="Normal 5 3 3 2 2 2 3 5" xfId="9864" xr:uid="{FA4FF80C-F83B-4B86-B2F7-A7EA0BDD46FE}"/>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25073" xr:uid="{8081D1BA-6FF4-474D-B09B-6009BA269E47}"/>
    <cellStyle name="Normal 5 3 3 2 2 2 4 2 2 3" xfId="16639" xr:uid="{0CBFF8B4-08ED-4FB0-872A-14EF9DC4C56A}"/>
    <cellStyle name="Normal 5 3 3 2 2 2 4 2 3" xfId="20856" xr:uid="{07C8B5DD-F109-445B-BEB1-84B764828BB5}"/>
    <cellStyle name="Normal 5 3 3 2 2 2 4 2 4" xfId="12422" xr:uid="{0C7301F5-0128-4798-A536-79697F694BC2}"/>
    <cellStyle name="Normal 5 3 3 2 2 2 4 3" xfId="6056" xr:uid="{00000000-0005-0000-0000-000084190000}"/>
    <cellStyle name="Normal 5 3 3 2 2 2 4 3 2" xfId="22928" xr:uid="{8E4B64E0-F23D-44F0-B55A-A8377C3B7ED5}"/>
    <cellStyle name="Normal 5 3 3 2 2 2 4 3 3" xfId="14494" xr:uid="{D0667574-01D2-4247-BF8B-49F11CF43BAF}"/>
    <cellStyle name="Normal 5 3 3 2 2 2 4 4" xfId="18711" xr:uid="{B06EA7BD-A14E-4FC9-B2DC-28AAD06E483B}"/>
    <cellStyle name="Normal 5 3 3 2 2 2 4 5" xfId="10277" xr:uid="{C62789C6-6352-410E-82FE-0166FE88B75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25486" xr:uid="{2A92139A-AE82-4D99-9CD0-6CFD1E17C334}"/>
    <cellStyle name="Normal 5 3 3 2 2 2 5 2 2 3" xfId="17052" xr:uid="{225EAD3F-C18A-4579-BBBD-D00DD9890657}"/>
    <cellStyle name="Normal 5 3 3 2 2 2 5 2 3" xfId="21269" xr:uid="{7A889B21-E909-431C-9A78-558CD8F5720B}"/>
    <cellStyle name="Normal 5 3 3 2 2 2 5 2 4" xfId="12835" xr:uid="{AFAC126A-DCFC-4208-9ACA-6DAE102C9657}"/>
    <cellStyle name="Normal 5 3 3 2 2 2 5 3" xfId="6469" xr:uid="{00000000-0005-0000-0000-000088190000}"/>
    <cellStyle name="Normal 5 3 3 2 2 2 5 3 2" xfId="23341" xr:uid="{38931EE4-F59A-44B4-BF5E-6009E72C8328}"/>
    <cellStyle name="Normal 5 3 3 2 2 2 5 3 3" xfId="14907" xr:uid="{7DF2C93F-C36C-46A0-A95A-AE365E77AACB}"/>
    <cellStyle name="Normal 5 3 3 2 2 2 5 4" xfId="19124" xr:uid="{9BF9C603-DC66-40B0-9D95-055798928AAA}"/>
    <cellStyle name="Normal 5 3 3 2 2 2 5 5" xfId="10690" xr:uid="{E760A4DF-4104-4A83-BA84-C264413E9BD4}"/>
    <cellStyle name="Normal 5 3 3 2 2 2 6" xfId="2598" xr:uid="{00000000-0005-0000-0000-000089190000}"/>
    <cellStyle name="Normal 5 3 3 2 2 2 6 2" xfId="6882" xr:uid="{00000000-0005-0000-0000-00008A190000}"/>
    <cellStyle name="Normal 5 3 3 2 2 2 6 2 2" xfId="23754" xr:uid="{A9A58F8F-4D2C-438F-B29E-97C5FD4E89EE}"/>
    <cellStyle name="Normal 5 3 3 2 2 2 6 2 3" xfId="15320" xr:uid="{2DA957E1-ED4B-43BE-A1C8-E762AEDA4217}"/>
    <cellStyle name="Normal 5 3 3 2 2 2 6 3" xfId="19537" xr:uid="{636839FC-D353-4C9D-A71F-1AE43FD00116}"/>
    <cellStyle name="Normal 5 3 3 2 2 2 6 4" xfId="11103" xr:uid="{A5C992EF-BE2F-469C-97C0-5ACBF2B18963}"/>
    <cellStyle name="Normal 5 3 3 2 2 2 7" xfId="4817" xr:uid="{00000000-0005-0000-0000-00008B190000}"/>
    <cellStyle name="Normal 5 3 3 2 2 2 7 2" xfId="21689" xr:uid="{E2AEC83D-0561-4022-8127-37C52CB5ED46}"/>
    <cellStyle name="Normal 5 3 3 2 2 2 7 3" xfId="13255" xr:uid="{3E3C60C1-E19A-416A-83A0-880A56DEE6E1}"/>
    <cellStyle name="Normal 5 3 3 2 2 2 8" xfId="17472" xr:uid="{0C147955-AC08-4D51-9CB4-29C9728FC15D}"/>
    <cellStyle name="Normal 5 3 3 2 2 2 9" xfId="9038" xr:uid="{3C3CB238-8EDE-4D12-9ABF-79A94C165515}"/>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24246" xr:uid="{40107CDE-715D-41D1-B8BE-3B98D5B0F33A}"/>
    <cellStyle name="Normal 5 3 3 2 2 3 2 2 3" xfId="15812" xr:uid="{B68CBA2B-F5DF-4CC3-86B6-FAFFEC9A358A}"/>
    <cellStyle name="Normal 5 3 3 2 2 3 2 3" xfId="20029" xr:uid="{D086CE94-C457-4F5A-BDEA-2AC17B06A47C}"/>
    <cellStyle name="Normal 5 3 3 2 2 3 2 4" xfId="11595" xr:uid="{B0A93E5D-DAD0-4336-81A4-9DFC34BC0414}"/>
    <cellStyle name="Normal 5 3 3 2 2 3 3" xfId="5229" xr:uid="{00000000-0005-0000-0000-00008F190000}"/>
    <cellStyle name="Normal 5 3 3 2 2 3 3 2" xfId="22101" xr:uid="{1AE184D1-45ED-4BF2-B92E-B7C043C20B45}"/>
    <cellStyle name="Normal 5 3 3 2 2 3 3 3" xfId="13667" xr:uid="{9574CAF8-682D-421B-946E-A5452BCC7215}"/>
    <cellStyle name="Normal 5 3 3 2 2 3 4" xfId="17884" xr:uid="{7AA53C5C-8C83-4EAE-B2DF-D5907A6C9D60}"/>
    <cellStyle name="Normal 5 3 3 2 2 3 5" xfId="9450" xr:uid="{2F4A32A8-4CD9-461F-B6F5-99451C47BA12}"/>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24659" xr:uid="{D11A4F83-FE20-40C0-A1EA-327E0BEB48C9}"/>
    <cellStyle name="Normal 5 3 3 2 2 4 2 2 3" xfId="16225" xr:uid="{422DD029-B2DD-456E-91CE-D85601257904}"/>
    <cellStyle name="Normal 5 3 3 2 2 4 2 3" xfId="20442" xr:uid="{3CB89E9B-FDDF-4351-BC08-FB5109E271C7}"/>
    <cellStyle name="Normal 5 3 3 2 2 4 2 4" xfId="12008" xr:uid="{4A919778-C68F-42CD-B3C8-4D8FAB94C724}"/>
    <cellStyle name="Normal 5 3 3 2 2 4 3" xfId="5642" xr:uid="{00000000-0005-0000-0000-000093190000}"/>
    <cellStyle name="Normal 5 3 3 2 2 4 3 2" xfId="22514" xr:uid="{B865028F-9BCF-466A-933C-19E944C0842A}"/>
    <cellStyle name="Normal 5 3 3 2 2 4 3 3" xfId="14080" xr:uid="{8BE2EED9-BAF8-459B-B89E-936A4BD83D57}"/>
    <cellStyle name="Normal 5 3 3 2 2 4 4" xfId="18297" xr:uid="{E9771F2C-A0BF-4A6C-AE2E-A355B5A8B177}"/>
    <cellStyle name="Normal 5 3 3 2 2 4 5" xfId="9863" xr:uid="{572CDE49-E6E6-46C0-B4A5-287AE1C2C4BA}"/>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25072" xr:uid="{3E2692C7-DD7A-4DCE-8D8E-824C827931F8}"/>
    <cellStyle name="Normal 5 3 3 2 2 5 2 2 3" xfId="16638" xr:uid="{4B85E86A-4EA7-4A85-A8B6-5AF9F7080544}"/>
    <cellStyle name="Normal 5 3 3 2 2 5 2 3" xfId="20855" xr:uid="{3613BF39-2A8C-4CA4-8127-28897D5F1B3A}"/>
    <cellStyle name="Normal 5 3 3 2 2 5 2 4" xfId="12421" xr:uid="{6291235C-FF41-47D0-9D5C-4DE5351E7526}"/>
    <cellStyle name="Normal 5 3 3 2 2 5 3" xfId="6055" xr:uid="{00000000-0005-0000-0000-000097190000}"/>
    <cellStyle name="Normal 5 3 3 2 2 5 3 2" xfId="22927" xr:uid="{3572DD0A-6CA2-42CB-870A-4D5BFFEA711A}"/>
    <cellStyle name="Normal 5 3 3 2 2 5 3 3" xfId="14493" xr:uid="{2EA62331-5FDB-469E-B346-8828D56F3935}"/>
    <cellStyle name="Normal 5 3 3 2 2 5 4" xfId="18710" xr:uid="{8E0DD6F2-147D-4BC1-8EDD-E007445EA903}"/>
    <cellStyle name="Normal 5 3 3 2 2 5 5" xfId="10276" xr:uid="{B5F976F7-F61C-4131-B3B2-5B6EFA81C482}"/>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25485" xr:uid="{1F7E5CB6-4EFA-4F72-8F15-FABF2511BA5A}"/>
    <cellStyle name="Normal 5 3 3 2 2 6 2 2 3" xfId="17051" xr:uid="{7F519A20-588F-4DF0-84DB-C21332CB0ECC}"/>
    <cellStyle name="Normal 5 3 3 2 2 6 2 3" xfId="21268" xr:uid="{325AD095-0B3C-4065-B798-6CDBB552EF64}"/>
    <cellStyle name="Normal 5 3 3 2 2 6 2 4" xfId="12834" xr:uid="{25303EB6-C68D-4485-8D89-C84D734DE58B}"/>
    <cellStyle name="Normal 5 3 3 2 2 6 3" xfId="6468" xr:uid="{00000000-0005-0000-0000-00009B190000}"/>
    <cellStyle name="Normal 5 3 3 2 2 6 3 2" xfId="23340" xr:uid="{981A9E6C-A90E-4820-A4DC-FFF74956B2CE}"/>
    <cellStyle name="Normal 5 3 3 2 2 6 3 3" xfId="14906" xr:uid="{F785D8E6-963D-4272-B4A4-D9E323586BC7}"/>
    <cellStyle name="Normal 5 3 3 2 2 6 4" xfId="19123" xr:uid="{A432DE93-BB4E-48D1-9CFF-5C93A371E924}"/>
    <cellStyle name="Normal 5 3 3 2 2 6 5" xfId="10689" xr:uid="{C1A9B6C7-9D98-4274-86A0-96E203286359}"/>
    <cellStyle name="Normal 5 3 3 2 2 7" xfId="2597" xr:uid="{00000000-0005-0000-0000-00009C190000}"/>
    <cellStyle name="Normal 5 3 3 2 2 7 2" xfId="6881" xr:uid="{00000000-0005-0000-0000-00009D190000}"/>
    <cellStyle name="Normal 5 3 3 2 2 7 2 2" xfId="23753" xr:uid="{0D01C59B-3093-4E18-9215-C6310C68FCAE}"/>
    <cellStyle name="Normal 5 3 3 2 2 7 2 3" xfId="15319" xr:uid="{3F82AE24-8F08-40DF-869C-6B7EB55E78F4}"/>
    <cellStyle name="Normal 5 3 3 2 2 7 3" xfId="19536" xr:uid="{3D89AE81-9298-4D24-8BEF-8E19DAE6D6F8}"/>
    <cellStyle name="Normal 5 3 3 2 2 7 4" xfId="11102" xr:uid="{4B3E5FE7-11E2-4812-B800-E5247E85CC55}"/>
    <cellStyle name="Normal 5 3 3 2 2 8" xfId="4816" xr:uid="{00000000-0005-0000-0000-00009E190000}"/>
    <cellStyle name="Normal 5 3 3 2 2 8 2" xfId="21688" xr:uid="{D1AB4B90-A2B1-439F-BDD0-CB78E50B32B2}"/>
    <cellStyle name="Normal 5 3 3 2 2 8 3" xfId="13254" xr:uid="{479D2803-E5CB-4EB7-9F38-60DD2DD1D063}"/>
    <cellStyle name="Normal 5 3 3 2 2 9" xfId="17471" xr:uid="{4FB4E5D6-F618-4F6D-985C-E1113CAD887F}"/>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24248" xr:uid="{C96394AE-E12A-45AF-BD63-F0FE7AD4EC11}"/>
    <cellStyle name="Normal 5 3 3 2 3 2 2 2 3" xfId="15814" xr:uid="{6C3C7005-22DB-43B9-873D-94319308AB96}"/>
    <cellStyle name="Normal 5 3 3 2 3 2 2 3" xfId="20031" xr:uid="{E4FAF6D4-987B-4E3F-91B3-C9750C293996}"/>
    <cellStyle name="Normal 5 3 3 2 3 2 2 4" xfId="11597" xr:uid="{4FE4AB57-CFCD-43DA-AB76-DA270F4C9FD0}"/>
    <cellStyle name="Normal 5 3 3 2 3 2 3" xfId="5231" xr:uid="{00000000-0005-0000-0000-0000A3190000}"/>
    <cellStyle name="Normal 5 3 3 2 3 2 3 2" xfId="22103" xr:uid="{23C3AF4D-8B6B-4CC3-A8AE-AB498A0FD0AB}"/>
    <cellStyle name="Normal 5 3 3 2 3 2 3 3" xfId="13669" xr:uid="{56A45F17-2D1B-4867-AF8E-A3F50CD37C4D}"/>
    <cellStyle name="Normal 5 3 3 2 3 2 4" xfId="17886" xr:uid="{2110BB20-7103-45CB-A495-EDBE91A591EF}"/>
    <cellStyle name="Normal 5 3 3 2 3 2 5" xfId="9452" xr:uid="{E56C7D12-6BA7-43AC-9C31-512D477B50B8}"/>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24661" xr:uid="{6A82F87D-02F0-445E-B4A4-4919299767B7}"/>
    <cellStyle name="Normal 5 3 3 2 3 3 2 2 3" xfId="16227" xr:uid="{99E3BE67-9721-4E3F-992D-2994CD11CC6C}"/>
    <cellStyle name="Normal 5 3 3 2 3 3 2 3" xfId="20444" xr:uid="{10B1AAEB-CDE2-48BA-AB89-1E4E61634579}"/>
    <cellStyle name="Normal 5 3 3 2 3 3 2 4" xfId="12010" xr:uid="{8B9918DC-77BC-46E6-A07F-22E010F11CA8}"/>
    <cellStyle name="Normal 5 3 3 2 3 3 3" xfId="5644" xr:uid="{00000000-0005-0000-0000-0000A7190000}"/>
    <cellStyle name="Normal 5 3 3 2 3 3 3 2" xfId="22516" xr:uid="{9A456BC5-F295-4E41-8FD6-097D6E38E2D6}"/>
    <cellStyle name="Normal 5 3 3 2 3 3 3 3" xfId="14082" xr:uid="{79451E70-7016-4CC8-98EB-9A5C0D40E24D}"/>
    <cellStyle name="Normal 5 3 3 2 3 3 4" xfId="18299" xr:uid="{CFEAAC8F-72A6-4C7B-B5A8-F5E8C8A2E8B2}"/>
    <cellStyle name="Normal 5 3 3 2 3 3 5" xfId="9865" xr:uid="{6C44C3CB-716C-4C10-9B83-B50795CC9BFC}"/>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25074" xr:uid="{8C4E6471-497B-4F78-B830-B6B229087045}"/>
    <cellStyle name="Normal 5 3 3 2 3 4 2 2 3" xfId="16640" xr:uid="{AC2A3292-2185-4583-8D9E-4B88AF486843}"/>
    <cellStyle name="Normal 5 3 3 2 3 4 2 3" xfId="20857" xr:uid="{31015134-FDAE-402C-94C7-316D98FFD117}"/>
    <cellStyle name="Normal 5 3 3 2 3 4 2 4" xfId="12423" xr:uid="{2172A669-AE4A-48B5-B602-72E8E9A64A1B}"/>
    <cellStyle name="Normal 5 3 3 2 3 4 3" xfId="6057" xr:uid="{00000000-0005-0000-0000-0000AB190000}"/>
    <cellStyle name="Normal 5 3 3 2 3 4 3 2" xfId="22929" xr:uid="{74669AEE-EDBA-4F3E-8206-BA06FF026C28}"/>
    <cellStyle name="Normal 5 3 3 2 3 4 3 3" xfId="14495" xr:uid="{5E67E895-84BA-4E0B-BEE9-DD1870607F5A}"/>
    <cellStyle name="Normal 5 3 3 2 3 4 4" xfId="18712" xr:uid="{BDB14232-355C-4BE2-961D-E3E62DB31047}"/>
    <cellStyle name="Normal 5 3 3 2 3 4 5" xfId="10278" xr:uid="{F49A9E4E-5EBF-458F-BE81-8AD063CB0B3B}"/>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25487" xr:uid="{38A500A1-0D9B-4E77-BA33-7C4AF1BC189E}"/>
    <cellStyle name="Normal 5 3 3 2 3 5 2 2 3" xfId="17053" xr:uid="{7F9A161E-2954-44E3-B44D-63A5C8940047}"/>
    <cellStyle name="Normal 5 3 3 2 3 5 2 3" xfId="21270" xr:uid="{DD33D585-0425-4C86-953E-B14185509D7F}"/>
    <cellStyle name="Normal 5 3 3 2 3 5 2 4" xfId="12836" xr:uid="{2A1F7691-A129-482D-9814-B9A64DC1DB37}"/>
    <cellStyle name="Normal 5 3 3 2 3 5 3" xfId="6470" xr:uid="{00000000-0005-0000-0000-0000AF190000}"/>
    <cellStyle name="Normal 5 3 3 2 3 5 3 2" xfId="23342" xr:uid="{7FD981B7-3652-4F2D-95B2-56DDEAE8786A}"/>
    <cellStyle name="Normal 5 3 3 2 3 5 3 3" xfId="14908" xr:uid="{512B0FCA-56B5-4951-A44E-E8CA017521AF}"/>
    <cellStyle name="Normal 5 3 3 2 3 5 4" xfId="19125" xr:uid="{42887486-4EC3-4F87-A9A3-1CB8EC7B2324}"/>
    <cellStyle name="Normal 5 3 3 2 3 5 5" xfId="10691" xr:uid="{0F5B240A-C7D7-40DB-A2D8-11A58C0988DC}"/>
    <cellStyle name="Normal 5 3 3 2 3 6" xfId="2599" xr:uid="{00000000-0005-0000-0000-0000B0190000}"/>
    <cellStyle name="Normal 5 3 3 2 3 6 2" xfId="6883" xr:uid="{00000000-0005-0000-0000-0000B1190000}"/>
    <cellStyle name="Normal 5 3 3 2 3 6 2 2" xfId="23755" xr:uid="{63EFDB59-82F7-4ABB-A982-C3C2925C6943}"/>
    <cellStyle name="Normal 5 3 3 2 3 6 2 3" xfId="15321" xr:uid="{A898BEC3-4F0C-468D-A59F-97CD19648E40}"/>
    <cellStyle name="Normal 5 3 3 2 3 6 3" xfId="19538" xr:uid="{30F2BF58-4817-4F30-8432-EBE55DF5237E}"/>
    <cellStyle name="Normal 5 3 3 2 3 6 4" xfId="11104" xr:uid="{12BC5637-6641-44D9-99DB-57AC0A0E3CEE}"/>
    <cellStyle name="Normal 5 3 3 2 3 7" xfId="4818" xr:uid="{00000000-0005-0000-0000-0000B2190000}"/>
    <cellStyle name="Normal 5 3 3 2 3 7 2" xfId="21690" xr:uid="{A1E7C9EC-38FC-4B9B-8EA1-21C358283739}"/>
    <cellStyle name="Normal 5 3 3 2 3 7 3" xfId="13256" xr:uid="{585C168D-8E1B-42A9-A222-EAE4DCF23245}"/>
    <cellStyle name="Normal 5 3 3 2 3 8" xfId="17473" xr:uid="{E28E88D5-135D-4BBF-BCED-BB7317EA4447}"/>
    <cellStyle name="Normal 5 3 3 2 3 9" xfId="9039" xr:uid="{94397E95-A154-42B5-830D-5A0AE2FBE51C}"/>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24245" xr:uid="{EBBDC938-C926-450C-8E04-0ED398F9AEF3}"/>
    <cellStyle name="Normal 5 3 3 2 4 2 2 3" xfId="15811" xr:uid="{22932491-9330-492E-BBD8-134A7D18EDD5}"/>
    <cellStyle name="Normal 5 3 3 2 4 2 3" xfId="20028" xr:uid="{5E7B23A7-4CA1-4BE3-B901-F1D976B00939}"/>
    <cellStyle name="Normal 5 3 3 2 4 2 4" xfId="11594" xr:uid="{5A119E40-E889-45B8-9575-FB4D91DA0596}"/>
    <cellStyle name="Normal 5 3 3 2 4 3" xfId="5228" xr:uid="{00000000-0005-0000-0000-0000B6190000}"/>
    <cellStyle name="Normal 5 3 3 2 4 3 2" xfId="22100" xr:uid="{66123123-C923-40CE-9AAE-83DA6F348E61}"/>
    <cellStyle name="Normal 5 3 3 2 4 3 3" xfId="13666" xr:uid="{D91D64CE-021E-4DAD-8CCD-EE7201207A46}"/>
    <cellStyle name="Normal 5 3 3 2 4 4" xfId="17883" xr:uid="{CB9C00D1-C7C6-4747-9DD7-77F178FB59E0}"/>
    <cellStyle name="Normal 5 3 3 2 4 5" xfId="9449" xr:uid="{DA099C6A-7C6E-4C16-A091-3746D4D92ACB}"/>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24658" xr:uid="{9322B61F-3AE8-41CC-94B6-CF61B507AACB}"/>
    <cellStyle name="Normal 5 3 3 2 5 2 2 3" xfId="16224" xr:uid="{EA6E6B80-F378-4054-8FB0-8754188CF5DC}"/>
    <cellStyle name="Normal 5 3 3 2 5 2 3" xfId="20441" xr:uid="{412BD694-2389-4B6E-858A-0938A88DC17E}"/>
    <cellStyle name="Normal 5 3 3 2 5 2 4" xfId="12007" xr:uid="{B12CEA33-6C2F-4FFB-9774-3C0A8B3E7F30}"/>
    <cellStyle name="Normal 5 3 3 2 5 3" xfId="5641" xr:uid="{00000000-0005-0000-0000-0000BA190000}"/>
    <cellStyle name="Normal 5 3 3 2 5 3 2" xfId="22513" xr:uid="{684E98F3-0D51-4B55-96B8-43326103D366}"/>
    <cellStyle name="Normal 5 3 3 2 5 3 3" xfId="14079" xr:uid="{16C7A31B-8861-4236-B99B-F5C02F371817}"/>
    <cellStyle name="Normal 5 3 3 2 5 4" xfId="18296" xr:uid="{F25C0AA3-03A2-4024-BCA8-2AAE373A5085}"/>
    <cellStyle name="Normal 5 3 3 2 5 5" xfId="9862" xr:uid="{C8A61186-5C49-4173-AD7B-498DAAD9821B}"/>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25071" xr:uid="{6D94B08E-7011-4A8F-81A7-B36CC1CE8BC6}"/>
    <cellStyle name="Normal 5 3 3 2 6 2 2 3" xfId="16637" xr:uid="{96C17D6C-E117-4A4D-AB77-29C6E14763C2}"/>
    <cellStyle name="Normal 5 3 3 2 6 2 3" xfId="20854" xr:uid="{F985705F-F812-4BBF-89D0-0FBEB17C7717}"/>
    <cellStyle name="Normal 5 3 3 2 6 2 4" xfId="12420" xr:uid="{3F0E301A-BC17-41F7-AD87-82CCECF2085C}"/>
    <cellStyle name="Normal 5 3 3 2 6 3" xfId="6054" xr:uid="{00000000-0005-0000-0000-0000BE190000}"/>
    <cellStyle name="Normal 5 3 3 2 6 3 2" xfId="22926" xr:uid="{526D3A6A-BB8E-42DC-8AB3-F3DE6E362E72}"/>
    <cellStyle name="Normal 5 3 3 2 6 3 3" xfId="14492" xr:uid="{203804B0-D696-4B57-AFDD-385FFE5AF5B4}"/>
    <cellStyle name="Normal 5 3 3 2 6 4" xfId="18709" xr:uid="{1A6835C6-128C-4758-9DDC-962D2D034D4E}"/>
    <cellStyle name="Normal 5 3 3 2 6 5" xfId="10275" xr:uid="{16449B49-9630-400D-80A2-A2C8F900842C}"/>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25484" xr:uid="{A734BDF1-8ED8-450D-86C6-828220FCBA30}"/>
    <cellStyle name="Normal 5 3 3 2 7 2 2 3" xfId="17050" xr:uid="{E4C3F6A9-FDF9-48E3-AEA9-FD3ADD36D444}"/>
    <cellStyle name="Normal 5 3 3 2 7 2 3" xfId="21267" xr:uid="{923A941F-E728-468F-91CE-237ED8BF5A9F}"/>
    <cellStyle name="Normal 5 3 3 2 7 2 4" xfId="12833" xr:uid="{BA014F62-DD9D-418A-8646-41CF1A73D7B0}"/>
    <cellStyle name="Normal 5 3 3 2 7 3" xfId="6467" xr:uid="{00000000-0005-0000-0000-0000C2190000}"/>
    <cellStyle name="Normal 5 3 3 2 7 3 2" xfId="23339" xr:uid="{42F86288-844E-44BB-9EF2-48FB8E51C518}"/>
    <cellStyle name="Normal 5 3 3 2 7 3 3" xfId="14905" xr:uid="{45D13476-0D91-4A52-BCED-F23F6FB4C611}"/>
    <cellStyle name="Normal 5 3 3 2 7 4" xfId="19122" xr:uid="{47CD298F-5E5C-427C-8644-61299A09D2C1}"/>
    <cellStyle name="Normal 5 3 3 2 7 5" xfId="10688" xr:uid="{FE6F775C-37A9-423D-B9D4-E62A4FDBFFBE}"/>
    <cellStyle name="Normal 5 3 3 2 8" xfId="2596" xr:uid="{00000000-0005-0000-0000-0000C3190000}"/>
    <cellStyle name="Normal 5 3 3 2 8 2" xfId="6880" xr:uid="{00000000-0005-0000-0000-0000C4190000}"/>
    <cellStyle name="Normal 5 3 3 2 8 2 2" xfId="23752" xr:uid="{52DEE7D5-BC8E-496B-8E56-6F60BD6AE9A7}"/>
    <cellStyle name="Normal 5 3 3 2 8 2 3" xfId="15318" xr:uid="{B60DB69D-5250-47AB-960F-6211ABD0DB87}"/>
    <cellStyle name="Normal 5 3 3 2 8 3" xfId="19535" xr:uid="{F10C8438-696C-4284-9754-D1849B126ED3}"/>
    <cellStyle name="Normal 5 3 3 2 8 4" xfId="11101" xr:uid="{B09F45B4-A69A-4169-8794-26F335CBEEBD}"/>
    <cellStyle name="Normal 5 3 3 2 9" xfId="4815" xr:uid="{00000000-0005-0000-0000-0000C5190000}"/>
    <cellStyle name="Normal 5 3 3 2 9 2" xfId="21687" xr:uid="{B75B2926-56B2-4EA5-A912-042BADE00322}"/>
    <cellStyle name="Normal 5 3 3 2 9 3" xfId="13253" xr:uid="{CBD22F3D-46CB-459B-9D10-CC1C4A047F0A}"/>
    <cellStyle name="Normal 5 3 3 3" xfId="446" xr:uid="{00000000-0005-0000-0000-0000C6190000}"/>
    <cellStyle name="Normal 5 3 3 3 10" xfId="9040" xr:uid="{0BE7A622-985F-448F-ADE8-57F293C848FA}"/>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24250" xr:uid="{5E45990E-3D8F-45B9-9F7F-6D7BFE2F6259}"/>
    <cellStyle name="Normal 5 3 3 3 2 2 2 2 3" xfId="15816" xr:uid="{7E923C22-6159-4390-ADE7-33AE144F3A85}"/>
    <cellStyle name="Normal 5 3 3 3 2 2 2 3" xfId="20033" xr:uid="{849B83BE-0DA2-4111-9035-C83C795C2692}"/>
    <cellStyle name="Normal 5 3 3 3 2 2 2 4" xfId="11599" xr:uid="{F346EA6D-DEAA-46CA-B86B-626EAC3E2E0B}"/>
    <cellStyle name="Normal 5 3 3 3 2 2 3" xfId="5233" xr:uid="{00000000-0005-0000-0000-0000CB190000}"/>
    <cellStyle name="Normal 5 3 3 3 2 2 3 2" xfId="22105" xr:uid="{2B749277-4873-4C28-9001-AA6F0C36D8E9}"/>
    <cellStyle name="Normal 5 3 3 3 2 2 3 3" xfId="13671" xr:uid="{FFF4D1FB-BADB-4D47-BB23-8355FEF44492}"/>
    <cellStyle name="Normal 5 3 3 3 2 2 4" xfId="17888" xr:uid="{1F7EA454-69C5-4D2F-8059-1812A1F5E022}"/>
    <cellStyle name="Normal 5 3 3 3 2 2 5" xfId="9454" xr:uid="{D123BF3A-81AF-454F-BDD7-CDC46C4D2934}"/>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24663" xr:uid="{F201A7D0-91D8-421D-B085-932F8CDD4F81}"/>
    <cellStyle name="Normal 5 3 3 3 2 3 2 2 3" xfId="16229" xr:uid="{B94746D4-003C-48B8-A962-6FDDAAFE33A3}"/>
    <cellStyle name="Normal 5 3 3 3 2 3 2 3" xfId="20446" xr:uid="{7805D355-EA8C-4E44-8876-AF826FC6A76B}"/>
    <cellStyle name="Normal 5 3 3 3 2 3 2 4" xfId="12012" xr:uid="{3F01005A-3A2F-415F-B707-012EA7A3FA4D}"/>
    <cellStyle name="Normal 5 3 3 3 2 3 3" xfId="5646" xr:uid="{00000000-0005-0000-0000-0000CF190000}"/>
    <cellStyle name="Normal 5 3 3 3 2 3 3 2" xfId="22518" xr:uid="{4A80F796-DE36-4F8A-937D-9270B68E5674}"/>
    <cellStyle name="Normal 5 3 3 3 2 3 3 3" xfId="14084" xr:uid="{8DC3C1AD-1433-41C9-87C9-D6E798127C33}"/>
    <cellStyle name="Normal 5 3 3 3 2 3 4" xfId="18301" xr:uid="{7A6A2155-0DB9-4732-AFA5-9A9965D5E269}"/>
    <cellStyle name="Normal 5 3 3 3 2 3 5" xfId="9867" xr:uid="{5D967966-C6AA-49B7-830B-DA2DC77AC972}"/>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25076" xr:uid="{60F55A91-DB56-4DE8-B685-D6B33E5D9E45}"/>
    <cellStyle name="Normal 5 3 3 3 2 4 2 2 3" xfId="16642" xr:uid="{AB38B233-30CE-4E6B-9BF3-A9B5A517E7CC}"/>
    <cellStyle name="Normal 5 3 3 3 2 4 2 3" xfId="20859" xr:uid="{737339C2-432A-4525-A6B2-4F45861D34C0}"/>
    <cellStyle name="Normal 5 3 3 3 2 4 2 4" xfId="12425" xr:uid="{F2C30E75-0C09-4899-9454-3B32845055AF}"/>
    <cellStyle name="Normal 5 3 3 3 2 4 3" xfId="6059" xr:uid="{00000000-0005-0000-0000-0000D3190000}"/>
    <cellStyle name="Normal 5 3 3 3 2 4 3 2" xfId="22931" xr:uid="{B9F7A706-FDDB-43D4-8EB8-F336121515E1}"/>
    <cellStyle name="Normal 5 3 3 3 2 4 3 3" xfId="14497" xr:uid="{C8EDA08F-2D9A-48CC-910D-733E3EA40A6F}"/>
    <cellStyle name="Normal 5 3 3 3 2 4 4" xfId="18714" xr:uid="{4789E139-23A3-47F7-8DB5-120AFF1144EB}"/>
    <cellStyle name="Normal 5 3 3 3 2 4 5" xfId="10280" xr:uid="{8163D5D9-1E03-4431-A47A-755C0AC6630D}"/>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25489" xr:uid="{64DD1D26-0432-48EA-A007-A96F5AECB4D7}"/>
    <cellStyle name="Normal 5 3 3 3 2 5 2 2 3" xfId="17055" xr:uid="{24F934A7-C564-47B4-AF8A-FBC50DAFE7A9}"/>
    <cellStyle name="Normal 5 3 3 3 2 5 2 3" xfId="21272" xr:uid="{64D28188-613F-441C-8544-4209D871F0B1}"/>
    <cellStyle name="Normal 5 3 3 3 2 5 2 4" xfId="12838" xr:uid="{6B39A440-08D7-427E-A3EC-9FD1AFABB0BE}"/>
    <cellStyle name="Normal 5 3 3 3 2 5 3" xfId="6472" xr:uid="{00000000-0005-0000-0000-0000D7190000}"/>
    <cellStyle name="Normal 5 3 3 3 2 5 3 2" xfId="23344" xr:uid="{71912192-C228-4020-AD67-9EA1F9CC6879}"/>
    <cellStyle name="Normal 5 3 3 3 2 5 3 3" xfId="14910" xr:uid="{AA4230BB-1898-4037-9FA5-5E7683A2AA80}"/>
    <cellStyle name="Normal 5 3 3 3 2 5 4" xfId="19127" xr:uid="{4562DEA0-8E33-4C18-A9F5-C49161F877E1}"/>
    <cellStyle name="Normal 5 3 3 3 2 5 5" xfId="10693" xr:uid="{021F7DB6-0860-44E3-A9C3-2AF8690382F0}"/>
    <cellStyle name="Normal 5 3 3 3 2 6" xfId="2601" xr:uid="{00000000-0005-0000-0000-0000D8190000}"/>
    <cellStyle name="Normal 5 3 3 3 2 6 2" xfId="6885" xr:uid="{00000000-0005-0000-0000-0000D9190000}"/>
    <cellStyle name="Normal 5 3 3 3 2 6 2 2" xfId="23757" xr:uid="{6C7AD3DA-0578-4482-8D2D-0DBC1FCD2E05}"/>
    <cellStyle name="Normal 5 3 3 3 2 6 2 3" xfId="15323" xr:uid="{B1F7E43A-94A5-46E6-923F-48B18EEA313C}"/>
    <cellStyle name="Normal 5 3 3 3 2 6 3" xfId="19540" xr:uid="{06AB1E98-55DF-4701-A86B-21D0C0D46417}"/>
    <cellStyle name="Normal 5 3 3 3 2 6 4" xfId="11106" xr:uid="{9534812F-7071-4BA5-83B5-EABCA2CF2F79}"/>
    <cellStyle name="Normal 5 3 3 3 2 7" xfId="4820" xr:uid="{00000000-0005-0000-0000-0000DA190000}"/>
    <cellStyle name="Normal 5 3 3 3 2 7 2" xfId="21692" xr:uid="{4F118229-243D-462A-9139-79716EE1F352}"/>
    <cellStyle name="Normal 5 3 3 3 2 7 3" xfId="13258" xr:uid="{ED91D42E-2D44-4A0B-9418-9717D5AC3F54}"/>
    <cellStyle name="Normal 5 3 3 3 2 8" xfId="17475" xr:uid="{5B7593BD-8419-483A-A2EB-1B7D06E353AF}"/>
    <cellStyle name="Normal 5 3 3 3 2 9" xfId="9041" xr:uid="{34937057-A0D4-43FB-AB94-BE8716312696}"/>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24249" xr:uid="{41FE1881-77A9-4EA4-AE0C-146F691BCC83}"/>
    <cellStyle name="Normal 5 3 3 3 3 2 2 3" xfId="15815" xr:uid="{ACB76CC7-63EA-4880-9269-C6EABD641998}"/>
    <cellStyle name="Normal 5 3 3 3 3 2 3" xfId="20032" xr:uid="{D56D9160-B514-43D5-8A13-DE0EC3E3D23A}"/>
    <cellStyle name="Normal 5 3 3 3 3 2 4" xfId="11598" xr:uid="{AD29CE85-0223-4378-B83E-CC2FC390E337}"/>
    <cellStyle name="Normal 5 3 3 3 3 3" xfId="5232" xr:uid="{00000000-0005-0000-0000-0000DE190000}"/>
    <cellStyle name="Normal 5 3 3 3 3 3 2" xfId="22104" xr:uid="{EA09D84C-3824-40B3-AC8F-48FD1C923067}"/>
    <cellStyle name="Normal 5 3 3 3 3 3 3" xfId="13670" xr:uid="{7E7AFA7E-0AA1-4CE7-8660-FE1C3C69D23D}"/>
    <cellStyle name="Normal 5 3 3 3 3 4" xfId="17887" xr:uid="{A33EFD30-B057-4B37-BC93-92593AAB19F4}"/>
    <cellStyle name="Normal 5 3 3 3 3 5" xfId="9453" xr:uid="{CD319127-46E7-4304-9DAA-47F2DFC2C51C}"/>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24662" xr:uid="{E0ECBD63-A05D-4F3E-96DE-CD0D35CE00F8}"/>
    <cellStyle name="Normal 5 3 3 3 4 2 2 3" xfId="16228" xr:uid="{3BBD2AD1-55DC-4D73-B868-C137488BEA7A}"/>
    <cellStyle name="Normal 5 3 3 3 4 2 3" xfId="20445" xr:uid="{7B34F134-5BD4-4B5F-A862-14FED29C4124}"/>
    <cellStyle name="Normal 5 3 3 3 4 2 4" xfId="12011" xr:uid="{CD35CC22-AD89-45D3-9C17-0D1429AE6C34}"/>
    <cellStyle name="Normal 5 3 3 3 4 3" xfId="5645" xr:uid="{00000000-0005-0000-0000-0000E2190000}"/>
    <cellStyle name="Normal 5 3 3 3 4 3 2" xfId="22517" xr:uid="{15A82DE5-908B-4373-BCF5-725AE415BA3F}"/>
    <cellStyle name="Normal 5 3 3 3 4 3 3" xfId="14083" xr:uid="{289E68E0-DC1C-48AA-80C8-0F1CE81202DE}"/>
    <cellStyle name="Normal 5 3 3 3 4 4" xfId="18300" xr:uid="{A16F8403-C56C-4BEE-846F-D470A7E75E4F}"/>
    <cellStyle name="Normal 5 3 3 3 4 5" xfId="9866" xr:uid="{0F9A0ADA-7D84-4B81-BFCC-C8E23D4C8878}"/>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25075" xr:uid="{D6340EDF-E74A-481A-9BDF-CF45757D91FA}"/>
    <cellStyle name="Normal 5 3 3 3 5 2 2 3" xfId="16641" xr:uid="{6403E1C7-F069-4DD1-A65F-F2354D885BB1}"/>
    <cellStyle name="Normal 5 3 3 3 5 2 3" xfId="20858" xr:uid="{018B60F2-4967-4E1A-99FA-B6260D619EE3}"/>
    <cellStyle name="Normal 5 3 3 3 5 2 4" xfId="12424" xr:uid="{8E6B07DD-F6FD-43BF-B85B-7A6DE12FC577}"/>
    <cellStyle name="Normal 5 3 3 3 5 3" xfId="6058" xr:uid="{00000000-0005-0000-0000-0000E6190000}"/>
    <cellStyle name="Normal 5 3 3 3 5 3 2" xfId="22930" xr:uid="{7106E8AC-9DD2-427A-B697-FEE793D7CA97}"/>
    <cellStyle name="Normal 5 3 3 3 5 3 3" xfId="14496" xr:uid="{8F605048-B1C4-437F-9E4E-BA4F59AE03C3}"/>
    <cellStyle name="Normal 5 3 3 3 5 4" xfId="18713" xr:uid="{5D9F4581-52F7-4471-A31C-79FD129E1713}"/>
    <cellStyle name="Normal 5 3 3 3 5 5" xfId="10279" xr:uid="{233E828D-D6EE-4D90-8B2D-71F556FE4C17}"/>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25488" xr:uid="{CCB861A5-2B2E-408D-A236-9250ADD3C39D}"/>
    <cellStyle name="Normal 5 3 3 3 6 2 2 3" xfId="17054" xr:uid="{DB0AFC48-C449-430B-82B7-9A6909EFE90F}"/>
    <cellStyle name="Normal 5 3 3 3 6 2 3" xfId="21271" xr:uid="{A28FF3C3-0281-4C7F-B47B-53E9BD25B2CF}"/>
    <cellStyle name="Normal 5 3 3 3 6 2 4" xfId="12837" xr:uid="{2FBB3FC8-10A4-40BF-8598-702B4AAFB215}"/>
    <cellStyle name="Normal 5 3 3 3 6 3" xfId="6471" xr:uid="{00000000-0005-0000-0000-0000EA190000}"/>
    <cellStyle name="Normal 5 3 3 3 6 3 2" xfId="23343" xr:uid="{C0AA2D05-1F18-4866-9780-A613A4006162}"/>
    <cellStyle name="Normal 5 3 3 3 6 3 3" xfId="14909" xr:uid="{D1ED8688-C5C4-4E04-9868-8BCCECC3F971}"/>
    <cellStyle name="Normal 5 3 3 3 6 4" xfId="19126" xr:uid="{F6F01EA0-9181-43FB-86F1-60B2C27B0E97}"/>
    <cellStyle name="Normal 5 3 3 3 6 5" xfId="10692" xr:uid="{06DD57AC-9C7C-4E3A-87B9-D03279E8DDF3}"/>
    <cellStyle name="Normal 5 3 3 3 7" xfId="2600" xr:uid="{00000000-0005-0000-0000-0000EB190000}"/>
    <cellStyle name="Normal 5 3 3 3 7 2" xfId="6884" xr:uid="{00000000-0005-0000-0000-0000EC190000}"/>
    <cellStyle name="Normal 5 3 3 3 7 2 2" xfId="23756" xr:uid="{DA7C911D-B349-44A9-A35B-89DC2F7AE811}"/>
    <cellStyle name="Normal 5 3 3 3 7 2 3" xfId="15322" xr:uid="{3DA5606B-5E54-4608-9C20-40C36925FBB3}"/>
    <cellStyle name="Normal 5 3 3 3 7 3" xfId="19539" xr:uid="{464BB454-8E66-4D73-A62E-C1DD6403E507}"/>
    <cellStyle name="Normal 5 3 3 3 7 4" xfId="11105" xr:uid="{9CDE0B74-5D4C-464F-994E-511D20DC4B7E}"/>
    <cellStyle name="Normal 5 3 3 3 8" xfId="4819" xr:uid="{00000000-0005-0000-0000-0000ED190000}"/>
    <cellStyle name="Normal 5 3 3 3 8 2" xfId="21691" xr:uid="{00DF2969-AAF1-457E-98C6-528BF764BBEB}"/>
    <cellStyle name="Normal 5 3 3 3 8 3" xfId="13257" xr:uid="{46593D96-F2EC-4677-BAE0-9504B6306D00}"/>
    <cellStyle name="Normal 5 3 3 3 9" xfId="17474" xr:uid="{FF28F64E-D77E-4DF3-B8E3-B212C4F59B5E}"/>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24251" xr:uid="{900B48D2-84DC-42D8-8F88-5840C3C27783}"/>
    <cellStyle name="Normal 5 3 3 4 2 2 2 3" xfId="15817" xr:uid="{5AABD8A4-DCC8-41E0-921C-0794B443250F}"/>
    <cellStyle name="Normal 5 3 3 4 2 2 3" xfId="20034" xr:uid="{1D6869B7-9F19-4965-9203-1F438FAA723E}"/>
    <cellStyle name="Normal 5 3 3 4 2 2 4" xfId="11600" xr:uid="{A0974DC1-E4DA-4BA9-A7B2-7C7D700C0549}"/>
    <cellStyle name="Normal 5 3 3 4 2 3" xfId="5234" xr:uid="{00000000-0005-0000-0000-0000F2190000}"/>
    <cellStyle name="Normal 5 3 3 4 2 3 2" xfId="22106" xr:uid="{AC5DB486-98DA-4985-A0F9-0C21E817A84F}"/>
    <cellStyle name="Normal 5 3 3 4 2 3 3" xfId="13672" xr:uid="{3BB75184-303B-472F-9E91-519202A6ADD4}"/>
    <cellStyle name="Normal 5 3 3 4 2 4" xfId="17889" xr:uid="{B1633E94-F8CF-42C2-B83B-99C2C021AF27}"/>
    <cellStyle name="Normal 5 3 3 4 2 5" xfId="9455" xr:uid="{D64A953D-283E-4D82-887C-7C52226A4D4B}"/>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24664" xr:uid="{A2AE12AC-DC1B-48C6-9431-FB0F925E54A4}"/>
    <cellStyle name="Normal 5 3 3 4 3 2 2 3" xfId="16230" xr:uid="{EF737533-C150-4DE4-B82E-552D110045EF}"/>
    <cellStyle name="Normal 5 3 3 4 3 2 3" xfId="20447" xr:uid="{FCBCDDF2-41EF-4466-BFAF-BC6004F6479B}"/>
    <cellStyle name="Normal 5 3 3 4 3 2 4" xfId="12013" xr:uid="{B1E3B58B-A3C3-4606-B794-628B6B40622E}"/>
    <cellStyle name="Normal 5 3 3 4 3 3" xfId="5647" xr:uid="{00000000-0005-0000-0000-0000F6190000}"/>
    <cellStyle name="Normal 5 3 3 4 3 3 2" xfId="22519" xr:uid="{B3D19613-32CB-49B9-85FE-032F1A987906}"/>
    <cellStyle name="Normal 5 3 3 4 3 3 3" xfId="14085" xr:uid="{9ABDB4A7-7602-47A2-BA62-61B7B29B6B99}"/>
    <cellStyle name="Normal 5 3 3 4 3 4" xfId="18302" xr:uid="{4C7F7BA3-9E65-4332-8701-B63C57F7B8E4}"/>
    <cellStyle name="Normal 5 3 3 4 3 5" xfId="9868" xr:uid="{06366C25-FFD5-4111-A7F3-C8C81942AA5B}"/>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25077" xr:uid="{1CBAF58F-9525-47A1-905E-3C7E860066EC}"/>
    <cellStyle name="Normal 5 3 3 4 4 2 2 3" xfId="16643" xr:uid="{BB5361AF-A5AF-42B6-BBD3-2C2E9055B87D}"/>
    <cellStyle name="Normal 5 3 3 4 4 2 3" xfId="20860" xr:uid="{DA484AB8-7501-406F-BFA3-0B6AB98123F5}"/>
    <cellStyle name="Normal 5 3 3 4 4 2 4" xfId="12426" xr:uid="{ABA3801A-10E5-4B8B-82A1-869F3EBAD25D}"/>
    <cellStyle name="Normal 5 3 3 4 4 3" xfId="6060" xr:uid="{00000000-0005-0000-0000-0000FA190000}"/>
    <cellStyle name="Normal 5 3 3 4 4 3 2" xfId="22932" xr:uid="{04327A7A-1377-4031-BF94-0AC5A2640782}"/>
    <cellStyle name="Normal 5 3 3 4 4 3 3" xfId="14498" xr:uid="{F22C202E-C6F5-4953-9F27-CBDD37DF6568}"/>
    <cellStyle name="Normal 5 3 3 4 4 4" xfId="18715" xr:uid="{746E11F7-633A-43B6-BC06-67D9BB25DE57}"/>
    <cellStyle name="Normal 5 3 3 4 4 5" xfId="10281" xr:uid="{997B726A-9794-4D30-B441-798BF6C3FE58}"/>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25490" xr:uid="{6FEF24C1-0507-4B32-BD13-BCE2E61A040E}"/>
    <cellStyle name="Normal 5 3 3 4 5 2 2 3" xfId="17056" xr:uid="{2DB93B34-B101-4935-B55D-A15047645DCE}"/>
    <cellStyle name="Normal 5 3 3 4 5 2 3" xfId="21273" xr:uid="{A4AACB12-EDC0-4BA5-B25B-6F26000EDE0F}"/>
    <cellStyle name="Normal 5 3 3 4 5 2 4" xfId="12839" xr:uid="{066C3AC4-F3DA-4E80-8E54-E790D82CB7DC}"/>
    <cellStyle name="Normal 5 3 3 4 5 3" xfId="6473" xr:uid="{00000000-0005-0000-0000-0000FE190000}"/>
    <cellStyle name="Normal 5 3 3 4 5 3 2" xfId="23345" xr:uid="{A91C489B-C700-4B3C-9BEB-0353CBD8C60A}"/>
    <cellStyle name="Normal 5 3 3 4 5 3 3" xfId="14911" xr:uid="{848F3E64-C5DD-469D-902F-965C165BB9B9}"/>
    <cellStyle name="Normal 5 3 3 4 5 4" xfId="19128" xr:uid="{60CBFFE1-EBA4-4C74-A42A-BDF5E3A8C0C0}"/>
    <cellStyle name="Normal 5 3 3 4 5 5" xfId="10694" xr:uid="{4CB120D5-FBCC-4611-B2FE-4B72A4FAC1BD}"/>
    <cellStyle name="Normal 5 3 3 4 6" xfId="2602" xr:uid="{00000000-0005-0000-0000-0000FF190000}"/>
    <cellStyle name="Normal 5 3 3 4 6 2" xfId="6886" xr:uid="{00000000-0005-0000-0000-0000001A0000}"/>
    <cellStyle name="Normal 5 3 3 4 6 2 2" xfId="23758" xr:uid="{767CB5BF-DFB7-41DE-99C1-26E52B18F05C}"/>
    <cellStyle name="Normal 5 3 3 4 6 2 3" xfId="15324" xr:uid="{D059FEE2-0CE2-49DF-89FF-1682AA1DE722}"/>
    <cellStyle name="Normal 5 3 3 4 6 3" xfId="19541" xr:uid="{4CBD4F5E-DC2E-4CF9-96CD-263661AB60D6}"/>
    <cellStyle name="Normal 5 3 3 4 6 4" xfId="11107" xr:uid="{0FC5B01F-82C1-48A6-A3D9-A19375B3C51C}"/>
    <cellStyle name="Normal 5 3 3 4 7" xfId="4821" xr:uid="{00000000-0005-0000-0000-0000011A0000}"/>
    <cellStyle name="Normal 5 3 3 4 7 2" xfId="21693" xr:uid="{7F142C22-44F3-4B22-9EC4-A2527DBF1B65}"/>
    <cellStyle name="Normal 5 3 3 4 7 3" xfId="13259" xr:uid="{2DF564EE-3296-4CE8-B845-BC2BF81028DF}"/>
    <cellStyle name="Normal 5 3 3 4 8" xfId="17476" xr:uid="{2A938209-58E4-4EE6-9E2E-DFD81FCF72BB}"/>
    <cellStyle name="Normal 5 3 3 4 9" xfId="9042" xr:uid="{11F296FD-18E8-4E63-B60B-1E6FDCA831FD}"/>
    <cellStyle name="Normal 5 3 3 5" xfId="915" xr:uid="{00000000-0005-0000-0000-0000021A0000}"/>
    <cellStyle name="Normal 5 3 3 5 2" xfId="3149" xr:uid="{00000000-0005-0000-0000-0000031A0000}"/>
    <cellStyle name="Normal 5 3 3 5 2 2" xfId="7372" xr:uid="{00000000-0005-0000-0000-0000041A0000}"/>
    <cellStyle name="Normal 5 3 3 5 2 2 2" xfId="24244" xr:uid="{6971BCA9-D05F-488C-8763-7A472FB5228E}"/>
    <cellStyle name="Normal 5 3 3 5 2 2 3" xfId="15810" xr:uid="{990EF019-302F-4BAE-B635-34DB5FFB9020}"/>
    <cellStyle name="Normal 5 3 3 5 2 3" xfId="20027" xr:uid="{E8A81157-6BEB-4AF6-AE48-8BE087C9F8E1}"/>
    <cellStyle name="Normal 5 3 3 5 2 4" xfId="11593" xr:uid="{2FECBAA3-5B4D-4604-B779-8CBB6BBB104E}"/>
    <cellStyle name="Normal 5 3 3 5 3" xfId="5227" xr:uid="{00000000-0005-0000-0000-0000051A0000}"/>
    <cellStyle name="Normal 5 3 3 5 3 2" xfId="22099" xr:uid="{0BFC9114-FBFD-4115-8894-0854066B7F40}"/>
    <cellStyle name="Normal 5 3 3 5 3 3" xfId="13665" xr:uid="{37146BEA-FDC3-4192-83FB-7D21EC548A5D}"/>
    <cellStyle name="Normal 5 3 3 5 4" xfId="17882" xr:uid="{19DEA208-7306-4AA8-BC70-5A01A54E2059}"/>
    <cellStyle name="Normal 5 3 3 5 5" xfId="9448" xr:uid="{7C658EFE-31FF-47BE-B084-D3122BF2F232}"/>
    <cellStyle name="Normal 5 3 3 6" xfId="1332" xr:uid="{00000000-0005-0000-0000-0000061A0000}"/>
    <cellStyle name="Normal 5 3 3 6 2" xfId="3562" xr:uid="{00000000-0005-0000-0000-0000071A0000}"/>
    <cellStyle name="Normal 5 3 3 6 2 2" xfId="7785" xr:uid="{00000000-0005-0000-0000-0000081A0000}"/>
    <cellStyle name="Normal 5 3 3 6 2 2 2" xfId="24657" xr:uid="{D35374C9-B8AE-49CF-9BAA-4EE7939BA3E0}"/>
    <cellStyle name="Normal 5 3 3 6 2 2 3" xfId="16223" xr:uid="{80CA18DD-16CB-44B7-8701-7C835615150E}"/>
    <cellStyle name="Normal 5 3 3 6 2 3" xfId="20440" xr:uid="{D085CA4B-0AFC-451A-8705-0326E65A673E}"/>
    <cellStyle name="Normal 5 3 3 6 2 4" xfId="12006" xr:uid="{063A2E97-EAED-49C1-B45F-8096CD7F6715}"/>
    <cellStyle name="Normal 5 3 3 6 3" xfId="5640" xr:uid="{00000000-0005-0000-0000-0000091A0000}"/>
    <cellStyle name="Normal 5 3 3 6 3 2" xfId="22512" xr:uid="{84D73B47-661E-4279-9F4C-6951E4278BBA}"/>
    <cellStyle name="Normal 5 3 3 6 3 3" xfId="14078" xr:uid="{FB646721-5A53-4FA0-BAAE-A56147418BC5}"/>
    <cellStyle name="Normal 5 3 3 6 4" xfId="18295" xr:uid="{E1CF9BF2-0071-4D5E-98C0-9D26627CC8EC}"/>
    <cellStyle name="Normal 5 3 3 6 5" xfId="9861" xr:uid="{4043DA15-0565-450A-BD4B-93BDA70ED3FB}"/>
    <cellStyle name="Normal 5 3 3 7" xfId="1745" xr:uid="{00000000-0005-0000-0000-00000A1A0000}"/>
    <cellStyle name="Normal 5 3 3 7 2" xfId="3975" xr:uid="{00000000-0005-0000-0000-00000B1A0000}"/>
    <cellStyle name="Normal 5 3 3 7 2 2" xfId="8198" xr:uid="{00000000-0005-0000-0000-00000C1A0000}"/>
    <cellStyle name="Normal 5 3 3 7 2 2 2" xfId="25070" xr:uid="{2E3A8766-322E-451C-85AF-62ADE0CD0BBC}"/>
    <cellStyle name="Normal 5 3 3 7 2 2 3" xfId="16636" xr:uid="{FB3402F8-AF8B-4CC8-A284-B25B1E22C1F0}"/>
    <cellStyle name="Normal 5 3 3 7 2 3" xfId="20853" xr:uid="{2B8882E4-1CA9-4EE0-B133-4B7599D60954}"/>
    <cellStyle name="Normal 5 3 3 7 2 4" xfId="12419" xr:uid="{D570881E-9235-4BE7-B3B6-B0B451419BC7}"/>
    <cellStyle name="Normal 5 3 3 7 3" xfId="6053" xr:uid="{00000000-0005-0000-0000-00000D1A0000}"/>
    <cellStyle name="Normal 5 3 3 7 3 2" xfId="22925" xr:uid="{4A626655-0E36-491A-AFA1-41A8105B4675}"/>
    <cellStyle name="Normal 5 3 3 7 3 3" xfId="14491" xr:uid="{29DCB3C7-9FA2-44D6-9F2F-B574405C5005}"/>
    <cellStyle name="Normal 5 3 3 7 4" xfId="18708" xr:uid="{862325FC-5D00-4477-BD9F-4900F069D616}"/>
    <cellStyle name="Normal 5 3 3 7 5" xfId="10274" xr:uid="{83EBEF2E-FA79-4DBC-ACA8-E0CD9BDBA43D}"/>
    <cellStyle name="Normal 5 3 3 8" xfId="2159" xr:uid="{00000000-0005-0000-0000-00000E1A0000}"/>
    <cellStyle name="Normal 5 3 3 8 2" xfId="4388" xr:uid="{00000000-0005-0000-0000-00000F1A0000}"/>
    <cellStyle name="Normal 5 3 3 8 2 2" xfId="8611" xr:uid="{00000000-0005-0000-0000-0000101A0000}"/>
    <cellStyle name="Normal 5 3 3 8 2 2 2" xfId="25483" xr:uid="{AFDD0C2F-44BD-4A75-B49B-0FA803185E4C}"/>
    <cellStyle name="Normal 5 3 3 8 2 2 3" xfId="17049" xr:uid="{41035048-C13A-4EDB-A162-141ECDE8ED61}"/>
    <cellStyle name="Normal 5 3 3 8 2 3" xfId="21266" xr:uid="{543D7FE8-AF75-4150-8824-F50EC29EBB05}"/>
    <cellStyle name="Normal 5 3 3 8 2 4" xfId="12832" xr:uid="{9559E7D8-DADE-4139-843E-024CB3E01C7F}"/>
    <cellStyle name="Normal 5 3 3 8 3" xfId="6466" xr:uid="{00000000-0005-0000-0000-0000111A0000}"/>
    <cellStyle name="Normal 5 3 3 8 3 2" xfId="23338" xr:uid="{792F7E85-DB2E-48BB-8275-E46F7974B848}"/>
    <cellStyle name="Normal 5 3 3 8 3 3" xfId="14904" xr:uid="{08DD9D95-EF17-47E1-AA9D-2101B525C2E7}"/>
    <cellStyle name="Normal 5 3 3 8 4" xfId="19121" xr:uid="{8FC7FD20-A485-4108-AF17-016077D3F017}"/>
    <cellStyle name="Normal 5 3 3 8 5" xfId="10687" xr:uid="{67BE2112-8318-4431-B33F-F6A59630EC52}"/>
    <cellStyle name="Normal 5 3 3 9" xfId="2595" xr:uid="{00000000-0005-0000-0000-0000121A0000}"/>
    <cellStyle name="Normal 5 3 3 9 2" xfId="6879" xr:uid="{00000000-0005-0000-0000-0000131A0000}"/>
    <cellStyle name="Normal 5 3 3 9 2 2" xfId="23751" xr:uid="{10FB7984-4BF8-41F8-B04C-90B929CB7D08}"/>
    <cellStyle name="Normal 5 3 3 9 2 3" xfId="15317" xr:uid="{D09E9C33-53B7-41C5-BF89-336D332BCE89}"/>
    <cellStyle name="Normal 5 3 3 9 3" xfId="19534" xr:uid="{C64DFC33-F76C-46CD-A3FB-B557A32B020C}"/>
    <cellStyle name="Normal 5 3 3 9 4" xfId="11100" xr:uid="{D03C7B72-4B13-43FF-954D-73A4D45D2980}"/>
    <cellStyle name="Normal 5 3 4" xfId="449" xr:uid="{00000000-0005-0000-0000-0000141A0000}"/>
    <cellStyle name="Normal 5 3 4 10" xfId="17477" xr:uid="{6734C313-D497-4416-B608-C95DA49EF08C}"/>
    <cellStyle name="Normal 5 3 4 11" xfId="9043" xr:uid="{E7A08559-88A9-42A0-A5A0-2BB3CC9189C8}"/>
    <cellStyle name="Normal 5 3 4 2" xfId="450" xr:uid="{00000000-0005-0000-0000-0000151A0000}"/>
    <cellStyle name="Normal 5 3 4 2 10" xfId="9044" xr:uid="{E6A5E7DD-8EC5-4697-A363-68BC439BE25D}"/>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24254" xr:uid="{17061F05-AB4C-45EF-B1DD-86810BE5B1BD}"/>
    <cellStyle name="Normal 5 3 4 2 2 2 2 2 3" xfId="15820" xr:uid="{C68D24FE-53F8-4477-A6EA-364EB02FCDEB}"/>
    <cellStyle name="Normal 5 3 4 2 2 2 2 3" xfId="20037" xr:uid="{82193A99-6CFE-48C6-9502-E47BF00A45BE}"/>
    <cellStyle name="Normal 5 3 4 2 2 2 2 4" xfId="11603" xr:uid="{C7CFBE7F-E7F3-428B-AD68-D577E85ADD56}"/>
    <cellStyle name="Normal 5 3 4 2 2 2 3" xfId="5237" xr:uid="{00000000-0005-0000-0000-00001A1A0000}"/>
    <cellStyle name="Normal 5 3 4 2 2 2 3 2" xfId="22109" xr:uid="{40816912-6BF0-4D82-93B3-78E9BC027432}"/>
    <cellStyle name="Normal 5 3 4 2 2 2 3 3" xfId="13675" xr:uid="{F97A430E-B7C1-4D4E-82E0-FDD9CFA616EF}"/>
    <cellStyle name="Normal 5 3 4 2 2 2 4" xfId="17892" xr:uid="{67E2C801-2B84-4EC8-A7AF-FE73F6014B48}"/>
    <cellStyle name="Normal 5 3 4 2 2 2 5" xfId="9458" xr:uid="{DBD9A643-890F-4BD1-8328-4E36EA23790D}"/>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24667" xr:uid="{C5F8BA01-4C37-4180-BC49-588E0F2362E8}"/>
    <cellStyle name="Normal 5 3 4 2 2 3 2 2 3" xfId="16233" xr:uid="{DE2207D0-648C-465F-B4E9-ABF20027D2FA}"/>
    <cellStyle name="Normal 5 3 4 2 2 3 2 3" xfId="20450" xr:uid="{EAE80D9F-C310-4E4F-B898-7D57C6A8A914}"/>
    <cellStyle name="Normal 5 3 4 2 2 3 2 4" xfId="12016" xr:uid="{79D6183F-475B-44D4-AF5A-A8CF3E8D0C5E}"/>
    <cellStyle name="Normal 5 3 4 2 2 3 3" xfId="5650" xr:uid="{00000000-0005-0000-0000-00001E1A0000}"/>
    <cellStyle name="Normal 5 3 4 2 2 3 3 2" xfId="22522" xr:uid="{6343429B-3230-4A14-BC98-673107D3E088}"/>
    <cellStyle name="Normal 5 3 4 2 2 3 3 3" xfId="14088" xr:uid="{F1A44D70-9629-44D8-B1F6-A38CCF9DBF3C}"/>
    <cellStyle name="Normal 5 3 4 2 2 3 4" xfId="18305" xr:uid="{859520C2-3577-4B7B-A08C-74ADB7554B72}"/>
    <cellStyle name="Normal 5 3 4 2 2 3 5" xfId="9871" xr:uid="{E3EEC72B-2EDE-4BC6-9132-9A9D1EE169BE}"/>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25080" xr:uid="{D4E8EEFB-134D-4BA2-9515-84698E020ED1}"/>
    <cellStyle name="Normal 5 3 4 2 2 4 2 2 3" xfId="16646" xr:uid="{EC759C77-7D4E-474F-90D5-5F8E45E40E49}"/>
    <cellStyle name="Normal 5 3 4 2 2 4 2 3" xfId="20863" xr:uid="{A6D8E933-87FE-4D7D-82CA-A25DB75E5C78}"/>
    <cellStyle name="Normal 5 3 4 2 2 4 2 4" xfId="12429" xr:uid="{76C48E6F-79A5-4A7C-9B37-4C9A951C085B}"/>
    <cellStyle name="Normal 5 3 4 2 2 4 3" xfId="6063" xr:uid="{00000000-0005-0000-0000-0000221A0000}"/>
    <cellStyle name="Normal 5 3 4 2 2 4 3 2" xfId="22935" xr:uid="{20BC3607-E57C-452D-B4E0-05589CFC35A1}"/>
    <cellStyle name="Normal 5 3 4 2 2 4 3 3" xfId="14501" xr:uid="{4EF91899-5698-4546-8FDB-E4D7AC1483B6}"/>
    <cellStyle name="Normal 5 3 4 2 2 4 4" xfId="18718" xr:uid="{6C181784-EE35-40F3-A4C5-74A9A5C3E3BE}"/>
    <cellStyle name="Normal 5 3 4 2 2 4 5" xfId="10284" xr:uid="{9FB22F20-03CD-4749-B3FC-CCF1E8CFE0EB}"/>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25493" xr:uid="{9FC7690A-6179-4EA6-B92D-97E6456B4CC3}"/>
    <cellStyle name="Normal 5 3 4 2 2 5 2 2 3" xfId="17059" xr:uid="{9DB2CC1E-E376-4132-AC99-467B7B162082}"/>
    <cellStyle name="Normal 5 3 4 2 2 5 2 3" xfId="21276" xr:uid="{3D8C5675-8803-44D8-8419-B41F3B263250}"/>
    <cellStyle name="Normal 5 3 4 2 2 5 2 4" xfId="12842" xr:uid="{C25F54C3-4572-4392-8B09-277D44CDF8FA}"/>
    <cellStyle name="Normal 5 3 4 2 2 5 3" xfId="6476" xr:uid="{00000000-0005-0000-0000-0000261A0000}"/>
    <cellStyle name="Normal 5 3 4 2 2 5 3 2" xfId="23348" xr:uid="{659ECFFF-AD0E-4F48-B446-2F5C25860D26}"/>
    <cellStyle name="Normal 5 3 4 2 2 5 3 3" xfId="14914" xr:uid="{F7F2C3B5-7773-4175-99FC-C3B93C712732}"/>
    <cellStyle name="Normal 5 3 4 2 2 5 4" xfId="19131" xr:uid="{7A82C430-0DC0-4FF4-B974-1C762BABD8B5}"/>
    <cellStyle name="Normal 5 3 4 2 2 5 5" xfId="10697" xr:uid="{FA5F2E7B-4871-4293-B8DE-AFCE394EDF1D}"/>
    <cellStyle name="Normal 5 3 4 2 2 6" xfId="2605" xr:uid="{00000000-0005-0000-0000-0000271A0000}"/>
    <cellStyle name="Normal 5 3 4 2 2 6 2" xfId="6889" xr:uid="{00000000-0005-0000-0000-0000281A0000}"/>
    <cellStyle name="Normal 5 3 4 2 2 6 2 2" xfId="23761" xr:uid="{65C56493-DCE9-4601-B93E-16A19AF6C6A7}"/>
    <cellStyle name="Normal 5 3 4 2 2 6 2 3" xfId="15327" xr:uid="{FF2D6864-C284-49A5-B29C-2F89506F24BD}"/>
    <cellStyle name="Normal 5 3 4 2 2 6 3" xfId="19544" xr:uid="{C0420E85-907F-4EBC-A62A-43A1911264E9}"/>
    <cellStyle name="Normal 5 3 4 2 2 6 4" xfId="11110" xr:uid="{A181945B-1CD7-4CFA-8F39-6EE317759D5B}"/>
    <cellStyle name="Normal 5 3 4 2 2 7" xfId="4824" xr:uid="{00000000-0005-0000-0000-0000291A0000}"/>
    <cellStyle name="Normal 5 3 4 2 2 7 2" xfId="21696" xr:uid="{7306DE8C-8465-48F8-812B-8554D7F07171}"/>
    <cellStyle name="Normal 5 3 4 2 2 7 3" xfId="13262" xr:uid="{BBCE4214-82DA-4AE6-9F89-929CA031CE8F}"/>
    <cellStyle name="Normal 5 3 4 2 2 8" xfId="17479" xr:uid="{E9EDFF4C-B595-466B-AC0E-8C48B46C69DD}"/>
    <cellStyle name="Normal 5 3 4 2 2 9" xfId="9045" xr:uid="{6CEB002F-4F5E-42DA-B444-465D8749A6C4}"/>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24253" xr:uid="{ECC11D7B-1807-4247-8F38-2CB9FFF02997}"/>
    <cellStyle name="Normal 5 3 4 2 3 2 2 3" xfId="15819" xr:uid="{1A4A7C8D-7A4F-4F5C-A9A0-831D0EEBD809}"/>
    <cellStyle name="Normal 5 3 4 2 3 2 3" xfId="20036" xr:uid="{9877D67D-9CBC-4FF6-9DF7-023532D91EA4}"/>
    <cellStyle name="Normal 5 3 4 2 3 2 4" xfId="11602" xr:uid="{495F2AC8-DD8C-48F5-B4E0-F5FFC107E0FD}"/>
    <cellStyle name="Normal 5 3 4 2 3 3" xfId="5236" xr:uid="{00000000-0005-0000-0000-00002D1A0000}"/>
    <cellStyle name="Normal 5 3 4 2 3 3 2" xfId="22108" xr:uid="{AACB85A0-17EC-4624-8A89-90AC9D897C08}"/>
    <cellStyle name="Normal 5 3 4 2 3 3 3" xfId="13674" xr:uid="{35F0CA60-068D-43F4-8F2C-27558EF31C8E}"/>
    <cellStyle name="Normal 5 3 4 2 3 4" xfId="17891" xr:uid="{AAC50865-D37C-408C-9BF4-D93D0122B661}"/>
    <cellStyle name="Normal 5 3 4 2 3 5" xfId="9457" xr:uid="{AD449E84-34D4-48A2-A0EA-0A40AC6EBAF9}"/>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24666" xr:uid="{E8A66998-8F7F-4BE4-9A93-C0843F301AF9}"/>
    <cellStyle name="Normal 5 3 4 2 4 2 2 3" xfId="16232" xr:uid="{AF182FB5-42A5-48DE-8F01-E1B6C6B8E273}"/>
    <cellStyle name="Normal 5 3 4 2 4 2 3" xfId="20449" xr:uid="{BB97F27E-505D-4059-90BE-ADAD3CF20F6F}"/>
    <cellStyle name="Normal 5 3 4 2 4 2 4" xfId="12015" xr:uid="{F85D1C23-92BC-49EB-B616-E1FC6991A0FB}"/>
    <cellStyle name="Normal 5 3 4 2 4 3" xfId="5649" xr:uid="{00000000-0005-0000-0000-0000311A0000}"/>
    <cellStyle name="Normal 5 3 4 2 4 3 2" xfId="22521" xr:uid="{C69B586C-F214-492A-BDC6-A92063B717EE}"/>
    <cellStyle name="Normal 5 3 4 2 4 3 3" xfId="14087" xr:uid="{580DFFC1-FC0D-402F-BBBA-031CDFEE27A1}"/>
    <cellStyle name="Normal 5 3 4 2 4 4" xfId="18304" xr:uid="{BD5FB7AE-869C-4F8C-B5E1-28A06AA809F6}"/>
    <cellStyle name="Normal 5 3 4 2 4 5" xfId="9870" xr:uid="{62705769-B7C9-4297-988E-3EC6E7711375}"/>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25079" xr:uid="{9D252D8B-C00A-4D20-8260-0E00BD26B942}"/>
    <cellStyle name="Normal 5 3 4 2 5 2 2 3" xfId="16645" xr:uid="{C2FFE57E-5016-4D43-9D8A-E6A28881B784}"/>
    <cellStyle name="Normal 5 3 4 2 5 2 3" xfId="20862" xr:uid="{ABFDDCCD-8A58-478B-B9EA-3B172B77E657}"/>
    <cellStyle name="Normal 5 3 4 2 5 2 4" xfId="12428" xr:uid="{BA5BA64C-1319-4396-A653-BB2428D264B9}"/>
    <cellStyle name="Normal 5 3 4 2 5 3" xfId="6062" xr:uid="{00000000-0005-0000-0000-0000351A0000}"/>
    <cellStyle name="Normal 5 3 4 2 5 3 2" xfId="22934" xr:uid="{F7538D1B-3A1B-4B6E-832A-DDFB241F49F8}"/>
    <cellStyle name="Normal 5 3 4 2 5 3 3" xfId="14500" xr:uid="{C8A11EF7-CCC9-4806-BB92-374B4D8DE52B}"/>
    <cellStyle name="Normal 5 3 4 2 5 4" xfId="18717" xr:uid="{A1E5AC45-5625-4D35-AEB8-70385AF777D8}"/>
    <cellStyle name="Normal 5 3 4 2 5 5" xfId="10283" xr:uid="{C4326F49-38ED-4B71-95AD-3CD20EFFF9C8}"/>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25492" xr:uid="{F48BB645-15DA-4C29-A1A3-A32FF206FE7D}"/>
    <cellStyle name="Normal 5 3 4 2 6 2 2 3" xfId="17058" xr:uid="{DF8CEF56-0E49-4B4E-9906-3E419E595F87}"/>
    <cellStyle name="Normal 5 3 4 2 6 2 3" xfId="21275" xr:uid="{B5CFE829-EB46-4022-A1A3-2B99F4DBAA09}"/>
    <cellStyle name="Normal 5 3 4 2 6 2 4" xfId="12841" xr:uid="{19CC9919-B7FA-4785-BBCC-DD64AE316029}"/>
    <cellStyle name="Normal 5 3 4 2 6 3" xfId="6475" xr:uid="{00000000-0005-0000-0000-0000391A0000}"/>
    <cellStyle name="Normal 5 3 4 2 6 3 2" xfId="23347" xr:uid="{905E2F1A-61F9-4A00-AB6F-B5D9A8F6E64F}"/>
    <cellStyle name="Normal 5 3 4 2 6 3 3" xfId="14913" xr:uid="{59103ADE-154F-40B3-B7F0-BC207E80D05C}"/>
    <cellStyle name="Normal 5 3 4 2 6 4" xfId="19130" xr:uid="{87BDF5EF-33C5-459F-B3A2-8D0A30FBE976}"/>
    <cellStyle name="Normal 5 3 4 2 6 5" xfId="10696" xr:uid="{C3B42CE6-9578-4ACE-828B-C8EFE7844EAD}"/>
    <cellStyle name="Normal 5 3 4 2 7" xfId="2604" xr:uid="{00000000-0005-0000-0000-00003A1A0000}"/>
    <cellStyle name="Normal 5 3 4 2 7 2" xfId="6888" xr:uid="{00000000-0005-0000-0000-00003B1A0000}"/>
    <cellStyle name="Normal 5 3 4 2 7 2 2" xfId="23760" xr:uid="{CDAA7F12-DF80-4DB2-9A8D-834BE229B440}"/>
    <cellStyle name="Normal 5 3 4 2 7 2 3" xfId="15326" xr:uid="{46E42A04-9A1A-43A7-95ED-DD4FA19BA250}"/>
    <cellStyle name="Normal 5 3 4 2 7 3" xfId="19543" xr:uid="{472A31EA-9A96-4D73-990E-3687A702F1CD}"/>
    <cellStyle name="Normal 5 3 4 2 7 4" xfId="11109" xr:uid="{3580501F-F343-42B6-BCDA-F9283674421F}"/>
    <cellStyle name="Normal 5 3 4 2 8" xfId="4823" xr:uid="{00000000-0005-0000-0000-00003C1A0000}"/>
    <cellStyle name="Normal 5 3 4 2 8 2" xfId="21695" xr:uid="{60315515-AC5B-4589-9D06-4651BABEAB44}"/>
    <cellStyle name="Normal 5 3 4 2 8 3" xfId="13261" xr:uid="{92A2C338-5C50-457F-9E6D-AE423D4BF6CB}"/>
    <cellStyle name="Normal 5 3 4 2 9" xfId="17478" xr:uid="{05271A54-6EA8-45E4-9A2D-54A5592F2355}"/>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24255" xr:uid="{0D7F77C1-BCBF-4E6F-A182-DDDD1F98FAD9}"/>
    <cellStyle name="Normal 5 3 4 3 2 2 2 3" xfId="15821" xr:uid="{C69B0E02-6439-462C-9AEA-19AE43626408}"/>
    <cellStyle name="Normal 5 3 4 3 2 2 3" xfId="20038" xr:uid="{00F2565E-8E0E-402E-A268-9DFFA54D974D}"/>
    <cellStyle name="Normal 5 3 4 3 2 2 4" xfId="11604" xr:uid="{ACAAA8ED-07DF-4D31-BE13-C4C364562442}"/>
    <cellStyle name="Normal 5 3 4 3 2 3" xfId="5238" xr:uid="{00000000-0005-0000-0000-0000411A0000}"/>
    <cellStyle name="Normal 5 3 4 3 2 3 2" xfId="22110" xr:uid="{50F5DCA1-3720-417E-AC1F-5A13A11956FE}"/>
    <cellStyle name="Normal 5 3 4 3 2 3 3" xfId="13676" xr:uid="{DBE9DC80-536D-49E5-8878-CD4789582714}"/>
    <cellStyle name="Normal 5 3 4 3 2 4" xfId="17893" xr:uid="{D5547F68-AADE-4311-81E9-25CFFB37ECE8}"/>
    <cellStyle name="Normal 5 3 4 3 2 5" xfId="9459" xr:uid="{143EE444-B676-4B55-A868-4529A9E1ED41}"/>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24668" xr:uid="{59138C99-2EE7-4592-A194-D6E2CC8734F8}"/>
    <cellStyle name="Normal 5 3 4 3 3 2 2 3" xfId="16234" xr:uid="{07EAB86C-D336-4818-A2D2-68B2DA5575A4}"/>
    <cellStyle name="Normal 5 3 4 3 3 2 3" xfId="20451" xr:uid="{B0C93C6E-BA01-4146-B85D-8C7ADC7B76C2}"/>
    <cellStyle name="Normal 5 3 4 3 3 2 4" xfId="12017" xr:uid="{E87C3580-EC64-467B-B488-F020B04D76D8}"/>
    <cellStyle name="Normal 5 3 4 3 3 3" xfId="5651" xr:uid="{00000000-0005-0000-0000-0000451A0000}"/>
    <cellStyle name="Normal 5 3 4 3 3 3 2" xfId="22523" xr:uid="{5EB21CC1-E269-456D-9193-40F442DD9B26}"/>
    <cellStyle name="Normal 5 3 4 3 3 3 3" xfId="14089" xr:uid="{E63382E6-687E-442E-826D-5DB43E4FB0D8}"/>
    <cellStyle name="Normal 5 3 4 3 3 4" xfId="18306" xr:uid="{40B88298-CF9C-4F84-991F-353EBDF8168F}"/>
    <cellStyle name="Normal 5 3 4 3 3 5" xfId="9872" xr:uid="{0949DE6F-CCFC-4E64-A8E7-381364D56538}"/>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25081" xr:uid="{070C97EA-2B21-421F-BD8B-8204A6106346}"/>
    <cellStyle name="Normal 5 3 4 3 4 2 2 3" xfId="16647" xr:uid="{BF204C95-0772-4725-8A4A-60D8ECD7BF05}"/>
    <cellStyle name="Normal 5 3 4 3 4 2 3" xfId="20864" xr:uid="{36DA7104-E7AA-4F82-AF33-6FDE30090E03}"/>
    <cellStyle name="Normal 5 3 4 3 4 2 4" xfId="12430" xr:uid="{260A3591-23E6-4BC5-954E-F54A09270EDB}"/>
    <cellStyle name="Normal 5 3 4 3 4 3" xfId="6064" xr:uid="{00000000-0005-0000-0000-0000491A0000}"/>
    <cellStyle name="Normal 5 3 4 3 4 3 2" xfId="22936" xr:uid="{A16654C3-880B-4872-A52B-A8B23E1AC79D}"/>
    <cellStyle name="Normal 5 3 4 3 4 3 3" xfId="14502" xr:uid="{058922AB-E3FE-4A3F-9779-FAFEB161624C}"/>
    <cellStyle name="Normal 5 3 4 3 4 4" xfId="18719" xr:uid="{4F39B4CB-B601-4259-82BF-29738E2F2292}"/>
    <cellStyle name="Normal 5 3 4 3 4 5" xfId="10285" xr:uid="{651480B2-2F7B-42C7-B9C0-33B01438F71D}"/>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25494" xr:uid="{7DC0FA1A-F44B-4A6F-9AF5-949875684480}"/>
    <cellStyle name="Normal 5 3 4 3 5 2 2 3" xfId="17060" xr:uid="{CE48FBED-F4C5-49C2-8EA3-C8B50ED152FC}"/>
    <cellStyle name="Normal 5 3 4 3 5 2 3" xfId="21277" xr:uid="{60D25725-3053-4FD6-AD83-E32808467007}"/>
    <cellStyle name="Normal 5 3 4 3 5 2 4" xfId="12843" xr:uid="{F1E59C59-2703-44E3-A4BE-591E9C983CF6}"/>
    <cellStyle name="Normal 5 3 4 3 5 3" xfId="6477" xr:uid="{00000000-0005-0000-0000-00004D1A0000}"/>
    <cellStyle name="Normal 5 3 4 3 5 3 2" xfId="23349" xr:uid="{B346C890-A3A2-4E9C-B6FE-889070DA364A}"/>
    <cellStyle name="Normal 5 3 4 3 5 3 3" xfId="14915" xr:uid="{36977F2F-72E2-4E33-8358-EA4E858C5371}"/>
    <cellStyle name="Normal 5 3 4 3 5 4" xfId="19132" xr:uid="{EB8BAC3C-4A14-49C1-992A-66EEFC1206FE}"/>
    <cellStyle name="Normal 5 3 4 3 5 5" xfId="10698" xr:uid="{387684C5-0AB2-4392-9C29-048226FEA945}"/>
    <cellStyle name="Normal 5 3 4 3 6" xfId="2606" xr:uid="{00000000-0005-0000-0000-00004E1A0000}"/>
    <cellStyle name="Normal 5 3 4 3 6 2" xfId="6890" xr:uid="{00000000-0005-0000-0000-00004F1A0000}"/>
    <cellStyle name="Normal 5 3 4 3 6 2 2" xfId="23762" xr:uid="{D1B302DE-65B7-45FB-AF79-8ED46366B73E}"/>
    <cellStyle name="Normal 5 3 4 3 6 2 3" xfId="15328" xr:uid="{F045F909-AE1C-4D1F-946D-5CFDC6102B84}"/>
    <cellStyle name="Normal 5 3 4 3 6 3" xfId="19545" xr:uid="{BA2CDBEA-F9C3-4077-8CBE-BE251EFE87D5}"/>
    <cellStyle name="Normal 5 3 4 3 6 4" xfId="11111" xr:uid="{CBA0A82A-F8F9-4B37-A966-3AA09B721904}"/>
    <cellStyle name="Normal 5 3 4 3 7" xfId="4825" xr:uid="{00000000-0005-0000-0000-0000501A0000}"/>
    <cellStyle name="Normal 5 3 4 3 7 2" xfId="21697" xr:uid="{74750B93-16D1-432C-AA41-292A9E7AAD79}"/>
    <cellStyle name="Normal 5 3 4 3 7 3" xfId="13263" xr:uid="{053BBBF6-0662-4485-A931-A26B741EC54F}"/>
    <cellStyle name="Normal 5 3 4 3 8" xfId="17480" xr:uid="{DFB58BD7-29CA-47DF-938E-AA35AB108734}"/>
    <cellStyle name="Normal 5 3 4 3 9" xfId="9046" xr:uid="{4FE69BCB-A9A1-4CA0-8A0B-0D95907788E1}"/>
    <cellStyle name="Normal 5 3 4 4" xfId="923" xr:uid="{00000000-0005-0000-0000-0000511A0000}"/>
    <cellStyle name="Normal 5 3 4 4 2" xfId="3157" xr:uid="{00000000-0005-0000-0000-0000521A0000}"/>
    <cellStyle name="Normal 5 3 4 4 2 2" xfId="7380" xr:uid="{00000000-0005-0000-0000-0000531A0000}"/>
    <cellStyle name="Normal 5 3 4 4 2 2 2" xfId="24252" xr:uid="{8B828EB8-0DAF-451E-8C67-7D2466572528}"/>
    <cellStyle name="Normal 5 3 4 4 2 2 3" xfId="15818" xr:uid="{3822944A-6AB7-4813-9165-708CE8CD683D}"/>
    <cellStyle name="Normal 5 3 4 4 2 3" xfId="20035" xr:uid="{EF85156F-A6C3-496A-ADFF-383CC9349B9F}"/>
    <cellStyle name="Normal 5 3 4 4 2 4" xfId="11601" xr:uid="{2B383A62-BB3E-4090-9EA2-327434902C0F}"/>
    <cellStyle name="Normal 5 3 4 4 3" xfId="5235" xr:uid="{00000000-0005-0000-0000-0000541A0000}"/>
    <cellStyle name="Normal 5 3 4 4 3 2" xfId="22107" xr:uid="{7EFDC645-8AA9-4FD6-A1C9-59609335C8C5}"/>
    <cellStyle name="Normal 5 3 4 4 3 3" xfId="13673" xr:uid="{B57FBA8B-E2C1-47AA-91C5-345D387C148C}"/>
    <cellStyle name="Normal 5 3 4 4 4" xfId="17890" xr:uid="{E276AE55-F5E3-40F5-B81C-228FD1613AAA}"/>
    <cellStyle name="Normal 5 3 4 4 5" xfId="9456" xr:uid="{0C31A579-D72A-43FD-A196-B887B948B61B}"/>
    <cellStyle name="Normal 5 3 4 5" xfId="1340" xr:uid="{00000000-0005-0000-0000-0000551A0000}"/>
    <cellStyle name="Normal 5 3 4 5 2" xfId="3570" xr:uid="{00000000-0005-0000-0000-0000561A0000}"/>
    <cellStyle name="Normal 5 3 4 5 2 2" xfId="7793" xr:uid="{00000000-0005-0000-0000-0000571A0000}"/>
    <cellStyle name="Normal 5 3 4 5 2 2 2" xfId="24665" xr:uid="{3B178BC2-B756-4054-A270-A799A589B3B0}"/>
    <cellStyle name="Normal 5 3 4 5 2 2 3" xfId="16231" xr:uid="{5093C2B0-034B-4CB4-A173-708B248C93DE}"/>
    <cellStyle name="Normal 5 3 4 5 2 3" xfId="20448" xr:uid="{29974035-0BCE-4AB7-BBDF-CBDE7A08D6DF}"/>
    <cellStyle name="Normal 5 3 4 5 2 4" xfId="12014" xr:uid="{D354679E-4AB6-4635-880E-D31853254229}"/>
    <cellStyle name="Normal 5 3 4 5 3" xfId="5648" xr:uid="{00000000-0005-0000-0000-0000581A0000}"/>
    <cellStyle name="Normal 5 3 4 5 3 2" xfId="22520" xr:uid="{4EE655A6-8F87-4A37-93AF-3458166AF19E}"/>
    <cellStyle name="Normal 5 3 4 5 3 3" xfId="14086" xr:uid="{4C870C96-B6E4-4B6E-B77E-3C2F0296EBA3}"/>
    <cellStyle name="Normal 5 3 4 5 4" xfId="18303" xr:uid="{357554BE-45F3-4770-BCCB-4474CE33F5A6}"/>
    <cellStyle name="Normal 5 3 4 5 5" xfId="9869" xr:uid="{DC6B1652-1FC1-4378-8F3C-E484589690BD}"/>
    <cellStyle name="Normal 5 3 4 6" xfId="1753" xr:uid="{00000000-0005-0000-0000-0000591A0000}"/>
    <cellStyle name="Normal 5 3 4 6 2" xfId="3983" xr:uid="{00000000-0005-0000-0000-00005A1A0000}"/>
    <cellStyle name="Normal 5 3 4 6 2 2" xfId="8206" xr:uid="{00000000-0005-0000-0000-00005B1A0000}"/>
    <cellStyle name="Normal 5 3 4 6 2 2 2" xfId="25078" xr:uid="{F87173D4-C5E8-44ED-8A53-BB31A2B3A7DE}"/>
    <cellStyle name="Normal 5 3 4 6 2 2 3" xfId="16644" xr:uid="{F29D2B30-D387-4CD4-AB71-1A389B0FE5D9}"/>
    <cellStyle name="Normal 5 3 4 6 2 3" xfId="20861" xr:uid="{AE4F7AB8-7AB1-42DE-9F01-C1F010CE6897}"/>
    <cellStyle name="Normal 5 3 4 6 2 4" xfId="12427" xr:uid="{277431C6-EF59-4F73-BA73-DF3FB9B207CA}"/>
    <cellStyle name="Normal 5 3 4 6 3" xfId="6061" xr:uid="{00000000-0005-0000-0000-00005C1A0000}"/>
    <cellStyle name="Normal 5 3 4 6 3 2" xfId="22933" xr:uid="{D48D182D-2F0F-4F7A-8720-02BBF1CDC757}"/>
    <cellStyle name="Normal 5 3 4 6 3 3" xfId="14499" xr:uid="{38B7E820-E64F-464E-80F3-AEC5D622EEF7}"/>
    <cellStyle name="Normal 5 3 4 6 4" xfId="18716" xr:uid="{CD4CDD1A-BD86-4989-9701-DA870EA7320F}"/>
    <cellStyle name="Normal 5 3 4 6 5" xfId="10282" xr:uid="{EE6F3C5F-75B3-42A5-A432-13FD01DDB60A}"/>
    <cellStyle name="Normal 5 3 4 7" xfId="2167" xr:uid="{00000000-0005-0000-0000-00005D1A0000}"/>
    <cellStyle name="Normal 5 3 4 7 2" xfId="4396" xr:uid="{00000000-0005-0000-0000-00005E1A0000}"/>
    <cellStyle name="Normal 5 3 4 7 2 2" xfId="8619" xr:uid="{00000000-0005-0000-0000-00005F1A0000}"/>
    <cellStyle name="Normal 5 3 4 7 2 2 2" xfId="25491" xr:uid="{0B409A16-492E-4FAB-8E50-EF09D82ED59A}"/>
    <cellStyle name="Normal 5 3 4 7 2 2 3" xfId="17057" xr:uid="{92258177-8655-4A35-BF8E-795CECF6B60F}"/>
    <cellStyle name="Normal 5 3 4 7 2 3" xfId="21274" xr:uid="{8E520086-BAD0-4187-8B89-ECBE5ECDDA00}"/>
    <cellStyle name="Normal 5 3 4 7 2 4" xfId="12840" xr:uid="{8807DE0C-AB11-4D45-AE33-2883298395F0}"/>
    <cellStyle name="Normal 5 3 4 7 3" xfId="6474" xr:uid="{00000000-0005-0000-0000-0000601A0000}"/>
    <cellStyle name="Normal 5 3 4 7 3 2" xfId="23346" xr:uid="{DAC3C7DF-D864-432D-AC36-7B60D9A0CA5A}"/>
    <cellStyle name="Normal 5 3 4 7 3 3" xfId="14912" xr:uid="{1635C74F-0613-45FA-94BE-88F556BCB9D0}"/>
    <cellStyle name="Normal 5 3 4 7 4" xfId="19129" xr:uid="{069763AA-6DFB-4BFA-8116-5EDEBE3D1C39}"/>
    <cellStyle name="Normal 5 3 4 7 5" xfId="10695" xr:uid="{86AB8475-84F7-4624-86A9-DA8B06427068}"/>
    <cellStyle name="Normal 5 3 4 8" xfId="2603" xr:uid="{00000000-0005-0000-0000-0000611A0000}"/>
    <cellStyle name="Normal 5 3 4 8 2" xfId="6887" xr:uid="{00000000-0005-0000-0000-0000621A0000}"/>
    <cellStyle name="Normal 5 3 4 8 2 2" xfId="23759" xr:uid="{46C2725E-3321-407A-AAA4-118737E24C46}"/>
    <cellStyle name="Normal 5 3 4 8 2 3" xfId="15325" xr:uid="{2E6C04BF-A2AE-4235-8C0F-BAC66E97AC46}"/>
    <cellStyle name="Normal 5 3 4 8 3" xfId="19542" xr:uid="{7C36017D-42CD-483C-8A2E-EC05BD5E8F49}"/>
    <cellStyle name="Normal 5 3 4 8 4" xfId="11108" xr:uid="{4AF9252B-DABC-4332-A4EF-E2FE27A82971}"/>
    <cellStyle name="Normal 5 3 4 9" xfId="4822" xr:uid="{00000000-0005-0000-0000-0000631A0000}"/>
    <cellStyle name="Normal 5 3 4 9 2" xfId="21694" xr:uid="{2B0D1350-78A9-4790-9EB5-0D38EB5957E8}"/>
    <cellStyle name="Normal 5 3 4 9 3" xfId="13260" xr:uid="{83948055-767F-4C9D-84AB-8CE9DFA736E5}"/>
    <cellStyle name="Normal 5 3 5" xfId="453" xr:uid="{00000000-0005-0000-0000-0000641A0000}"/>
    <cellStyle name="Normal 5 3 5 10" xfId="9047" xr:uid="{BE6F23B8-9567-4E9E-A3FC-BABE6DD02D3F}"/>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24257" xr:uid="{262FC4D1-1C9B-42A3-9DB8-6E6D4E3FFA8C}"/>
    <cellStyle name="Normal 5 3 5 2 2 2 2 3" xfId="15823" xr:uid="{945F37BB-8741-4DE1-8D5C-F06C93D20A72}"/>
    <cellStyle name="Normal 5 3 5 2 2 2 3" xfId="20040" xr:uid="{B67AB1A3-CA74-4F99-AE56-5F8406748382}"/>
    <cellStyle name="Normal 5 3 5 2 2 2 4" xfId="11606" xr:uid="{C72F2E73-CDA3-43A6-91AD-97C17B903D8C}"/>
    <cellStyle name="Normal 5 3 5 2 2 3" xfId="5240" xr:uid="{00000000-0005-0000-0000-0000691A0000}"/>
    <cellStyle name="Normal 5 3 5 2 2 3 2" xfId="22112" xr:uid="{769F5D00-605A-4214-A373-3448C83B9E20}"/>
    <cellStyle name="Normal 5 3 5 2 2 3 3" xfId="13678" xr:uid="{EF66F0E4-2D5C-400F-BE78-E96441AC8AB4}"/>
    <cellStyle name="Normal 5 3 5 2 2 4" xfId="17895" xr:uid="{974AE02C-054D-4A60-8453-000C889EA34D}"/>
    <cellStyle name="Normal 5 3 5 2 2 5" xfId="9461" xr:uid="{A1BF472E-6887-46C2-AE88-A37BCEE87C9C}"/>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24670" xr:uid="{3559E036-6073-4A76-BC83-DCB06EFBBD90}"/>
    <cellStyle name="Normal 5 3 5 2 3 2 2 3" xfId="16236" xr:uid="{A6C4A0B8-B931-454A-8080-AB3DA7C27DD1}"/>
    <cellStyle name="Normal 5 3 5 2 3 2 3" xfId="20453" xr:uid="{557E6752-159A-47BC-B58B-48282C779277}"/>
    <cellStyle name="Normal 5 3 5 2 3 2 4" xfId="12019" xr:uid="{9C77CAD4-E437-499E-A328-94CCAD1AC3C9}"/>
    <cellStyle name="Normal 5 3 5 2 3 3" xfId="5653" xr:uid="{00000000-0005-0000-0000-00006D1A0000}"/>
    <cellStyle name="Normal 5 3 5 2 3 3 2" xfId="22525" xr:uid="{5866C937-9C7E-4672-8914-C78071E6322A}"/>
    <cellStyle name="Normal 5 3 5 2 3 3 3" xfId="14091" xr:uid="{FA6AFE24-2CCE-4C71-96D8-EC6142346001}"/>
    <cellStyle name="Normal 5 3 5 2 3 4" xfId="18308" xr:uid="{29525802-50F6-44D2-8340-67ADD9079D54}"/>
    <cellStyle name="Normal 5 3 5 2 3 5" xfId="9874" xr:uid="{C94E170B-06D5-4161-910C-5C3A4A8AA846}"/>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25083" xr:uid="{D995A92F-0BD3-421B-B2CA-CA07C842838A}"/>
    <cellStyle name="Normal 5 3 5 2 4 2 2 3" xfId="16649" xr:uid="{CB9B1F25-4BFE-446F-B101-56D00F5DBBEC}"/>
    <cellStyle name="Normal 5 3 5 2 4 2 3" xfId="20866" xr:uid="{E67B833D-F342-41DB-AA56-A9EFB45E357B}"/>
    <cellStyle name="Normal 5 3 5 2 4 2 4" xfId="12432" xr:uid="{AC2447F2-6A23-49F0-85AC-688361C9AD3E}"/>
    <cellStyle name="Normal 5 3 5 2 4 3" xfId="6066" xr:uid="{00000000-0005-0000-0000-0000711A0000}"/>
    <cellStyle name="Normal 5 3 5 2 4 3 2" xfId="22938" xr:uid="{81A3D70C-D203-418F-9DAE-B5C2F7085693}"/>
    <cellStyle name="Normal 5 3 5 2 4 3 3" xfId="14504" xr:uid="{0905749D-4827-4EA1-80DE-096647A6A5F0}"/>
    <cellStyle name="Normal 5 3 5 2 4 4" xfId="18721" xr:uid="{1FC531A8-98D9-4FDE-A349-E3BD853AD6B8}"/>
    <cellStyle name="Normal 5 3 5 2 4 5" xfId="10287" xr:uid="{FC35B7BE-37A8-4AD1-B58A-3EE3B5A8F19D}"/>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25496" xr:uid="{91E4D85E-3362-47CA-B435-1F1E02F458B4}"/>
    <cellStyle name="Normal 5 3 5 2 5 2 2 3" xfId="17062" xr:uid="{0CC4EA9E-2CCD-473D-9DF5-D4AC68E30024}"/>
    <cellStyle name="Normal 5 3 5 2 5 2 3" xfId="21279" xr:uid="{1070768C-05C0-429C-B4BF-49133C8F4F8F}"/>
    <cellStyle name="Normal 5 3 5 2 5 2 4" xfId="12845" xr:uid="{5670BBEC-46F7-4D81-B15C-441F3128E0A4}"/>
    <cellStyle name="Normal 5 3 5 2 5 3" xfId="6479" xr:uid="{00000000-0005-0000-0000-0000751A0000}"/>
    <cellStyle name="Normal 5 3 5 2 5 3 2" xfId="23351" xr:uid="{3619774D-661B-43FE-A445-0EBF0AEE2EA2}"/>
    <cellStyle name="Normal 5 3 5 2 5 3 3" xfId="14917" xr:uid="{D785B09A-7857-4773-85A8-51C5F1C2BE3F}"/>
    <cellStyle name="Normal 5 3 5 2 5 4" xfId="19134" xr:uid="{FC34EDD1-515C-4D92-91D4-F9AAFFB8066E}"/>
    <cellStyle name="Normal 5 3 5 2 5 5" xfId="10700" xr:uid="{B82E33A6-DC9F-4359-AC47-8DD8554F8011}"/>
    <cellStyle name="Normal 5 3 5 2 6" xfId="2608" xr:uid="{00000000-0005-0000-0000-0000761A0000}"/>
    <cellStyle name="Normal 5 3 5 2 6 2" xfId="6892" xr:uid="{00000000-0005-0000-0000-0000771A0000}"/>
    <cellStyle name="Normal 5 3 5 2 6 2 2" xfId="23764" xr:uid="{1F54F346-A543-47E6-B3D5-BFEE49E54388}"/>
    <cellStyle name="Normal 5 3 5 2 6 2 3" xfId="15330" xr:uid="{6D4AB5C2-0DB0-401F-A0B4-A782982C1C6E}"/>
    <cellStyle name="Normal 5 3 5 2 6 3" xfId="19547" xr:uid="{4D1CA902-12E7-441F-B079-50FBD7A78010}"/>
    <cellStyle name="Normal 5 3 5 2 6 4" xfId="11113" xr:uid="{C4A9161B-DE5C-4E8F-B490-73E579C3FC7D}"/>
    <cellStyle name="Normal 5 3 5 2 7" xfId="4827" xr:uid="{00000000-0005-0000-0000-0000781A0000}"/>
    <cellStyle name="Normal 5 3 5 2 7 2" xfId="21699" xr:uid="{8052DF6C-24FF-4A20-B176-7974C097597E}"/>
    <cellStyle name="Normal 5 3 5 2 7 3" xfId="13265" xr:uid="{D840C366-AC18-4611-B3BF-72A39CA4269F}"/>
    <cellStyle name="Normal 5 3 5 2 8" xfId="17482" xr:uid="{7F66EE6E-2C7A-4E60-A3EB-1F529180D550}"/>
    <cellStyle name="Normal 5 3 5 2 9" xfId="9048" xr:uid="{1A1D23FE-8211-4AED-A7F8-6C37E3CD258F}"/>
    <cellStyle name="Normal 5 3 5 3" xfId="927" xr:uid="{00000000-0005-0000-0000-0000791A0000}"/>
    <cellStyle name="Normal 5 3 5 3 2" xfId="3161" xr:uid="{00000000-0005-0000-0000-00007A1A0000}"/>
    <cellStyle name="Normal 5 3 5 3 2 2" xfId="7384" xr:uid="{00000000-0005-0000-0000-00007B1A0000}"/>
    <cellStyle name="Normal 5 3 5 3 2 2 2" xfId="24256" xr:uid="{7307E398-BBE8-40EF-B422-24FD9F621381}"/>
    <cellStyle name="Normal 5 3 5 3 2 2 3" xfId="15822" xr:uid="{61719834-B506-44F9-87EA-05ACE8DD586E}"/>
    <cellStyle name="Normal 5 3 5 3 2 3" xfId="20039" xr:uid="{32467E01-32EC-4C65-BDD7-8E46B54F931F}"/>
    <cellStyle name="Normal 5 3 5 3 2 4" xfId="11605" xr:uid="{43F5C682-73E8-4B5E-B99A-0E05877E20CD}"/>
    <cellStyle name="Normal 5 3 5 3 3" xfId="5239" xr:uid="{00000000-0005-0000-0000-00007C1A0000}"/>
    <cellStyle name="Normal 5 3 5 3 3 2" xfId="22111" xr:uid="{0CDEA114-491B-4C76-9F0E-A58FA027812C}"/>
    <cellStyle name="Normal 5 3 5 3 3 3" xfId="13677" xr:uid="{22B1F097-1734-49B9-A0FF-936D9A0CE405}"/>
    <cellStyle name="Normal 5 3 5 3 4" xfId="17894" xr:uid="{BAF5F239-03F8-48E6-A694-D3650CC80485}"/>
    <cellStyle name="Normal 5 3 5 3 5" xfId="9460" xr:uid="{1123C6A9-3556-4120-A785-17CEA9FA4BD0}"/>
    <cellStyle name="Normal 5 3 5 4" xfId="1344" xr:uid="{00000000-0005-0000-0000-00007D1A0000}"/>
    <cellStyle name="Normal 5 3 5 4 2" xfId="3574" xr:uid="{00000000-0005-0000-0000-00007E1A0000}"/>
    <cellStyle name="Normal 5 3 5 4 2 2" xfId="7797" xr:uid="{00000000-0005-0000-0000-00007F1A0000}"/>
    <cellStyle name="Normal 5 3 5 4 2 2 2" xfId="24669" xr:uid="{BD8C125C-3F99-4254-B1A3-119C0A83A18F}"/>
    <cellStyle name="Normal 5 3 5 4 2 2 3" xfId="16235" xr:uid="{C81D1B0B-74E4-4634-BD5A-E12EC5D00EF9}"/>
    <cellStyle name="Normal 5 3 5 4 2 3" xfId="20452" xr:uid="{69F22CEC-1FD6-44D1-B0D7-E673DB7A01D6}"/>
    <cellStyle name="Normal 5 3 5 4 2 4" xfId="12018" xr:uid="{B72C2722-E7DA-4BDC-BFBB-7E1D770B8DEC}"/>
    <cellStyle name="Normal 5 3 5 4 3" xfId="5652" xr:uid="{00000000-0005-0000-0000-0000801A0000}"/>
    <cellStyle name="Normal 5 3 5 4 3 2" xfId="22524" xr:uid="{9F97113F-B652-49EA-9F9A-A87901ABAD65}"/>
    <cellStyle name="Normal 5 3 5 4 3 3" xfId="14090" xr:uid="{52F47D05-1DF0-491C-8287-D2EE1DA6F25B}"/>
    <cellStyle name="Normal 5 3 5 4 4" xfId="18307" xr:uid="{516CDEFE-FF2E-4180-8850-AF4B99E9C08A}"/>
    <cellStyle name="Normal 5 3 5 4 5" xfId="9873" xr:uid="{927DDE8C-C078-4985-9E35-AB6CDD631CC0}"/>
    <cellStyle name="Normal 5 3 5 5" xfId="1757" xr:uid="{00000000-0005-0000-0000-0000811A0000}"/>
    <cellStyle name="Normal 5 3 5 5 2" xfId="3987" xr:uid="{00000000-0005-0000-0000-0000821A0000}"/>
    <cellStyle name="Normal 5 3 5 5 2 2" xfId="8210" xr:uid="{00000000-0005-0000-0000-0000831A0000}"/>
    <cellStyle name="Normal 5 3 5 5 2 2 2" xfId="25082" xr:uid="{003FFF91-4BB1-4BFA-9437-CB80E603E972}"/>
    <cellStyle name="Normal 5 3 5 5 2 2 3" xfId="16648" xr:uid="{657BC7EF-3844-457E-A131-4034F3D7132B}"/>
    <cellStyle name="Normal 5 3 5 5 2 3" xfId="20865" xr:uid="{9EF09928-5BFF-4C8C-9E60-7C52B5D415F3}"/>
    <cellStyle name="Normal 5 3 5 5 2 4" xfId="12431" xr:uid="{2B994617-BF79-43A2-9CDB-7A82E3C052FA}"/>
    <cellStyle name="Normal 5 3 5 5 3" xfId="6065" xr:uid="{00000000-0005-0000-0000-0000841A0000}"/>
    <cellStyle name="Normal 5 3 5 5 3 2" xfId="22937" xr:uid="{B65050FF-5BC3-4A07-85C3-EA7A7694D48A}"/>
    <cellStyle name="Normal 5 3 5 5 3 3" xfId="14503" xr:uid="{988078FB-93A9-429D-A6B0-77A6E7A509A9}"/>
    <cellStyle name="Normal 5 3 5 5 4" xfId="18720" xr:uid="{25FAB4C4-E6E9-4F0B-98C6-1C24F4A56C65}"/>
    <cellStyle name="Normal 5 3 5 5 5" xfId="10286" xr:uid="{61EB6505-DCE4-4186-BB7A-F2085DEC308E}"/>
    <cellStyle name="Normal 5 3 5 6" xfId="2171" xr:uid="{00000000-0005-0000-0000-0000851A0000}"/>
    <cellStyle name="Normal 5 3 5 6 2" xfId="4400" xr:uid="{00000000-0005-0000-0000-0000861A0000}"/>
    <cellStyle name="Normal 5 3 5 6 2 2" xfId="8623" xr:uid="{00000000-0005-0000-0000-0000871A0000}"/>
    <cellStyle name="Normal 5 3 5 6 2 2 2" xfId="25495" xr:uid="{D62634EB-7FE5-4EBF-94D4-86301F6FB87A}"/>
    <cellStyle name="Normal 5 3 5 6 2 2 3" xfId="17061" xr:uid="{26AAC67A-A40A-4358-B13E-68CE07A0A68C}"/>
    <cellStyle name="Normal 5 3 5 6 2 3" xfId="21278" xr:uid="{F8C1F690-6C60-4A67-864A-175D19BE1F79}"/>
    <cellStyle name="Normal 5 3 5 6 2 4" xfId="12844" xr:uid="{EAF6EE3E-DB8B-47FD-BD74-4AFFBD596ADC}"/>
    <cellStyle name="Normal 5 3 5 6 3" xfId="6478" xr:uid="{00000000-0005-0000-0000-0000881A0000}"/>
    <cellStyle name="Normal 5 3 5 6 3 2" xfId="23350" xr:uid="{09A2D401-D894-4135-B4B7-A867DA1F6546}"/>
    <cellStyle name="Normal 5 3 5 6 3 3" xfId="14916" xr:uid="{39C2FA1F-68BD-4902-8406-F0BE19A805D2}"/>
    <cellStyle name="Normal 5 3 5 6 4" xfId="19133" xr:uid="{EC1F036F-929B-4F29-BFDF-C70DFA17A3B1}"/>
    <cellStyle name="Normal 5 3 5 6 5" xfId="10699" xr:uid="{F43BE3B6-B1B4-4CB0-A90B-898BE9599262}"/>
    <cellStyle name="Normal 5 3 5 7" xfId="2607" xr:uid="{00000000-0005-0000-0000-0000891A0000}"/>
    <cellStyle name="Normal 5 3 5 7 2" xfId="6891" xr:uid="{00000000-0005-0000-0000-00008A1A0000}"/>
    <cellStyle name="Normal 5 3 5 7 2 2" xfId="23763" xr:uid="{8584F68F-489B-4D83-BDCE-B1C4D2CDF31D}"/>
    <cellStyle name="Normal 5 3 5 7 2 3" xfId="15329" xr:uid="{21A44398-7F19-4FAE-A437-62BBAE74D8B0}"/>
    <cellStyle name="Normal 5 3 5 7 3" xfId="19546" xr:uid="{D611B4FD-B03C-40BF-933F-4628F920B2F2}"/>
    <cellStyle name="Normal 5 3 5 7 4" xfId="11112" xr:uid="{21AAE91C-1A94-435B-BF18-32C257B2D4D0}"/>
    <cellStyle name="Normal 5 3 5 8" xfId="4826" xr:uid="{00000000-0005-0000-0000-00008B1A0000}"/>
    <cellStyle name="Normal 5 3 5 8 2" xfId="21698" xr:uid="{684C3B38-763E-4510-8F7F-727422910F11}"/>
    <cellStyle name="Normal 5 3 5 8 3" xfId="13264" xr:uid="{5D078317-AD8B-4F73-BE3D-7CBC754A4564}"/>
    <cellStyle name="Normal 5 3 5 9" xfId="17481" xr:uid="{AE6A82C8-40B6-4715-8A5A-D03A8EB81EF8}"/>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24258" xr:uid="{A58DA569-4BDD-48A8-AB74-3473F286A7A3}"/>
    <cellStyle name="Normal 5 3 6 2 2 2 3" xfId="15824" xr:uid="{7C75416F-D55A-48D7-8E45-0516A10E5B36}"/>
    <cellStyle name="Normal 5 3 6 2 2 3" xfId="20041" xr:uid="{2DCEE311-DFFF-438B-8DE4-2898B7E94DD1}"/>
    <cellStyle name="Normal 5 3 6 2 2 4" xfId="11607" xr:uid="{E8841F82-3EC3-4101-8B40-8F08BD56FF28}"/>
    <cellStyle name="Normal 5 3 6 2 3" xfId="5241" xr:uid="{00000000-0005-0000-0000-0000901A0000}"/>
    <cellStyle name="Normal 5 3 6 2 3 2" xfId="22113" xr:uid="{9942B9D4-11D1-45FA-BA71-5F72C34D8063}"/>
    <cellStyle name="Normal 5 3 6 2 3 3" xfId="13679" xr:uid="{9E0CF288-ED0C-457F-AFA9-DA0660E78EA1}"/>
    <cellStyle name="Normal 5 3 6 2 4" xfId="17896" xr:uid="{87EEA2DC-8217-492B-83DB-6C73B5C655EF}"/>
    <cellStyle name="Normal 5 3 6 2 5" xfId="9462" xr:uid="{97A9C6FA-0FEE-4A6D-A3CD-E76B69F242F0}"/>
    <cellStyle name="Normal 5 3 6 3" xfId="1346" xr:uid="{00000000-0005-0000-0000-0000911A0000}"/>
    <cellStyle name="Normal 5 3 6 3 2" xfId="3576" xr:uid="{00000000-0005-0000-0000-0000921A0000}"/>
    <cellStyle name="Normal 5 3 6 3 2 2" xfId="7799" xr:uid="{00000000-0005-0000-0000-0000931A0000}"/>
    <cellStyle name="Normal 5 3 6 3 2 2 2" xfId="24671" xr:uid="{32A0C44C-15ED-40D3-B902-4B969385656E}"/>
    <cellStyle name="Normal 5 3 6 3 2 2 3" xfId="16237" xr:uid="{2DD8B605-4C9A-433C-A543-2AE335A828A1}"/>
    <cellStyle name="Normal 5 3 6 3 2 3" xfId="20454" xr:uid="{9B78309C-B9AF-4A71-8FEC-C59806BDA9AC}"/>
    <cellStyle name="Normal 5 3 6 3 2 4" xfId="12020" xr:uid="{5C290266-FC9F-47E3-A494-198D9D4C588C}"/>
    <cellStyle name="Normal 5 3 6 3 3" xfId="5654" xr:uid="{00000000-0005-0000-0000-0000941A0000}"/>
    <cellStyle name="Normal 5 3 6 3 3 2" xfId="22526" xr:uid="{AF182211-7158-4541-AADC-F3A00552E190}"/>
    <cellStyle name="Normal 5 3 6 3 3 3" xfId="14092" xr:uid="{B7371C03-B3CD-4659-9A35-780682727645}"/>
    <cellStyle name="Normal 5 3 6 3 4" xfId="18309" xr:uid="{DD5DAAE7-2D4E-40C7-94D8-DC2C36EBAF86}"/>
    <cellStyle name="Normal 5 3 6 3 5" xfId="9875" xr:uid="{DA4FA70E-361C-4BEA-8A76-643F10EF2F73}"/>
    <cellStyle name="Normal 5 3 6 4" xfId="1759" xr:uid="{00000000-0005-0000-0000-0000951A0000}"/>
    <cellStyle name="Normal 5 3 6 4 2" xfId="3989" xr:uid="{00000000-0005-0000-0000-0000961A0000}"/>
    <cellStyle name="Normal 5 3 6 4 2 2" xfId="8212" xr:uid="{00000000-0005-0000-0000-0000971A0000}"/>
    <cellStyle name="Normal 5 3 6 4 2 2 2" xfId="25084" xr:uid="{508E3819-BCCD-49B5-A333-CA1F9CAE5A27}"/>
    <cellStyle name="Normal 5 3 6 4 2 2 3" xfId="16650" xr:uid="{2682ECBE-6E5E-4BFB-8D50-B66C52F598D2}"/>
    <cellStyle name="Normal 5 3 6 4 2 3" xfId="20867" xr:uid="{78B99CB3-6600-471D-A798-883926DE4615}"/>
    <cellStyle name="Normal 5 3 6 4 2 4" xfId="12433" xr:uid="{AAFA446E-8E43-44F1-92B3-D1ED4E85BD61}"/>
    <cellStyle name="Normal 5 3 6 4 3" xfId="6067" xr:uid="{00000000-0005-0000-0000-0000981A0000}"/>
    <cellStyle name="Normal 5 3 6 4 3 2" xfId="22939" xr:uid="{F2E47A1B-BFC4-4365-868F-2BF7558079FE}"/>
    <cellStyle name="Normal 5 3 6 4 3 3" xfId="14505" xr:uid="{DD31248F-11EC-4E00-B926-FDDBA859D14D}"/>
    <cellStyle name="Normal 5 3 6 4 4" xfId="18722" xr:uid="{22DAE431-0034-49D0-A1C1-678A53F18F11}"/>
    <cellStyle name="Normal 5 3 6 4 5" xfId="10288" xr:uid="{CEE4A8D0-9DC2-4CE2-8929-D463DA27781C}"/>
    <cellStyle name="Normal 5 3 6 5" xfId="2173" xr:uid="{00000000-0005-0000-0000-0000991A0000}"/>
    <cellStyle name="Normal 5 3 6 5 2" xfId="4402" xr:uid="{00000000-0005-0000-0000-00009A1A0000}"/>
    <cellStyle name="Normal 5 3 6 5 2 2" xfId="8625" xr:uid="{00000000-0005-0000-0000-00009B1A0000}"/>
    <cellStyle name="Normal 5 3 6 5 2 2 2" xfId="25497" xr:uid="{0EBEC6E1-B44B-4A28-B8FB-C1504ACB3AB3}"/>
    <cellStyle name="Normal 5 3 6 5 2 2 3" xfId="17063" xr:uid="{361BE6D1-8D9D-43D7-A891-5369491CE8CE}"/>
    <cellStyle name="Normal 5 3 6 5 2 3" xfId="21280" xr:uid="{393FDE7A-67CC-4FDF-9630-9BFA426AEB4B}"/>
    <cellStyle name="Normal 5 3 6 5 2 4" xfId="12846" xr:uid="{8C917D99-3D2F-4417-BE55-E907CF92D7D0}"/>
    <cellStyle name="Normal 5 3 6 5 3" xfId="6480" xr:uid="{00000000-0005-0000-0000-00009C1A0000}"/>
    <cellStyle name="Normal 5 3 6 5 3 2" xfId="23352" xr:uid="{EBFC6E36-7E11-4C50-9478-7CC2933C6101}"/>
    <cellStyle name="Normal 5 3 6 5 3 3" xfId="14918" xr:uid="{8D5CCA41-A1FC-4B50-ACDC-48BCD43355C7}"/>
    <cellStyle name="Normal 5 3 6 5 4" xfId="19135" xr:uid="{2421E3A4-DB69-4CFD-A5B9-47158A23308C}"/>
    <cellStyle name="Normal 5 3 6 5 5" xfId="10701" xr:uid="{3A98BA41-E53A-49A5-B2F8-A38A746EB4CF}"/>
    <cellStyle name="Normal 5 3 6 6" xfId="2609" xr:uid="{00000000-0005-0000-0000-00009D1A0000}"/>
    <cellStyle name="Normal 5 3 6 6 2" xfId="6893" xr:uid="{00000000-0005-0000-0000-00009E1A0000}"/>
    <cellStyle name="Normal 5 3 6 6 2 2" xfId="23765" xr:uid="{4E1D9669-8B27-475B-A7EC-E0F7FF9BE273}"/>
    <cellStyle name="Normal 5 3 6 6 2 3" xfId="15331" xr:uid="{3D2F25DE-42E6-4D3D-B882-7FA6A9C337EB}"/>
    <cellStyle name="Normal 5 3 6 6 3" xfId="19548" xr:uid="{798AE8C7-F781-46F5-9B83-666C951DBC78}"/>
    <cellStyle name="Normal 5 3 6 6 4" xfId="11114" xr:uid="{DAC103B2-7980-48A4-96C8-A316E76DF865}"/>
    <cellStyle name="Normal 5 3 6 7" xfId="4828" xr:uid="{00000000-0005-0000-0000-00009F1A0000}"/>
    <cellStyle name="Normal 5 3 6 7 2" xfId="21700" xr:uid="{824040E3-4833-46A3-852E-2FD7AC74BAE1}"/>
    <cellStyle name="Normal 5 3 6 7 3" xfId="13266" xr:uid="{318F6FC8-E9EE-4FCC-9E5D-624FC5CB0F63}"/>
    <cellStyle name="Normal 5 3 6 8" xfId="17483" xr:uid="{A6FE695C-F063-48A2-A792-AA1C7B559A3B}"/>
    <cellStyle name="Normal 5 3 6 9" xfId="9049" xr:uid="{51D141BF-A71B-44F7-95DF-B1490DBEF474}"/>
    <cellStyle name="Normal 5 3 7" xfId="913" xr:uid="{00000000-0005-0000-0000-0000A01A0000}"/>
    <cellStyle name="Normal 5 3 7 2" xfId="3148" xr:uid="{00000000-0005-0000-0000-0000A11A0000}"/>
    <cellStyle name="Normal 5 3 7 2 2" xfId="7371" xr:uid="{00000000-0005-0000-0000-0000A21A0000}"/>
    <cellStyle name="Normal 5 3 7 2 2 2" xfId="24243" xr:uid="{B455AE35-0C5F-4B13-A5ED-34F0E05E647A}"/>
    <cellStyle name="Normal 5 3 7 2 2 3" xfId="15809" xr:uid="{9E4BE19A-3B31-43AA-B2E7-982C6322341E}"/>
    <cellStyle name="Normal 5 3 7 2 3" xfId="20026" xr:uid="{3DCDF5ED-DEE7-4D0F-8DDF-9FA99134BD55}"/>
    <cellStyle name="Normal 5 3 7 2 4" xfId="11592" xr:uid="{113CD089-0763-4B3C-BC72-13420936E31B}"/>
    <cellStyle name="Normal 5 3 7 3" xfId="5226" xr:uid="{00000000-0005-0000-0000-0000A31A0000}"/>
    <cellStyle name="Normal 5 3 7 3 2" xfId="22098" xr:uid="{26A24DC8-62A5-4292-93E8-833149531462}"/>
    <cellStyle name="Normal 5 3 7 3 3" xfId="13664" xr:uid="{DAC22182-FF5D-421B-B101-0E5BD104FAB8}"/>
    <cellStyle name="Normal 5 3 7 4" xfId="17881" xr:uid="{71BBAC64-4CB4-4B9B-982D-D1D90E0D6AAD}"/>
    <cellStyle name="Normal 5 3 7 5" xfId="9447" xr:uid="{4E9506C0-BE3F-46CE-94B9-4FAC16AC6400}"/>
    <cellStyle name="Normal 5 3 8" xfId="1331" xr:uid="{00000000-0005-0000-0000-0000A41A0000}"/>
    <cellStyle name="Normal 5 3 8 2" xfId="3561" xr:uid="{00000000-0005-0000-0000-0000A51A0000}"/>
    <cellStyle name="Normal 5 3 8 2 2" xfId="7784" xr:uid="{00000000-0005-0000-0000-0000A61A0000}"/>
    <cellStyle name="Normal 5 3 8 2 2 2" xfId="24656" xr:uid="{C946EB40-E9A6-4E25-BA63-533EABA8D7FB}"/>
    <cellStyle name="Normal 5 3 8 2 2 3" xfId="16222" xr:uid="{0A448C08-0E01-4CE1-88FE-49A76B5D2EC2}"/>
    <cellStyle name="Normal 5 3 8 2 3" xfId="20439" xr:uid="{364F5C33-CEFD-44B5-A39A-82A4B9F21C61}"/>
    <cellStyle name="Normal 5 3 8 2 4" xfId="12005" xr:uid="{1CDA5DFE-D7A8-44AE-B554-5AA924B93A77}"/>
    <cellStyle name="Normal 5 3 8 3" xfId="5639" xr:uid="{00000000-0005-0000-0000-0000A71A0000}"/>
    <cellStyle name="Normal 5 3 8 3 2" xfId="22511" xr:uid="{E3ADE5D8-F5D5-4D2E-A704-D30238D9CD83}"/>
    <cellStyle name="Normal 5 3 8 3 3" xfId="14077" xr:uid="{EF2BE93D-EBC5-492F-9D87-6672462E0D41}"/>
    <cellStyle name="Normal 5 3 8 4" xfId="18294" xr:uid="{DE4180F5-47F0-4FF6-BF85-8C70EB6D41D4}"/>
    <cellStyle name="Normal 5 3 8 5" xfId="9860" xr:uid="{A5E8018A-B8C7-4706-88A2-730834EF7538}"/>
    <cellStyle name="Normal 5 3 9" xfId="1744" xr:uid="{00000000-0005-0000-0000-0000A81A0000}"/>
    <cellStyle name="Normal 5 3 9 2" xfId="3974" xr:uid="{00000000-0005-0000-0000-0000A91A0000}"/>
    <cellStyle name="Normal 5 3 9 2 2" xfId="8197" xr:uid="{00000000-0005-0000-0000-0000AA1A0000}"/>
    <cellStyle name="Normal 5 3 9 2 2 2" xfId="25069" xr:uid="{C8E1B9A3-20C9-4245-98D3-52AC139040C3}"/>
    <cellStyle name="Normal 5 3 9 2 2 3" xfId="16635" xr:uid="{6AB6B449-5DCB-4894-8785-D9F81AEE0394}"/>
    <cellStyle name="Normal 5 3 9 2 3" xfId="20852" xr:uid="{557476CD-09C1-4F00-BA05-DE2B21CA59BD}"/>
    <cellStyle name="Normal 5 3 9 2 4" xfId="12418" xr:uid="{C6642D13-1854-430F-B031-F99FA8F03358}"/>
    <cellStyle name="Normal 5 3 9 3" xfId="6052" xr:uid="{00000000-0005-0000-0000-0000AB1A0000}"/>
    <cellStyle name="Normal 5 3 9 3 2" xfId="22924" xr:uid="{3BEEFD73-4BC3-4596-A763-C09523F86053}"/>
    <cellStyle name="Normal 5 3 9 3 3" xfId="14490" xr:uid="{15611706-6F86-4E86-AB15-834C2BFAE4BF}"/>
    <cellStyle name="Normal 5 3 9 4" xfId="18707" xr:uid="{7FFAF4BA-2C6E-46F9-B61B-53F9FEB7C8D6}"/>
    <cellStyle name="Normal 5 3 9 5" xfId="10273" xr:uid="{6AFFA6A9-2C30-454E-AD5D-5DCEEACE1D5C}"/>
    <cellStyle name="Normal 5 4" xfId="456" xr:uid="{00000000-0005-0000-0000-0000AC1A0000}"/>
    <cellStyle name="Normal 5 4 10" xfId="4829" xr:uid="{00000000-0005-0000-0000-0000AD1A0000}"/>
    <cellStyle name="Normal 5 4 10 2" xfId="21701" xr:uid="{F0C19F01-2C1E-4DDD-AF81-4DE9739ED606}"/>
    <cellStyle name="Normal 5 4 10 3" xfId="13267" xr:uid="{32316CDF-C837-4B3B-91D7-75A3E19E4D62}"/>
    <cellStyle name="Normal 5 4 11" xfId="17484" xr:uid="{78B7D8EC-3FC4-46F9-8BD7-611762451380}"/>
    <cellStyle name="Normal 5 4 12" xfId="9050" xr:uid="{1D80A700-FA04-4CC9-A316-429C7BB45C0C}"/>
    <cellStyle name="Normal 5 4 2" xfId="457" xr:uid="{00000000-0005-0000-0000-0000AE1A0000}"/>
    <cellStyle name="Normal 5 4 2 10" xfId="17485" xr:uid="{79002E44-2978-411B-B7C4-EFCD9184F898}"/>
    <cellStyle name="Normal 5 4 2 11" xfId="9051" xr:uid="{FA96CEF9-EE04-44BF-87AD-5DE063245E33}"/>
    <cellStyle name="Normal 5 4 2 2" xfId="458" xr:uid="{00000000-0005-0000-0000-0000AF1A0000}"/>
    <cellStyle name="Normal 5 4 2 2 10" xfId="9052" xr:uid="{FE74AD34-4946-4685-905B-D90F82643B53}"/>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24262" xr:uid="{B2079E0B-C5E8-4E7A-A7FF-B29D463CA54A}"/>
    <cellStyle name="Normal 5 4 2 2 2 2 2 2 3" xfId="15828" xr:uid="{92B72CF8-A0F7-49A2-9095-0360346501D1}"/>
    <cellStyle name="Normal 5 4 2 2 2 2 2 3" xfId="20045" xr:uid="{A97960C4-3169-4CCC-8568-086007A88E52}"/>
    <cellStyle name="Normal 5 4 2 2 2 2 2 4" xfId="11611" xr:uid="{0DA4B472-BCC0-4F26-88B0-87C82D5E4F55}"/>
    <cellStyle name="Normal 5 4 2 2 2 2 3" xfId="5245" xr:uid="{00000000-0005-0000-0000-0000B41A0000}"/>
    <cellStyle name="Normal 5 4 2 2 2 2 3 2" xfId="22117" xr:uid="{8964B7E2-0D26-428B-9E75-02ACC56C05E4}"/>
    <cellStyle name="Normal 5 4 2 2 2 2 3 3" xfId="13683" xr:uid="{FB74784A-6E59-4BFD-A5BA-3DA5E0598CF1}"/>
    <cellStyle name="Normal 5 4 2 2 2 2 4" xfId="17900" xr:uid="{FCE4C1A8-9813-4B6C-92B5-7EE20997C0E4}"/>
    <cellStyle name="Normal 5 4 2 2 2 2 5" xfId="9466" xr:uid="{EF1161EB-CAEA-4213-97F2-2E215FF3EFD4}"/>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24675" xr:uid="{77004BCC-B2A9-43D7-B82D-AE6295467115}"/>
    <cellStyle name="Normal 5 4 2 2 2 3 2 2 3" xfId="16241" xr:uid="{D49F924C-5A46-48C3-AF31-2DB92CF019FA}"/>
    <cellStyle name="Normal 5 4 2 2 2 3 2 3" xfId="20458" xr:uid="{F7B34149-5D96-4B08-B708-AF11253F4971}"/>
    <cellStyle name="Normal 5 4 2 2 2 3 2 4" xfId="12024" xr:uid="{8DB7259F-45F7-479C-A44B-2AD4F1FCAC61}"/>
    <cellStyle name="Normal 5 4 2 2 2 3 3" xfId="5658" xr:uid="{00000000-0005-0000-0000-0000B81A0000}"/>
    <cellStyle name="Normal 5 4 2 2 2 3 3 2" xfId="22530" xr:uid="{87BD822C-0886-46C5-9143-912C2C5EA95B}"/>
    <cellStyle name="Normal 5 4 2 2 2 3 3 3" xfId="14096" xr:uid="{4A8561EA-97A2-41A6-873A-6D472CA4E92F}"/>
    <cellStyle name="Normal 5 4 2 2 2 3 4" xfId="18313" xr:uid="{A2A9C6DB-A50E-49DF-836B-BC44E122F7BA}"/>
    <cellStyle name="Normal 5 4 2 2 2 3 5" xfId="9879" xr:uid="{0CD673E6-9F23-45D5-988D-5E6D0B24C76B}"/>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25088" xr:uid="{11434191-4B9F-481D-A7D7-4D87FC034C2C}"/>
    <cellStyle name="Normal 5 4 2 2 2 4 2 2 3" xfId="16654" xr:uid="{ECDF89C8-681B-408E-B65D-FEBC0FB89D08}"/>
    <cellStyle name="Normal 5 4 2 2 2 4 2 3" xfId="20871" xr:uid="{189A3B97-1106-41A2-8411-4795AD430AA1}"/>
    <cellStyle name="Normal 5 4 2 2 2 4 2 4" xfId="12437" xr:uid="{6B01C961-7ED1-4ED2-B44E-015561B4ED51}"/>
    <cellStyle name="Normal 5 4 2 2 2 4 3" xfId="6071" xr:uid="{00000000-0005-0000-0000-0000BC1A0000}"/>
    <cellStyle name="Normal 5 4 2 2 2 4 3 2" xfId="22943" xr:uid="{B76FC50D-B33A-43E4-B230-079413D1C93E}"/>
    <cellStyle name="Normal 5 4 2 2 2 4 3 3" xfId="14509" xr:uid="{07A43B51-546B-4A56-8D48-AEE4E5DA0C71}"/>
    <cellStyle name="Normal 5 4 2 2 2 4 4" xfId="18726" xr:uid="{23E10BBD-D77E-4DB0-831E-0F3938937D7E}"/>
    <cellStyle name="Normal 5 4 2 2 2 4 5" xfId="10292" xr:uid="{81E84300-3423-4C8B-ABA7-858332EDDDA3}"/>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25501" xr:uid="{82CCB795-99CF-4AF1-A9BD-559825CCCC92}"/>
    <cellStyle name="Normal 5 4 2 2 2 5 2 2 3" xfId="17067" xr:uid="{60360BB8-CD6B-4809-BF13-BD5784FBA1E6}"/>
    <cellStyle name="Normal 5 4 2 2 2 5 2 3" xfId="21284" xr:uid="{85EC56E0-2C65-4332-9A2B-094AFDC0A98D}"/>
    <cellStyle name="Normal 5 4 2 2 2 5 2 4" xfId="12850" xr:uid="{65E81915-09D1-4335-89F8-A01B690C5E40}"/>
    <cellStyle name="Normal 5 4 2 2 2 5 3" xfId="6484" xr:uid="{00000000-0005-0000-0000-0000C01A0000}"/>
    <cellStyle name="Normal 5 4 2 2 2 5 3 2" xfId="23356" xr:uid="{7A839804-7E8B-4FFC-9616-E88CE7A47708}"/>
    <cellStyle name="Normal 5 4 2 2 2 5 3 3" xfId="14922" xr:uid="{0AC0F452-C663-4600-AF54-6BF135A92E84}"/>
    <cellStyle name="Normal 5 4 2 2 2 5 4" xfId="19139" xr:uid="{6C1B0CFF-47AB-48C5-BA1D-1F9D251A14B6}"/>
    <cellStyle name="Normal 5 4 2 2 2 5 5" xfId="10705" xr:uid="{AB4CD89B-FBA3-4A86-8A09-D9B0A9328E3B}"/>
    <cellStyle name="Normal 5 4 2 2 2 6" xfId="2613" xr:uid="{00000000-0005-0000-0000-0000C11A0000}"/>
    <cellStyle name="Normal 5 4 2 2 2 6 2" xfId="6897" xr:uid="{00000000-0005-0000-0000-0000C21A0000}"/>
    <cellStyle name="Normal 5 4 2 2 2 6 2 2" xfId="23769" xr:uid="{FC1652A8-B6BE-4B1B-AB40-63E500B71C48}"/>
    <cellStyle name="Normal 5 4 2 2 2 6 2 3" xfId="15335" xr:uid="{E530EFE6-47D4-4012-A95B-185671C71942}"/>
    <cellStyle name="Normal 5 4 2 2 2 6 3" xfId="19552" xr:uid="{F37DD4AA-8992-4BF0-8009-0301971AF17B}"/>
    <cellStyle name="Normal 5 4 2 2 2 6 4" xfId="11118" xr:uid="{A40F0370-291B-4E75-86F6-B91C51ACDC7A}"/>
    <cellStyle name="Normal 5 4 2 2 2 7" xfId="4832" xr:uid="{00000000-0005-0000-0000-0000C31A0000}"/>
    <cellStyle name="Normal 5 4 2 2 2 7 2" xfId="21704" xr:uid="{3999E2FC-C075-45D1-8382-9BBAE88FC10C}"/>
    <cellStyle name="Normal 5 4 2 2 2 7 3" xfId="13270" xr:uid="{F3780243-4B23-4D91-AA2D-C8E02F6A858C}"/>
    <cellStyle name="Normal 5 4 2 2 2 8" xfId="17487" xr:uid="{5FD2D7E1-F316-47A1-B5E2-E8A9AD85560F}"/>
    <cellStyle name="Normal 5 4 2 2 2 9" xfId="9053" xr:uid="{D9BFCEE3-F441-4110-AC6E-0712BA95B678}"/>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24261" xr:uid="{B1187CAC-E990-49A2-B6A2-C28B1CAC47AA}"/>
    <cellStyle name="Normal 5 4 2 2 3 2 2 3" xfId="15827" xr:uid="{86CFC311-1397-41C1-B60F-C42228C83F70}"/>
    <cellStyle name="Normal 5 4 2 2 3 2 3" xfId="20044" xr:uid="{0AC5B026-5A5E-4655-8BD2-2ABB6488C94E}"/>
    <cellStyle name="Normal 5 4 2 2 3 2 4" xfId="11610" xr:uid="{0C784CD4-993A-41F3-A69A-AFAF50047477}"/>
    <cellStyle name="Normal 5 4 2 2 3 3" xfId="5244" xr:uid="{00000000-0005-0000-0000-0000C71A0000}"/>
    <cellStyle name="Normal 5 4 2 2 3 3 2" xfId="22116" xr:uid="{C028F8CC-5818-4A16-B32A-2639E339F2A1}"/>
    <cellStyle name="Normal 5 4 2 2 3 3 3" xfId="13682" xr:uid="{30CBD32D-B591-4886-B4A8-7BED1659278E}"/>
    <cellStyle name="Normal 5 4 2 2 3 4" xfId="17899" xr:uid="{0AEB113B-C729-4767-A424-57BF4C03E442}"/>
    <cellStyle name="Normal 5 4 2 2 3 5" xfId="9465" xr:uid="{7961A393-7D22-4352-AA42-311C8F8F8C16}"/>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24674" xr:uid="{3DACB59D-E46D-4CD0-B93A-BFD56F94079E}"/>
    <cellStyle name="Normal 5 4 2 2 4 2 2 3" xfId="16240" xr:uid="{49B48E9C-3FBA-4D30-87D1-C3260A867872}"/>
    <cellStyle name="Normal 5 4 2 2 4 2 3" xfId="20457" xr:uid="{3CE782C8-E034-400F-9A84-7DE8AB39DF69}"/>
    <cellStyle name="Normal 5 4 2 2 4 2 4" xfId="12023" xr:uid="{2A1C2B49-C29F-4F76-9CD4-65116B8CD4BE}"/>
    <cellStyle name="Normal 5 4 2 2 4 3" xfId="5657" xr:uid="{00000000-0005-0000-0000-0000CB1A0000}"/>
    <cellStyle name="Normal 5 4 2 2 4 3 2" xfId="22529" xr:uid="{12D103CD-1B88-4BF3-A40E-E74657AC8B7C}"/>
    <cellStyle name="Normal 5 4 2 2 4 3 3" xfId="14095" xr:uid="{35A7E793-828D-4204-8E67-67509715A29A}"/>
    <cellStyle name="Normal 5 4 2 2 4 4" xfId="18312" xr:uid="{BF92AFE5-D2B1-437E-A421-EDD47E086D30}"/>
    <cellStyle name="Normal 5 4 2 2 4 5" xfId="9878" xr:uid="{6C4F989A-FBC1-498D-A7D3-11401601E7B1}"/>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25087" xr:uid="{67428AD1-C92A-45BE-B640-7F4D8EBE39DF}"/>
    <cellStyle name="Normal 5 4 2 2 5 2 2 3" xfId="16653" xr:uid="{70CA50C7-0D45-49C8-84EA-939D16DBC76C}"/>
    <cellStyle name="Normal 5 4 2 2 5 2 3" xfId="20870" xr:uid="{CEDDEFD0-4E23-4059-994F-FE6C09A24C7D}"/>
    <cellStyle name="Normal 5 4 2 2 5 2 4" xfId="12436" xr:uid="{1D409468-2C19-47CC-87A3-44C6729ACC00}"/>
    <cellStyle name="Normal 5 4 2 2 5 3" xfId="6070" xr:uid="{00000000-0005-0000-0000-0000CF1A0000}"/>
    <cellStyle name="Normal 5 4 2 2 5 3 2" xfId="22942" xr:uid="{20844A84-A7BC-49E3-B0C7-BB59BDA020AF}"/>
    <cellStyle name="Normal 5 4 2 2 5 3 3" xfId="14508" xr:uid="{4B3C90BB-208F-40D9-8908-A94227CC9B45}"/>
    <cellStyle name="Normal 5 4 2 2 5 4" xfId="18725" xr:uid="{6EF7D6A7-C474-403D-8263-8D38C6F8FC27}"/>
    <cellStyle name="Normal 5 4 2 2 5 5" xfId="10291" xr:uid="{6B54B3E8-AB6D-4503-960C-409AC2AB4BF2}"/>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25500" xr:uid="{8DA2B863-D965-43BC-A9F0-F20C75E1688B}"/>
    <cellStyle name="Normal 5 4 2 2 6 2 2 3" xfId="17066" xr:uid="{E7A793E7-F7B8-4FB3-A994-011866279B08}"/>
    <cellStyle name="Normal 5 4 2 2 6 2 3" xfId="21283" xr:uid="{C7C11796-9C3F-4DF3-B4BD-65E9E24D5A8C}"/>
    <cellStyle name="Normal 5 4 2 2 6 2 4" xfId="12849" xr:uid="{19835DD1-C18C-417E-8FBD-0391B3A0179C}"/>
    <cellStyle name="Normal 5 4 2 2 6 3" xfId="6483" xr:uid="{00000000-0005-0000-0000-0000D31A0000}"/>
    <cellStyle name="Normal 5 4 2 2 6 3 2" xfId="23355" xr:uid="{770425EF-4FE9-44D6-8525-E17971667D74}"/>
    <cellStyle name="Normal 5 4 2 2 6 3 3" xfId="14921" xr:uid="{FAF86B0C-C9FD-4912-A4A2-98767BDC886B}"/>
    <cellStyle name="Normal 5 4 2 2 6 4" xfId="19138" xr:uid="{12F4F911-6448-424C-A4C9-80A361EA72D5}"/>
    <cellStyle name="Normal 5 4 2 2 6 5" xfId="10704" xr:uid="{37379191-312B-4246-970A-1BF5013FE5A4}"/>
    <cellStyle name="Normal 5 4 2 2 7" xfId="2612" xr:uid="{00000000-0005-0000-0000-0000D41A0000}"/>
    <cellStyle name="Normal 5 4 2 2 7 2" xfId="6896" xr:uid="{00000000-0005-0000-0000-0000D51A0000}"/>
    <cellStyle name="Normal 5 4 2 2 7 2 2" xfId="23768" xr:uid="{80E17660-F506-4E49-824E-E57A21A34C12}"/>
    <cellStyle name="Normal 5 4 2 2 7 2 3" xfId="15334" xr:uid="{409180A7-FD49-406A-A29E-0A19B0FF2FEE}"/>
    <cellStyle name="Normal 5 4 2 2 7 3" xfId="19551" xr:uid="{1390A06B-8D59-4469-B823-E57855359A63}"/>
    <cellStyle name="Normal 5 4 2 2 7 4" xfId="11117" xr:uid="{78EC7E10-AE4F-45E5-B47A-ECFB0E7A2802}"/>
    <cellStyle name="Normal 5 4 2 2 8" xfId="4831" xr:uid="{00000000-0005-0000-0000-0000D61A0000}"/>
    <cellStyle name="Normal 5 4 2 2 8 2" xfId="21703" xr:uid="{AC27F3EB-231F-46A9-A082-CE6933007B97}"/>
    <cellStyle name="Normal 5 4 2 2 8 3" xfId="13269" xr:uid="{BBF13B2E-7E46-464A-BAFD-CFE6A10F5FEE}"/>
    <cellStyle name="Normal 5 4 2 2 9" xfId="17486" xr:uid="{70AF544D-DFC1-46EC-B2AD-FB53410A333F}"/>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24263" xr:uid="{761764B7-7113-4864-BC26-2A85A9057DB7}"/>
    <cellStyle name="Normal 5 4 2 3 2 2 2 3" xfId="15829" xr:uid="{ED941AE1-F6BE-43F8-A667-B832296DF4DC}"/>
    <cellStyle name="Normal 5 4 2 3 2 2 3" xfId="20046" xr:uid="{1A9BB9E4-3B97-47F4-B411-8EEA2E58B554}"/>
    <cellStyle name="Normal 5 4 2 3 2 2 4" xfId="11612" xr:uid="{2B923B9E-CD6E-4320-8C22-10F3422A1605}"/>
    <cellStyle name="Normal 5 4 2 3 2 3" xfId="5246" xr:uid="{00000000-0005-0000-0000-0000DB1A0000}"/>
    <cellStyle name="Normal 5 4 2 3 2 3 2" xfId="22118" xr:uid="{FD3FDCF4-1BD7-4454-BE3F-885681830F86}"/>
    <cellStyle name="Normal 5 4 2 3 2 3 3" xfId="13684" xr:uid="{5F378883-4394-43F2-B4AD-96A9E0FF0205}"/>
    <cellStyle name="Normal 5 4 2 3 2 4" xfId="17901" xr:uid="{D7CAFD2A-6D13-48CA-BA14-81D39FD10FCD}"/>
    <cellStyle name="Normal 5 4 2 3 2 5" xfId="9467" xr:uid="{D3102B0B-8315-4CB2-9B93-9C584BECF727}"/>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24676" xr:uid="{9EC7F6D3-A2DB-4A3B-ABEF-C76C7C0B39E9}"/>
    <cellStyle name="Normal 5 4 2 3 3 2 2 3" xfId="16242" xr:uid="{BBD2FC4D-B61D-4024-9938-FE7FE521E6B2}"/>
    <cellStyle name="Normal 5 4 2 3 3 2 3" xfId="20459" xr:uid="{D0A3793B-1D60-4A53-A2A6-7DE37955C897}"/>
    <cellStyle name="Normal 5 4 2 3 3 2 4" xfId="12025" xr:uid="{693F9CF5-A4E3-4D59-A6A5-EA0E1A15A601}"/>
    <cellStyle name="Normal 5 4 2 3 3 3" xfId="5659" xr:uid="{00000000-0005-0000-0000-0000DF1A0000}"/>
    <cellStyle name="Normal 5 4 2 3 3 3 2" xfId="22531" xr:uid="{61941AE8-DBF5-4229-A45C-0DA9B4286855}"/>
    <cellStyle name="Normal 5 4 2 3 3 3 3" xfId="14097" xr:uid="{698328E4-578B-43F7-A208-B21912D5A47A}"/>
    <cellStyle name="Normal 5 4 2 3 3 4" xfId="18314" xr:uid="{47BF6623-C2F1-4E15-B68F-BC7F5C785BE4}"/>
    <cellStyle name="Normal 5 4 2 3 3 5" xfId="9880" xr:uid="{CA30A839-0B9B-44A1-B4A6-217CBA0E7300}"/>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25089" xr:uid="{8AC54747-15F0-48AE-93F1-653313DB5255}"/>
    <cellStyle name="Normal 5 4 2 3 4 2 2 3" xfId="16655" xr:uid="{409A8329-A68A-4F52-B2B6-F3EFD414F8E3}"/>
    <cellStyle name="Normal 5 4 2 3 4 2 3" xfId="20872" xr:uid="{7416B953-DC6B-4382-B189-3502C0ECBA86}"/>
    <cellStyle name="Normal 5 4 2 3 4 2 4" xfId="12438" xr:uid="{4A9112EA-3727-49BB-9C66-78BB7271C03D}"/>
    <cellStyle name="Normal 5 4 2 3 4 3" xfId="6072" xr:uid="{00000000-0005-0000-0000-0000E31A0000}"/>
    <cellStyle name="Normal 5 4 2 3 4 3 2" xfId="22944" xr:uid="{0842BFF8-1874-43E0-A7AA-79F254D58F3A}"/>
    <cellStyle name="Normal 5 4 2 3 4 3 3" xfId="14510" xr:uid="{4D23070A-D732-41A5-B88B-C027FF4C90AF}"/>
    <cellStyle name="Normal 5 4 2 3 4 4" xfId="18727" xr:uid="{241E8791-634C-4651-BAAC-A70DB01F84F1}"/>
    <cellStyle name="Normal 5 4 2 3 4 5" xfId="10293" xr:uid="{44B58449-A04F-4A38-B081-5D3519AB8C61}"/>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25502" xr:uid="{51874DAA-E58C-4536-ADBA-CB2D97FB3146}"/>
    <cellStyle name="Normal 5 4 2 3 5 2 2 3" xfId="17068" xr:uid="{B6F42231-B8DD-438C-9D00-0D9415EA5410}"/>
    <cellStyle name="Normal 5 4 2 3 5 2 3" xfId="21285" xr:uid="{60813964-F51C-472A-A345-F7CDA7A0BA97}"/>
    <cellStyle name="Normal 5 4 2 3 5 2 4" xfId="12851" xr:uid="{F03603C8-A589-409E-93B2-1C9B8C24CB52}"/>
    <cellStyle name="Normal 5 4 2 3 5 3" xfId="6485" xr:uid="{00000000-0005-0000-0000-0000E71A0000}"/>
    <cellStyle name="Normal 5 4 2 3 5 3 2" xfId="23357" xr:uid="{8CF5A43E-F9D1-46C2-9CCE-BE58E797C82C}"/>
    <cellStyle name="Normal 5 4 2 3 5 3 3" xfId="14923" xr:uid="{9D4949C0-F4EA-4F0B-9D9E-B07CFE011985}"/>
    <cellStyle name="Normal 5 4 2 3 5 4" xfId="19140" xr:uid="{E02616F5-0181-4C0C-89C4-2B36E3939E22}"/>
    <cellStyle name="Normal 5 4 2 3 5 5" xfId="10706" xr:uid="{56FE29D5-9776-497D-8BEE-B399E6E22F98}"/>
    <cellStyle name="Normal 5 4 2 3 6" xfId="2614" xr:uid="{00000000-0005-0000-0000-0000E81A0000}"/>
    <cellStyle name="Normal 5 4 2 3 6 2" xfId="6898" xr:uid="{00000000-0005-0000-0000-0000E91A0000}"/>
    <cellStyle name="Normal 5 4 2 3 6 2 2" xfId="23770" xr:uid="{9F2318DE-EF5A-4667-AA46-31FB08B6FA93}"/>
    <cellStyle name="Normal 5 4 2 3 6 2 3" xfId="15336" xr:uid="{0D8BFC0F-0479-410E-A4F9-3D7DAE1E824A}"/>
    <cellStyle name="Normal 5 4 2 3 6 3" xfId="19553" xr:uid="{3361A90B-6C9C-4498-B373-E2EF33041D31}"/>
    <cellStyle name="Normal 5 4 2 3 6 4" xfId="11119" xr:uid="{A2910C59-099E-4C7A-955E-D0A372737844}"/>
    <cellStyle name="Normal 5 4 2 3 7" xfId="4833" xr:uid="{00000000-0005-0000-0000-0000EA1A0000}"/>
    <cellStyle name="Normal 5 4 2 3 7 2" xfId="21705" xr:uid="{3035C0CB-BC0A-4D42-B407-B8E2259E213F}"/>
    <cellStyle name="Normal 5 4 2 3 7 3" xfId="13271" xr:uid="{8B065990-6373-41D9-ADA5-FB29D4C74863}"/>
    <cellStyle name="Normal 5 4 2 3 8" xfId="17488" xr:uid="{8FBE6AAD-A659-405E-A15B-3E7243150A88}"/>
    <cellStyle name="Normal 5 4 2 3 9" xfId="9054" xr:uid="{9F9C623A-1A21-4591-9D23-887A1F8D1E3F}"/>
    <cellStyle name="Normal 5 4 2 4" xfId="931" xr:uid="{00000000-0005-0000-0000-0000EB1A0000}"/>
    <cellStyle name="Normal 5 4 2 4 2" xfId="3165" xr:uid="{00000000-0005-0000-0000-0000EC1A0000}"/>
    <cellStyle name="Normal 5 4 2 4 2 2" xfId="7388" xr:uid="{00000000-0005-0000-0000-0000ED1A0000}"/>
    <cellStyle name="Normal 5 4 2 4 2 2 2" xfId="24260" xr:uid="{B7A205AE-B391-4B5C-B49C-8BD33FE4504D}"/>
    <cellStyle name="Normal 5 4 2 4 2 2 3" xfId="15826" xr:uid="{5D492F7B-5BA4-4A1F-B14B-0A5A2114DCF5}"/>
    <cellStyle name="Normal 5 4 2 4 2 3" xfId="20043" xr:uid="{4C5ED75A-7AB1-4993-8DDE-0CD473276A23}"/>
    <cellStyle name="Normal 5 4 2 4 2 4" xfId="11609" xr:uid="{A335072B-CE02-4C67-B1C3-96A3A42C7D72}"/>
    <cellStyle name="Normal 5 4 2 4 3" xfId="5243" xr:uid="{00000000-0005-0000-0000-0000EE1A0000}"/>
    <cellStyle name="Normal 5 4 2 4 3 2" xfId="22115" xr:uid="{07395755-8762-485C-BAA5-D0E32A5F11AA}"/>
    <cellStyle name="Normal 5 4 2 4 3 3" xfId="13681" xr:uid="{3BB933A4-8BF2-4781-9DCB-0B954454AB4A}"/>
    <cellStyle name="Normal 5 4 2 4 4" xfId="17898" xr:uid="{B26AC7AD-083D-45DD-B004-2A93ECC08AF5}"/>
    <cellStyle name="Normal 5 4 2 4 5" xfId="9464" xr:uid="{D852FAFC-7658-4EED-82ED-309E905EAF26}"/>
    <cellStyle name="Normal 5 4 2 5" xfId="1348" xr:uid="{00000000-0005-0000-0000-0000EF1A0000}"/>
    <cellStyle name="Normal 5 4 2 5 2" xfId="3578" xr:uid="{00000000-0005-0000-0000-0000F01A0000}"/>
    <cellStyle name="Normal 5 4 2 5 2 2" xfId="7801" xr:uid="{00000000-0005-0000-0000-0000F11A0000}"/>
    <cellStyle name="Normal 5 4 2 5 2 2 2" xfId="24673" xr:uid="{E7700506-FD58-4B62-83B8-B3155BECF882}"/>
    <cellStyle name="Normal 5 4 2 5 2 2 3" xfId="16239" xr:uid="{7397FCFA-8182-4C40-98A3-513A20CC028E}"/>
    <cellStyle name="Normal 5 4 2 5 2 3" xfId="20456" xr:uid="{74B2FAD7-8192-42B1-B3DD-C7BE86F57E9D}"/>
    <cellStyle name="Normal 5 4 2 5 2 4" xfId="12022" xr:uid="{F1284928-918F-4197-9D6D-6BCAD4A42FE9}"/>
    <cellStyle name="Normal 5 4 2 5 3" xfId="5656" xr:uid="{00000000-0005-0000-0000-0000F21A0000}"/>
    <cellStyle name="Normal 5 4 2 5 3 2" xfId="22528" xr:uid="{4F49BEBE-2185-48A8-B6FC-14F9E62732AB}"/>
    <cellStyle name="Normal 5 4 2 5 3 3" xfId="14094" xr:uid="{13A75E8B-593C-409D-A9DC-CFAF8798D5C7}"/>
    <cellStyle name="Normal 5 4 2 5 4" xfId="18311" xr:uid="{0A79EB5A-A425-47A6-97D4-1B0731BE8916}"/>
    <cellStyle name="Normal 5 4 2 5 5" xfId="9877" xr:uid="{504C9ABE-47E2-4D17-888C-2EAF1FCE56E7}"/>
    <cellStyle name="Normal 5 4 2 6" xfId="1761" xr:uid="{00000000-0005-0000-0000-0000F31A0000}"/>
    <cellStyle name="Normal 5 4 2 6 2" xfId="3991" xr:uid="{00000000-0005-0000-0000-0000F41A0000}"/>
    <cellStyle name="Normal 5 4 2 6 2 2" xfId="8214" xr:uid="{00000000-0005-0000-0000-0000F51A0000}"/>
    <cellStyle name="Normal 5 4 2 6 2 2 2" xfId="25086" xr:uid="{51AF7873-DDE9-4A72-AFE6-672074F235E5}"/>
    <cellStyle name="Normal 5 4 2 6 2 2 3" xfId="16652" xr:uid="{37E11C11-05EF-40D3-84A7-7BE660ECA20F}"/>
    <cellStyle name="Normal 5 4 2 6 2 3" xfId="20869" xr:uid="{4F518169-643D-4D26-8836-B0974B674B85}"/>
    <cellStyle name="Normal 5 4 2 6 2 4" xfId="12435" xr:uid="{C92EC21F-66BC-4F0A-BF1A-5D1EB86DEE76}"/>
    <cellStyle name="Normal 5 4 2 6 3" xfId="6069" xr:uid="{00000000-0005-0000-0000-0000F61A0000}"/>
    <cellStyle name="Normal 5 4 2 6 3 2" xfId="22941" xr:uid="{E431A8DC-8E43-4895-B7C0-18C2F238DF71}"/>
    <cellStyle name="Normal 5 4 2 6 3 3" xfId="14507" xr:uid="{81443F54-E48E-4BA3-8C95-5B1A4D31B641}"/>
    <cellStyle name="Normal 5 4 2 6 4" xfId="18724" xr:uid="{404A7CD7-3967-46AB-9E0A-0DC07C3A4D69}"/>
    <cellStyle name="Normal 5 4 2 6 5" xfId="10290" xr:uid="{98C954B5-B941-46D5-9BB7-58AD2D8FE42F}"/>
    <cellStyle name="Normal 5 4 2 7" xfId="2175" xr:uid="{00000000-0005-0000-0000-0000F71A0000}"/>
    <cellStyle name="Normal 5 4 2 7 2" xfId="4404" xr:uid="{00000000-0005-0000-0000-0000F81A0000}"/>
    <cellStyle name="Normal 5 4 2 7 2 2" xfId="8627" xr:uid="{00000000-0005-0000-0000-0000F91A0000}"/>
    <cellStyle name="Normal 5 4 2 7 2 2 2" xfId="25499" xr:uid="{B361CC54-031A-48BB-AB4D-B93F559D95A4}"/>
    <cellStyle name="Normal 5 4 2 7 2 2 3" xfId="17065" xr:uid="{310F00C9-364D-4934-8EB0-FC7FBBA62A39}"/>
    <cellStyle name="Normal 5 4 2 7 2 3" xfId="21282" xr:uid="{EB70B523-B40C-4D96-9D8D-40BDBC66983F}"/>
    <cellStyle name="Normal 5 4 2 7 2 4" xfId="12848" xr:uid="{7DCE6DD1-513B-4813-B176-ADD100F62952}"/>
    <cellStyle name="Normal 5 4 2 7 3" xfId="6482" xr:uid="{00000000-0005-0000-0000-0000FA1A0000}"/>
    <cellStyle name="Normal 5 4 2 7 3 2" xfId="23354" xr:uid="{89841B86-682B-4B74-9393-D237805DC5B7}"/>
    <cellStyle name="Normal 5 4 2 7 3 3" xfId="14920" xr:uid="{DD889623-1EFE-41A2-BB27-F85C02EAF45C}"/>
    <cellStyle name="Normal 5 4 2 7 4" xfId="19137" xr:uid="{07A512DE-E978-4D32-96F1-890B8D85AD82}"/>
    <cellStyle name="Normal 5 4 2 7 5" xfId="10703" xr:uid="{D03902E0-498D-4BF6-AC6E-F5B921D4A144}"/>
    <cellStyle name="Normal 5 4 2 8" xfId="2611" xr:uid="{00000000-0005-0000-0000-0000FB1A0000}"/>
    <cellStyle name="Normal 5 4 2 8 2" xfId="6895" xr:uid="{00000000-0005-0000-0000-0000FC1A0000}"/>
    <cellStyle name="Normal 5 4 2 8 2 2" xfId="23767" xr:uid="{FB775EDC-C7FC-4B91-9583-B4E5F1EB993D}"/>
    <cellStyle name="Normal 5 4 2 8 2 3" xfId="15333" xr:uid="{96696002-904E-455D-8F27-AB7C9AE031A9}"/>
    <cellStyle name="Normal 5 4 2 8 3" xfId="19550" xr:uid="{C6FD2206-BE73-4586-88DA-2CCCC32DCC8A}"/>
    <cellStyle name="Normal 5 4 2 8 4" xfId="11116" xr:uid="{0D700F62-F1FB-4464-8C3F-B1825B691798}"/>
    <cellStyle name="Normal 5 4 2 9" xfId="4830" xr:uid="{00000000-0005-0000-0000-0000FD1A0000}"/>
    <cellStyle name="Normal 5 4 2 9 2" xfId="21702" xr:uid="{B92409DA-7A3C-49F3-BF41-340B906A95D6}"/>
    <cellStyle name="Normal 5 4 2 9 3" xfId="13268" xr:uid="{B817E06A-D50E-4F37-A071-40306085B77D}"/>
    <cellStyle name="Normal 5 4 3" xfId="461" xr:uid="{00000000-0005-0000-0000-0000FE1A0000}"/>
    <cellStyle name="Normal 5 4 3 10" xfId="9055" xr:uid="{E31340CE-9AFE-4D92-9AEC-F8A78107CEEE}"/>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24265" xr:uid="{A1D10A4C-BDDF-4462-8CCD-C0C53617BED8}"/>
    <cellStyle name="Normal 5 4 3 2 2 2 2 3" xfId="15831" xr:uid="{8267BB83-49B0-4CCC-99F0-37101FEC0F96}"/>
    <cellStyle name="Normal 5 4 3 2 2 2 3" xfId="20048" xr:uid="{34E435A0-9BEF-4329-B1D0-4FA57089A9EE}"/>
    <cellStyle name="Normal 5 4 3 2 2 2 4" xfId="11614" xr:uid="{2A4AA978-858D-4E5E-AD64-5AB06FA07BCF}"/>
    <cellStyle name="Normal 5 4 3 2 2 3" xfId="5248" xr:uid="{00000000-0005-0000-0000-0000031B0000}"/>
    <cellStyle name="Normal 5 4 3 2 2 3 2" xfId="22120" xr:uid="{1CF3B003-1F61-49C6-BB42-58D93BF3BA99}"/>
    <cellStyle name="Normal 5 4 3 2 2 3 3" xfId="13686" xr:uid="{F368FB41-865C-4EB7-8EF9-76C360485E3F}"/>
    <cellStyle name="Normal 5 4 3 2 2 4" xfId="17903" xr:uid="{52C54F5C-2E05-4DE1-845C-707908F24714}"/>
    <cellStyle name="Normal 5 4 3 2 2 5" xfId="9469" xr:uid="{B0F7C461-6C2E-4BD4-B496-5D231DACB37B}"/>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24678" xr:uid="{08049ABD-49C3-4B88-8CE7-0C3526155F3B}"/>
    <cellStyle name="Normal 5 4 3 2 3 2 2 3" xfId="16244" xr:uid="{DF6BF6DD-14A9-4C22-A075-1C0ABCE13CEE}"/>
    <cellStyle name="Normal 5 4 3 2 3 2 3" xfId="20461" xr:uid="{6C9E21BA-4706-4643-865A-3049239AECF0}"/>
    <cellStyle name="Normal 5 4 3 2 3 2 4" xfId="12027" xr:uid="{FFBEB0ED-EF4F-46DC-A754-7FD08A43A823}"/>
    <cellStyle name="Normal 5 4 3 2 3 3" xfId="5661" xr:uid="{00000000-0005-0000-0000-0000071B0000}"/>
    <cellStyle name="Normal 5 4 3 2 3 3 2" xfId="22533" xr:uid="{B2CCF6E5-9B49-4C3C-A432-CEE34F816628}"/>
    <cellStyle name="Normal 5 4 3 2 3 3 3" xfId="14099" xr:uid="{C8575227-89FB-4664-B40F-EC644A47BB50}"/>
    <cellStyle name="Normal 5 4 3 2 3 4" xfId="18316" xr:uid="{560A8900-6D03-4E96-B772-877820C2F521}"/>
    <cellStyle name="Normal 5 4 3 2 3 5" xfId="9882" xr:uid="{784CDE47-EFBC-4A8F-AB0E-4C057538B136}"/>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25091" xr:uid="{C8E2C243-DE1C-4A21-9550-6C29A5FF8F54}"/>
    <cellStyle name="Normal 5 4 3 2 4 2 2 3" xfId="16657" xr:uid="{F30F2DE2-112E-4773-B747-7E0BB5F4E277}"/>
    <cellStyle name="Normal 5 4 3 2 4 2 3" xfId="20874" xr:uid="{AF962E53-1F71-4384-9D0B-FED8F917CE86}"/>
    <cellStyle name="Normal 5 4 3 2 4 2 4" xfId="12440" xr:uid="{F7715E71-ED2B-4036-BEDD-D3177BC0E47E}"/>
    <cellStyle name="Normal 5 4 3 2 4 3" xfId="6074" xr:uid="{00000000-0005-0000-0000-00000B1B0000}"/>
    <cellStyle name="Normal 5 4 3 2 4 3 2" xfId="22946" xr:uid="{673F0E6F-B0A8-4994-88DB-028F7FA2EEBE}"/>
    <cellStyle name="Normal 5 4 3 2 4 3 3" xfId="14512" xr:uid="{57EAFFC9-3B00-4958-8805-EEE079FBC23C}"/>
    <cellStyle name="Normal 5 4 3 2 4 4" xfId="18729" xr:uid="{B9150091-7B90-4D94-A176-DDA6ADEB5E2E}"/>
    <cellStyle name="Normal 5 4 3 2 4 5" xfId="10295" xr:uid="{970C9F81-9785-4680-868E-6D7DB4C884EB}"/>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25504" xr:uid="{3245BA6B-C8E3-4D07-937C-D131FE04146A}"/>
    <cellStyle name="Normal 5 4 3 2 5 2 2 3" xfId="17070" xr:uid="{6165C908-18D2-4606-93BD-DE71D1EC6599}"/>
    <cellStyle name="Normal 5 4 3 2 5 2 3" xfId="21287" xr:uid="{6773D9B8-5F6F-41B5-9970-1D5A45CCFB83}"/>
    <cellStyle name="Normal 5 4 3 2 5 2 4" xfId="12853" xr:uid="{8CAFB8FF-C96A-492D-AA22-2AEC67239622}"/>
    <cellStyle name="Normal 5 4 3 2 5 3" xfId="6487" xr:uid="{00000000-0005-0000-0000-00000F1B0000}"/>
    <cellStyle name="Normal 5 4 3 2 5 3 2" xfId="23359" xr:uid="{68C2C982-EFE3-4745-AFA0-91AA87F3319D}"/>
    <cellStyle name="Normal 5 4 3 2 5 3 3" xfId="14925" xr:uid="{68487282-ED3A-4800-8843-A91C38240E25}"/>
    <cellStyle name="Normal 5 4 3 2 5 4" xfId="19142" xr:uid="{D8917665-5911-48C4-8128-2E29A96CF0DF}"/>
    <cellStyle name="Normal 5 4 3 2 5 5" xfId="10708" xr:uid="{9B5DFE60-459E-44A8-A95A-3B010B77D4B9}"/>
    <cellStyle name="Normal 5 4 3 2 6" xfId="2616" xr:uid="{00000000-0005-0000-0000-0000101B0000}"/>
    <cellStyle name="Normal 5 4 3 2 6 2" xfId="6900" xr:uid="{00000000-0005-0000-0000-0000111B0000}"/>
    <cellStyle name="Normal 5 4 3 2 6 2 2" xfId="23772" xr:uid="{326D865D-5F2F-4142-A3AD-3BCAE579CD27}"/>
    <cellStyle name="Normal 5 4 3 2 6 2 3" xfId="15338" xr:uid="{F9E06811-4053-4FDD-8900-5BB389E94558}"/>
    <cellStyle name="Normal 5 4 3 2 6 3" xfId="19555" xr:uid="{1154DDC9-C19E-4D06-80C7-77FC1BD4A525}"/>
    <cellStyle name="Normal 5 4 3 2 6 4" xfId="11121" xr:uid="{F879E608-38B3-49A8-B1BE-5CAF47DE4E0A}"/>
    <cellStyle name="Normal 5 4 3 2 7" xfId="4835" xr:uid="{00000000-0005-0000-0000-0000121B0000}"/>
    <cellStyle name="Normal 5 4 3 2 7 2" xfId="21707" xr:uid="{DE521367-D5CC-4483-B15E-8E84611FE134}"/>
    <cellStyle name="Normal 5 4 3 2 7 3" xfId="13273" xr:uid="{A9DB2951-D959-48D8-822E-FC5F3D49C95A}"/>
    <cellStyle name="Normal 5 4 3 2 8" xfId="17490" xr:uid="{4CE2F34B-055B-419A-884A-CB70CB6EE09D}"/>
    <cellStyle name="Normal 5 4 3 2 9" xfId="9056" xr:uid="{E27088CD-1A46-4D1B-A3A8-F9E90EC8904D}"/>
    <cellStyle name="Normal 5 4 3 3" xfId="935" xr:uid="{00000000-0005-0000-0000-0000131B0000}"/>
    <cellStyle name="Normal 5 4 3 3 2" xfId="3169" xr:uid="{00000000-0005-0000-0000-0000141B0000}"/>
    <cellStyle name="Normal 5 4 3 3 2 2" xfId="7392" xr:uid="{00000000-0005-0000-0000-0000151B0000}"/>
    <cellStyle name="Normal 5 4 3 3 2 2 2" xfId="24264" xr:uid="{75A4AD99-EE76-4D92-8523-4720E4E0C4D5}"/>
    <cellStyle name="Normal 5 4 3 3 2 2 3" xfId="15830" xr:uid="{DEB79D44-EEB8-4FCB-9F85-EDC99C127CC2}"/>
    <cellStyle name="Normal 5 4 3 3 2 3" xfId="20047" xr:uid="{9E4F2990-14E6-498E-846D-3DC131E84951}"/>
    <cellStyle name="Normal 5 4 3 3 2 4" xfId="11613" xr:uid="{13DC7D36-E715-4FFE-A555-93A5E4B65FA2}"/>
    <cellStyle name="Normal 5 4 3 3 3" xfId="5247" xr:uid="{00000000-0005-0000-0000-0000161B0000}"/>
    <cellStyle name="Normal 5 4 3 3 3 2" xfId="22119" xr:uid="{71CBFC36-F627-4990-B33D-E78473BB2821}"/>
    <cellStyle name="Normal 5 4 3 3 3 3" xfId="13685" xr:uid="{B95C89CC-2159-4B4D-BFFB-EB090C899750}"/>
    <cellStyle name="Normal 5 4 3 3 4" xfId="17902" xr:uid="{F8F7C954-50A9-47A5-8AAE-B28616F2F3B0}"/>
    <cellStyle name="Normal 5 4 3 3 5" xfId="9468" xr:uid="{99C150CB-0076-49CB-9BB2-1ECF76AD48F8}"/>
    <cellStyle name="Normal 5 4 3 4" xfId="1352" xr:uid="{00000000-0005-0000-0000-0000171B0000}"/>
    <cellStyle name="Normal 5 4 3 4 2" xfId="3582" xr:uid="{00000000-0005-0000-0000-0000181B0000}"/>
    <cellStyle name="Normal 5 4 3 4 2 2" xfId="7805" xr:uid="{00000000-0005-0000-0000-0000191B0000}"/>
    <cellStyle name="Normal 5 4 3 4 2 2 2" xfId="24677" xr:uid="{622CEFB4-5373-494E-A83D-F3454EA14A1F}"/>
    <cellStyle name="Normal 5 4 3 4 2 2 3" xfId="16243" xr:uid="{95EC2F9A-FFCB-4B78-AFDE-3B525FF74011}"/>
    <cellStyle name="Normal 5 4 3 4 2 3" xfId="20460" xr:uid="{C592DC57-7604-4DC0-87D0-1CA63D21CCDE}"/>
    <cellStyle name="Normal 5 4 3 4 2 4" xfId="12026" xr:uid="{C76E3676-A0E3-4B89-9E4A-09E18E60B2FB}"/>
    <cellStyle name="Normal 5 4 3 4 3" xfId="5660" xr:uid="{00000000-0005-0000-0000-00001A1B0000}"/>
    <cellStyle name="Normal 5 4 3 4 3 2" xfId="22532" xr:uid="{122EB253-9D30-43D4-9704-D5E494C856A3}"/>
    <cellStyle name="Normal 5 4 3 4 3 3" xfId="14098" xr:uid="{042BDF3B-61BB-4656-A9AC-6AE0A82B996C}"/>
    <cellStyle name="Normal 5 4 3 4 4" xfId="18315" xr:uid="{A281EBDC-3502-4C4D-89F5-EB5BF6BD0CD5}"/>
    <cellStyle name="Normal 5 4 3 4 5" xfId="9881" xr:uid="{F28FE3C4-F3F1-4DEB-8FFD-4991AB9E3E21}"/>
    <cellStyle name="Normal 5 4 3 5" xfId="1765" xr:uid="{00000000-0005-0000-0000-00001B1B0000}"/>
    <cellStyle name="Normal 5 4 3 5 2" xfId="3995" xr:uid="{00000000-0005-0000-0000-00001C1B0000}"/>
    <cellStyle name="Normal 5 4 3 5 2 2" xfId="8218" xr:uid="{00000000-0005-0000-0000-00001D1B0000}"/>
    <cellStyle name="Normal 5 4 3 5 2 2 2" xfId="25090" xr:uid="{0016B27C-9EA2-419D-92D8-3467D4F588C6}"/>
    <cellStyle name="Normal 5 4 3 5 2 2 3" xfId="16656" xr:uid="{2FC41516-9320-4E8F-B07F-C99F8F46EED4}"/>
    <cellStyle name="Normal 5 4 3 5 2 3" xfId="20873" xr:uid="{775A15F3-E507-43DB-9D8F-55E9BF49E208}"/>
    <cellStyle name="Normal 5 4 3 5 2 4" xfId="12439" xr:uid="{0BCE67B6-23C5-4EF6-A563-3643453EBADF}"/>
    <cellStyle name="Normal 5 4 3 5 3" xfId="6073" xr:uid="{00000000-0005-0000-0000-00001E1B0000}"/>
    <cellStyle name="Normal 5 4 3 5 3 2" xfId="22945" xr:uid="{22C8382B-2462-4D3C-9784-FF5DC6EAAA6F}"/>
    <cellStyle name="Normal 5 4 3 5 3 3" xfId="14511" xr:uid="{2CBB5052-1D48-408D-84C5-7736672F1D86}"/>
    <cellStyle name="Normal 5 4 3 5 4" xfId="18728" xr:uid="{9CF3BB2B-F3C0-42BE-A389-62C19FE394A6}"/>
    <cellStyle name="Normal 5 4 3 5 5" xfId="10294" xr:uid="{41027F82-F11B-4738-B02A-8C2D09022C77}"/>
    <cellStyle name="Normal 5 4 3 6" xfId="2179" xr:uid="{00000000-0005-0000-0000-00001F1B0000}"/>
    <cellStyle name="Normal 5 4 3 6 2" xfId="4408" xr:uid="{00000000-0005-0000-0000-0000201B0000}"/>
    <cellStyle name="Normal 5 4 3 6 2 2" xfId="8631" xr:uid="{00000000-0005-0000-0000-0000211B0000}"/>
    <cellStyle name="Normal 5 4 3 6 2 2 2" xfId="25503" xr:uid="{B4D1BCA6-B184-42CB-BD60-786C4F2BF9D7}"/>
    <cellStyle name="Normal 5 4 3 6 2 2 3" xfId="17069" xr:uid="{7E36A33D-FB3A-4FEB-8BC8-8EC8F26491AF}"/>
    <cellStyle name="Normal 5 4 3 6 2 3" xfId="21286" xr:uid="{64B3742A-148C-4F29-9587-5A33853AB72C}"/>
    <cellStyle name="Normal 5 4 3 6 2 4" xfId="12852" xr:uid="{C95D33FF-1A95-4A74-9B2A-33149BEBD4A5}"/>
    <cellStyle name="Normal 5 4 3 6 3" xfId="6486" xr:uid="{00000000-0005-0000-0000-0000221B0000}"/>
    <cellStyle name="Normal 5 4 3 6 3 2" xfId="23358" xr:uid="{CC6CC836-B510-4CB9-9F85-2F8CF07D45F2}"/>
    <cellStyle name="Normal 5 4 3 6 3 3" xfId="14924" xr:uid="{A3DAC18C-E87E-40A4-AE07-2DBE733ED0D9}"/>
    <cellStyle name="Normal 5 4 3 6 4" xfId="19141" xr:uid="{26BA0B03-24FD-4DE7-B485-0E9CAD14B091}"/>
    <cellStyle name="Normal 5 4 3 6 5" xfId="10707" xr:uid="{E96ED2EA-C595-421B-8C3A-AB2E7E7DE670}"/>
    <cellStyle name="Normal 5 4 3 7" xfId="2615" xr:uid="{00000000-0005-0000-0000-0000231B0000}"/>
    <cellStyle name="Normal 5 4 3 7 2" xfId="6899" xr:uid="{00000000-0005-0000-0000-0000241B0000}"/>
    <cellStyle name="Normal 5 4 3 7 2 2" xfId="23771" xr:uid="{BFEF1CB1-A1BB-4C15-9B41-120C9E47FBEC}"/>
    <cellStyle name="Normal 5 4 3 7 2 3" xfId="15337" xr:uid="{9D0CB355-188A-4510-8EAE-8972794A313F}"/>
    <cellStyle name="Normal 5 4 3 7 3" xfId="19554" xr:uid="{B14C9FF0-A88F-45DA-AB2F-AC8E63EFF717}"/>
    <cellStyle name="Normal 5 4 3 7 4" xfId="11120" xr:uid="{1DB5CF8B-897C-46EC-8310-08EF53025A3A}"/>
    <cellStyle name="Normal 5 4 3 8" xfId="4834" xr:uid="{00000000-0005-0000-0000-0000251B0000}"/>
    <cellStyle name="Normal 5 4 3 8 2" xfId="21706" xr:uid="{A1C4E291-23C2-4129-BACF-D24DE2802C0F}"/>
    <cellStyle name="Normal 5 4 3 8 3" xfId="13272" xr:uid="{21A75485-9C73-4077-9ABA-CA24D4AAA7AA}"/>
    <cellStyle name="Normal 5 4 3 9" xfId="17489" xr:uid="{4567512E-7B7E-4AA4-8EBA-CF3DE49D1212}"/>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24266" xr:uid="{4152A091-7DB5-4302-8FD6-B1E7160934A0}"/>
    <cellStyle name="Normal 5 4 4 2 2 2 3" xfId="15832" xr:uid="{79113CC4-FA48-4CCF-93FE-A5599B004C5E}"/>
    <cellStyle name="Normal 5 4 4 2 2 3" xfId="20049" xr:uid="{817005D3-5E53-4E34-8A41-7102893238EC}"/>
    <cellStyle name="Normal 5 4 4 2 2 4" xfId="11615" xr:uid="{52ED8FE4-5B3C-421E-9E67-6018375E8C7A}"/>
    <cellStyle name="Normal 5 4 4 2 3" xfId="5249" xr:uid="{00000000-0005-0000-0000-00002A1B0000}"/>
    <cellStyle name="Normal 5 4 4 2 3 2" xfId="22121" xr:uid="{2B72B1F9-6D27-4CA7-969F-5478C23CC2BD}"/>
    <cellStyle name="Normal 5 4 4 2 3 3" xfId="13687" xr:uid="{133E5D88-339C-4754-BAB8-C8630861C05C}"/>
    <cellStyle name="Normal 5 4 4 2 4" xfId="17904" xr:uid="{0DBEF8C1-86C6-4793-B15F-409973D7FBAA}"/>
    <cellStyle name="Normal 5 4 4 2 5" xfId="9470" xr:uid="{94BAB45D-3E16-4097-899E-1964310F04AB}"/>
    <cellStyle name="Normal 5 4 4 3" xfId="1354" xr:uid="{00000000-0005-0000-0000-00002B1B0000}"/>
    <cellStyle name="Normal 5 4 4 3 2" xfId="3584" xr:uid="{00000000-0005-0000-0000-00002C1B0000}"/>
    <cellStyle name="Normal 5 4 4 3 2 2" xfId="7807" xr:uid="{00000000-0005-0000-0000-00002D1B0000}"/>
    <cellStyle name="Normal 5 4 4 3 2 2 2" xfId="24679" xr:uid="{DE23D980-6B1A-44D4-AB6B-6C577CD4D7BD}"/>
    <cellStyle name="Normal 5 4 4 3 2 2 3" xfId="16245" xr:uid="{2B28A71D-880C-4B5F-BBA6-834616E1DEB9}"/>
    <cellStyle name="Normal 5 4 4 3 2 3" xfId="20462" xr:uid="{80E5C7C0-D21C-4456-9F8A-94D2E29A8828}"/>
    <cellStyle name="Normal 5 4 4 3 2 4" xfId="12028" xr:uid="{549F00FF-9919-4EC8-8B1B-66216E18FD59}"/>
    <cellStyle name="Normal 5 4 4 3 3" xfId="5662" xr:uid="{00000000-0005-0000-0000-00002E1B0000}"/>
    <cellStyle name="Normal 5 4 4 3 3 2" xfId="22534" xr:uid="{6E59EFE7-BACF-4FEA-BA47-F60C78B2F62F}"/>
    <cellStyle name="Normal 5 4 4 3 3 3" xfId="14100" xr:uid="{ED87F3F2-3F12-4ABE-864A-064DB9D195BB}"/>
    <cellStyle name="Normal 5 4 4 3 4" xfId="18317" xr:uid="{B96305A4-71EA-41B6-A4BD-0A03BBD280DE}"/>
    <cellStyle name="Normal 5 4 4 3 5" xfId="9883" xr:uid="{A14DDA02-1EA7-4226-A287-4A6A50D6E5D3}"/>
    <cellStyle name="Normal 5 4 4 4" xfId="1767" xr:uid="{00000000-0005-0000-0000-00002F1B0000}"/>
    <cellStyle name="Normal 5 4 4 4 2" xfId="3997" xr:uid="{00000000-0005-0000-0000-0000301B0000}"/>
    <cellStyle name="Normal 5 4 4 4 2 2" xfId="8220" xr:uid="{00000000-0005-0000-0000-0000311B0000}"/>
    <cellStyle name="Normal 5 4 4 4 2 2 2" xfId="25092" xr:uid="{60DB7EEF-7FED-4D54-8C8C-521B400F488F}"/>
    <cellStyle name="Normal 5 4 4 4 2 2 3" xfId="16658" xr:uid="{008DFA3E-8AA3-4BA6-AEBF-9254AFBA92F1}"/>
    <cellStyle name="Normal 5 4 4 4 2 3" xfId="20875" xr:uid="{78ACB70C-68B9-4DD1-83A5-B5858B9DF495}"/>
    <cellStyle name="Normal 5 4 4 4 2 4" xfId="12441" xr:uid="{C36B42AB-BAA2-4DAF-98CE-5F7A9ADE75FA}"/>
    <cellStyle name="Normal 5 4 4 4 3" xfId="6075" xr:uid="{00000000-0005-0000-0000-0000321B0000}"/>
    <cellStyle name="Normal 5 4 4 4 3 2" xfId="22947" xr:uid="{6D951DD5-ECEF-4461-9184-3F50FE7DB995}"/>
    <cellStyle name="Normal 5 4 4 4 3 3" xfId="14513" xr:uid="{1B3C19DF-1A53-422F-9430-752F1EA8C3A3}"/>
    <cellStyle name="Normal 5 4 4 4 4" xfId="18730" xr:uid="{14DD0DDC-CEA9-40E7-A0C4-1F82228ED527}"/>
    <cellStyle name="Normal 5 4 4 4 5" xfId="10296" xr:uid="{C3379118-0786-4669-A137-05F6AC14B3A2}"/>
    <cellStyle name="Normal 5 4 4 5" xfId="2181" xr:uid="{00000000-0005-0000-0000-0000331B0000}"/>
    <cellStyle name="Normal 5 4 4 5 2" xfId="4410" xr:uid="{00000000-0005-0000-0000-0000341B0000}"/>
    <cellStyle name="Normal 5 4 4 5 2 2" xfId="8633" xr:uid="{00000000-0005-0000-0000-0000351B0000}"/>
    <cellStyle name="Normal 5 4 4 5 2 2 2" xfId="25505" xr:uid="{17A595F3-F102-43AC-9823-E6269FC9D094}"/>
    <cellStyle name="Normal 5 4 4 5 2 2 3" xfId="17071" xr:uid="{FCB05ED1-D0D0-468A-9E89-3A8D9A72A646}"/>
    <cellStyle name="Normal 5 4 4 5 2 3" xfId="21288" xr:uid="{1E6B6ECC-A3C1-499E-99E9-5B0D0A16BDB7}"/>
    <cellStyle name="Normal 5 4 4 5 2 4" xfId="12854" xr:uid="{950E5CEA-0F40-49F2-8DAB-FA4B7DD641D4}"/>
    <cellStyle name="Normal 5 4 4 5 3" xfId="6488" xr:uid="{00000000-0005-0000-0000-0000361B0000}"/>
    <cellStyle name="Normal 5 4 4 5 3 2" xfId="23360" xr:uid="{1E3B9453-57D5-43D8-B818-196B2E8A7823}"/>
    <cellStyle name="Normal 5 4 4 5 3 3" xfId="14926" xr:uid="{B2DE6680-48D6-4CC2-8250-E5BA204A1152}"/>
    <cellStyle name="Normal 5 4 4 5 4" xfId="19143" xr:uid="{29D9D472-C04A-4803-B228-4C93A18418E2}"/>
    <cellStyle name="Normal 5 4 4 5 5" xfId="10709" xr:uid="{A3AA4B8C-A04F-447E-8023-B777087B74E6}"/>
    <cellStyle name="Normal 5 4 4 6" xfId="2617" xr:uid="{00000000-0005-0000-0000-0000371B0000}"/>
    <cellStyle name="Normal 5 4 4 6 2" xfId="6901" xr:uid="{00000000-0005-0000-0000-0000381B0000}"/>
    <cellStyle name="Normal 5 4 4 6 2 2" xfId="23773" xr:uid="{EDCB0DE4-BAED-4753-9595-BD5936D8D1DA}"/>
    <cellStyle name="Normal 5 4 4 6 2 3" xfId="15339" xr:uid="{17D3F3D5-D040-431E-8942-B141644CBA42}"/>
    <cellStyle name="Normal 5 4 4 6 3" xfId="19556" xr:uid="{2106378D-8FBB-436E-8A80-D4A162265559}"/>
    <cellStyle name="Normal 5 4 4 6 4" xfId="11122" xr:uid="{EB5451A0-00B5-4543-B6DE-ACA8FECE6FE3}"/>
    <cellStyle name="Normal 5 4 4 7" xfId="4836" xr:uid="{00000000-0005-0000-0000-0000391B0000}"/>
    <cellStyle name="Normal 5 4 4 7 2" xfId="21708" xr:uid="{E8A824E2-56FA-46B6-8396-1B3C172F9572}"/>
    <cellStyle name="Normal 5 4 4 7 3" xfId="13274" xr:uid="{6EC1053D-1EFF-4005-80AD-8849ACEF9F06}"/>
    <cellStyle name="Normal 5 4 4 8" xfId="17491" xr:uid="{3A51E2E7-A079-4483-80AD-DFB1D7EAF253}"/>
    <cellStyle name="Normal 5 4 4 9" xfId="9057" xr:uid="{7EC84BBC-2FC0-4A12-BCBA-18BFCFB6E7D7}"/>
    <cellStyle name="Normal 5 4 5" xfId="930" xr:uid="{00000000-0005-0000-0000-00003A1B0000}"/>
    <cellStyle name="Normal 5 4 5 2" xfId="3164" xr:uid="{00000000-0005-0000-0000-00003B1B0000}"/>
    <cellStyle name="Normal 5 4 5 2 2" xfId="7387" xr:uid="{00000000-0005-0000-0000-00003C1B0000}"/>
    <cellStyle name="Normal 5 4 5 2 2 2" xfId="24259" xr:uid="{22471AE7-312C-4CB1-AF1C-BFE3650D6117}"/>
    <cellStyle name="Normal 5 4 5 2 2 3" xfId="15825" xr:uid="{8013B8AC-CBE5-427B-997D-148A8E040CE7}"/>
    <cellStyle name="Normal 5 4 5 2 3" xfId="20042" xr:uid="{E433E61D-84B5-481A-A0ED-E29303E6877E}"/>
    <cellStyle name="Normal 5 4 5 2 4" xfId="11608" xr:uid="{3DA24D64-C628-4A24-8DAD-AD1E41B666A2}"/>
    <cellStyle name="Normal 5 4 5 3" xfId="5242" xr:uid="{00000000-0005-0000-0000-00003D1B0000}"/>
    <cellStyle name="Normal 5 4 5 3 2" xfId="22114" xr:uid="{3D7260BC-D534-41D8-B59E-C2370BB39888}"/>
    <cellStyle name="Normal 5 4 5 3 3" xfId="13680" xr:uid="{6635008D-0A0D-464D-A968-C4734682E50D}"/>
    <cellStyle name="Normal 5 4 5 4" xfId="17897" xr:uid="{55B3E4DB-411C-4731-89A9-5F524E968C97}"/>
    <cellStyle name="Normal 5 4 5 5" xfId="9463" xr:uid="{71A405C9-09C4-4919-9752-9F0A965C71D9}"/>
    <cellStyle name="Normal 5 4 6" xfId="1347" xr:uid="{00000000-0005-0000-0000-00003E1B0000}"/>
    <cellStyle name="Normal 5 4 6 2" xfId="3577" xr:uid="{00000000-0005-0000-0000-00003F1B0000}"/>
    <cellStyle name="Normal 5 4 6 2 2" xfId="7800" xr:uid="{00000000-0005-0000-0000-0000401B0000}"/>
    <cellStyle name="Normal 5 4 6 2 2 2" xfId="24672" xr:uid="{2A7C1959-54C3-4620-9C0A-FF1A1B935E12}"/>
    <cellStyle name="Normal 5 4 6 2 2 3" xfId="16238" xr:uid="{3A07F64D-DC45-4D14-B9B8-08966B4FBE5D}"/>
    <cellStyle name="Normal 5 4 6 2 3" xfId="20455" xr:uid="{77F94AAA-7CD4-44E0-85DB-B99F352703FC}"/>
    <cellStyle name="Normal 5 4 6 2 4" xfId="12021" xr:uid="{B86C61D7-E540-4DB7-AAD6-6FE3FC6A4EFE}"/>
    <cellStyle name="Normal 5 4 6 3" xfId="5655" xr:uid="{00000000-0005-0000-0000-0000411B0000}"/>
    <cellStyle name="Normal 5 4 6 3 2" xfId="22527" xr:uid="{AA375185-D452-470D-BCB0-12BEF52ACA29}"/>
    <cellStyle name="Normal 5 4 6 3 3" xfId="14093" xr:uid="{EED45CA5-7DEE-45A8-8411-00B1A068EE07}"/>
    <cellStyle name="Normal 5 4 6 4" xfId="18310" xr:uid="{26E35A20-3D97-4462-AE23-A55ADBF5387F}"/>
    <cellStyle name="Normal 5 4 6 5" xfId="9876" xr:uid="{A8A20AEA-1050-4ABE-B6F0-4CFC217C7207}"/>
    <cellStyle name="Normal 5 4 7" xfId="1760" xr:uid="{00000000-0005-0000-0000-0000421B0000}"/>
    <cellStyle name="Normal 5 4 7 2" xfId="3990" xr:uid="{00000000-0005-0000-0000-0000431B0000}"/>
    <cellStyle name="Normal 5 4 7 2 2" xfId="8213" xr:uid="{00000000-0005-0000-0000-0000441B0000}"/>
    <cellStyle name="Normal 5 4 7 2 2 2" xfId="25085" xr:uid="{8073CCCA-5462-44ED-93AC-9EE9AFCFDA4C}"/>
    <cellStyle name="Normal 5 4 7 2 2 3" xfId="16651" xr:uid="{E3F0BC4C-A6F4-4546-815E-1EBE144D3CF5}"/>
    <cellStyle name="Normal 5 4 7 2 3" xfId="20868" xr:uid="{043CAC32-A1B2-48E3-B887-0223A5B0BBC7}"/>
    <cellStyle name="Normal 5 4 7 2 4" xfId="12434" xr:uid="{11A170BA-108B-4BD1-84A5-905DD41ECCAE}"/>
    <cellStyle name="Normal 5 4 7 3" xfId="6068" xr:uid="{00000000-0005-0000-0000-0000451B0000}"/>
    <cellStyle name="Normal 5 4 7 3 2" xfId="22940" xr:uid="{9DE10EA9-F31E-4EF7-9435-19A33B4227E6}"/>
    <cellStyle name="Normal 5 4 7 3 3" xfId="14506" xr:uid="{45376945-D813-449D-A1FD-3072CE3FFD9D}"/>
    <cellStyle name="Normal 5 4 7 4" xfId="18723" xr:uid="{D14E84ED-F1AB-4DFC-87F1-01D91F65EBC6}"/>
    <cellStyle name="Normal 5 4 7 5" xfId="10289" xr:uid="{0528BE04-85DF-4815-B884-835B1F1C116F}"/>
    <cellStyle name="Normal 5 4 8" xfId="2174" xr:uid="{00000000-0005-0000-0000-0000461B0000}"/>
    <cellStyle name="Normal 5 4 8 2" xfId="4403" xr:uid="{00000000-0005-0000-0000-0000471B0000}"/>
    <cellStyle name="Normal 5 4 8 2 2" xfId="8626" xr:uid="{00000000-0005-0000-0000-0000481B0000}"/>
    <cellStyle name="Normal 5 4 8 2 2 2" xfId="25498" xr:uid="{85821447-13DB-4492-939D-40082680AA6E}"/>
    <cellStyle name="Normal 5 4 8 2 2 3" xfId="17064" xr:uid="{17BA1387-831C-4AF3-B0DE-50BCF13C3911}"/>
    <cellStyle name="Normal 5 4 8 2 3" xfId="21281" xr:uid="{E1C98CB7-AFF6-4BE3-9422-29B64ED5A4D7}"/>
    <cellStyle name="Normal 5 4 8 2 4" xfId="12847" xr:uid="{5717AC31-C603-4AAC-AB9B-831EAEF20D57}"/>
    <cellStyle name="Normal 5 4 8 3" xfId="6481" xr:uid="{00000000-0005-0000-0000-0000491B0000}"/>
    <cellStyle name="Normal 5 4 8 3 2" xfId="23353" xr:uid="{E3E600EA-C75A-4330-B0E2-0963D1846FA4}"/>
    <cellStyle name="Normal 5 4 8 3 3" xfId="14919" xr:uid="{58664236-BD21-4A49-A5F9-E3B7E364D4A4}"/>
    <cellStyle name="Normal 5 4 8 4" xfId="19136" xr:uid="{0D88C6F1-0160-4FBE-A02C-EDC580EE9C17}"/>
    <cellStyle name="Normal 5 4 8 5" xfId="10702" xr:uid="{6AE66990-18A9-4C2F-B188-7083E4D78E7D}"/>
    <cellStyle name="Normal 5 4 9" xfId="2610" xr:uid="{00000000-0005-0000-0000-00004A1B0000}"/>
    <cellStyle name="Normal 5 4 9 2" xfId="6894" xr:uid="{00000000-0005-0000-0000-00004B1B0000}"/>
    <cellStyle name="Normal 5 4 9 2 2" xfId="23766" xr:uid="{7D4A28C6-B750-4373-A5F6-E9FD42804FF3}"/>
    <cellStyle name="Normal 5 4 9 2 3" xfId="15332" xr:uid="{6DBD3A30-E061-4B64-840E-4805FE7CD113}"/>
    <cellStyle name="Normal 5 4 9 3" xfId="19549" xr:uid="{CBA9E8A5-9F4A-437D-AD4C-0D080122A6FB}"/>
    <cellStyle name="Normal 5 4 9 4" xfId="11115" xr:uid="{12174C89-B0D9-4736-8E46-5704F37F3325}"/>
    <cellStyle name="Normal 5 5" xfId="464" xr:uid="{00000000-0005-0000-0000-00004C1B0000}"/>
    <cellStyle name="Normal 5 5 10" xfId="17492" xr:uid="{2C93A701-B841-44D6-A10A-7A0897F79BD8}"/>
    <cellStyle name="Normal 5 5 11" xfId="9058" xr:uid="{ED98BEB7-C545-4B52-A91C-C8D52D6A24C7}"/>
    <cellStyle name="Normal 5 5 2" xfId="465" xr:uid="{00000000-0005-0000-0000-00004D1B0000}"/>
    <cellStyle name="Normal 5 5 2 10" xfId="9059" xr:uid="{2C8B7A29-6B49-4490-8C45-EDDE868055FF}"/>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24269" xr:uid="{FB8D6049-0C6F-478F-ABCA-FB6E5080A043}"/>
    <cellStyle name="Normal 5 5 2 2 2 2 2 3" xfId="15835" xr:uid="{7D902810-9C14-44BE-8A57-68223DD39D26}"/>
    <cellStyle name="Normal 5 5 2 2 2 2 3" xfId="20052" xr:uid="{4D8D809C-750A-4728-B077-BB8C509C7BF3}"/>
    <cellStyle name="Normal 5 5 2 2 2 2 4" xfId="11618" xr:uid="{1B9A6774-7227-420B-AF3D-040775B3FFFC}"/>
    <cellStyle name="Normal 5 5 2 2 2 3" xfId="5252" xr:uid="{00000000-0005-0000-0000-0000521B0000}"/>
    <cellStyle name="Normal 5 5 2 2 2 3 2" xfId="22124" xr:uid="{FBD72929-245B-4453-BB07-950F18BED367}"/>
    <cellStyle name="Normal 5 5 2 2 2 3 3" xfId="13690" xr:uid="{123DA3A2-D846-4EFA-97AB-B47E14AC6E5C}"/>
    <cellStyle name="Normal 5 5 2 2 2 4" xfId="17907" xr:uid="{338BC5F5-1DD3-46A7-AA88-8B52DB69250A}"/>
    <cellStyle name="Normal 5 5 2 2 2 5" xfId="9473" xr:uid="{B8B565AC-21F1-4C54-82FF-3A3E80E5DD26}"/>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24682" xr:uid="{5807F00D-2E47-47A9-AD35-3DABAE99B002}"/>
    <cellStyle name="Normal 5 5 2 2 3 2 2 3" xfId="16248" xr:uid="{F6CD7BF9-8BDD-4A64-B05D-D1F623511559}"/>
    <cellStyle name="Normal 5 5 2 2 3 2 3" xfId="20465" xr:uid="{3FDEF2DF-5155-4E94-BB53-75918B409023}"/>
    <cellStyle name="Normal 5 5 2 2 3 2 4" xfId="12031" xr:uid="{EEB019BE-BB3D-4BD9-B801-764F03563518}"/>
    <cellStyle name="Normal 5 5 2 2 3 3" xfId="5665" xr:uid="{00000000-0005-0000-0000-0000561B0000}"/>
    <cellStyle name="Normal 5 5 2 2 3 3 2" xfId="22537" xr:uid="{C979B273-5EF4-407A-9E3D-96D1E39DA283}"/>
    <cellStyle name="Normal 5 5 2 2 3 3 3" xfId="14103" xr:uid="{4853A259-4D3F-44A8-8BC3-C513E76BD7AC}"/>
    <cellStyle name="Normal 5 5 2 2 3 4" xfId="18320" xr:uid="{95323357-5915-4995-96DB-42DFB1D1BC51}"/>
    <cellStyle name="Normal 5 5 2 2 3 5" xfId="9886" xr:uid="{EE2E4678-0498-481B-AD8A-1FFFDDEB16D3}"/>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25095" xr:uid="{84C520AB-0882-413E-A937-6550BB8C1359}"/>
    <cellStyle name="Normal 5 5 2 2 4 2 2 3" xfId="16661" xr:uid="{EA32DAED-2E34-451D-B266-BB7AC27F0525}"/>
    <cellStyle name="Normal 5 5 2 2 4 2 3" xfId="20878" xr:uid="{6F4CA9AF-F392-4FCE-9196-AA2D180D1664}"/>
    <cellStyle name="Normal 5 5 2 2 4 2 4" xfId="12444" xr:uid="{306E6FAF-05A5-4DF2-B2E0-E155F385770F}"/>
    <cellStyle name="Normal 5 5 2 2 4 3" xfId="6078" xr:uid="{00000000-0005-0000-0000-00005A1B0000}"/>
    <cellStyle name="Normal 5 5 2 2 4 3 2" xfId="22950" xr:uid="{33C4E81D-5AD2-4671-8557-C9D11C59A5B3}"/>
    <cellStyle name="Normal 5 5 2 2 4 3 3" xfId="14516" xr:uid="{6038A182-8631-409D-8020-E9B7A593FF32}"/>
    <cellStyle name="Normal 5 5 2 2 4 4" xfId="18733" xr:uid="{3756A3CF-6487-44C7-9A57-CFAC592DB129}"/>
    <cellStyle name="Normal 5 5 2 2 4 5" xfId="10299" xr:uid="{C1694FCB-C15E-4868-85D6-0A8C3105D30E}"/>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25508" xr:uid="{7E8F3B22-2048-4998-AF28-34B58A8F4749}"/>
    <cellStyle name="Normal 5 5 2 2 5 2 2 3" xfId="17074" xr:uid="{B6B29846-F3AB-47AB-8F90-323018448C8C}"/>
    <cellStyle name="Normal 5 5 2 2 5 2 3" xfId="21291" xr:uid="{E7028FC3-DCC7-48C8-BE51-119C30DD8BA1}"/>
    <cellStyle name="Normal 5 5 2 2 5 2 4" xfId="12857" xr:uid="{5E15C221-A1D1-455A-AE8A-DD7B7D97B6ED}"/>
    <cellStyle name="Normal 5 5 2 2 5 3" xfId="6491" xr:uid="{00000000-0005-0000-0000-00005E1B0000}"/>
    <cellStyle name="Normal 5 5 2 2 5 3 2" xfId="23363" xr:uid="{FEE41782-DFA6-420D-A084-03436E20E2E5}"/>
    <cellStyle name="Normal 5 5 2 2 5 3 3" xfId="14929" xr:uid="{376B414A-4996-4877-88FB-13F637C9BF05}"/>
    <cellStyle name="Normal 5 5 2 2 5 4" xfId="19146" xr:uid="{CE73E86E-09EE-4ED5-8F4A-61EBFFF240BD}"/>
    <cellStyle name="Normal 5 5 2 2 5 5" xfId="10712" xr:uid="{261B8D8E-7FB1-482B-9BC7-0BBF45EAB6A1}"/>
    <cellStyle name="Normal 5 5 2 2 6" xfId="2620" xr:uid="{00000000-0005-0000-0000-00005F1B0000}"/>
    <cellStyle name="Normal 5 5 2 2 6 2" xfId="6904" xr:uid="{00000000-0005-0000-0000-0000601B0000}"/>
    <cellStyle name="Normal 5 5 2 2 6 2 2" xfId="23776" xr:uid="{907D5115-193B-4DC2-8DDD-9BB6FDE109CF}"/>
    <cellStyle name="Normal 5 5 2 2 6 2 3" xfId="15342" xr:uid="{A33AD1B3-D4A2-4CF7-BBD3-DA0AB5296A14}"/>
    <cellStyle name="Normal 5 5 2 2 6 3" xfId="19559" xr:uid="{4232FC7C-7FC9-4FB8-A278-4ACDC1F0DB50}"/>
    <cellStyle name="Normal 5 5 2 2 6 4" xfId="11125" xr:uid="{9DD25D04-4E96-4F88-8B35-F7C7E2CCDAA4}"/>
    <cellStyle name="Normal 5 5 2 2 7" xfId="4839" xr:uid="{00000000-0005-0000-0000-0000611B0000}"/>
    <cellStyle name="Normal 5 5 2 2 7 2" xfId="21711" xr:uid="{3D9CB840-2A8A-4B1C-B782-A6C25EEFC1C6}"/>
    <cellStyle name="Normal 5 5 2 2 7 3" xfId="13277" xr:uid="{B48188AE-F78B-41E8-AAEE-819984EEF8C3}"/>
    <cellStyle name="Normal 5 5 2 2 8" xfId="17494" xr:uid="{CE684CBE-3263-46C4-B5FC-0EB4BBAD7A95}"/>
    <cellStyle name="Normal 5 5 2 2 9" xfId="9060" xr:uid="{C79AA8AC-68DD-4D08-B14A-0A5236A895E0}"/>
    <cellStyle name="Normal 5 5 2 3" xfId="939" xr:uid="{00000000-0005-0000-0000-0000621B0000}"/>
    <cellStyle name="Normal 5 5 2 3 2" xfId="3173" xr:uid="{00000000-0005-0000-0000-0000631B0000}"/>
    <cellStyle name="Normal 5 5 2 3 2 2" xfId="7396" xr:uid="{00000000-0005-0000-0000-0000641B0000}"/>
    <cellStyle name="Normal 5 5 2 3 2 2 2" xfId="24268" xr:uid="{FD7A6A89-2289-416A-B961-B628E4881D6D}"/>
    <cellStyle name="Normal 5 5 2 3 2 2 3" xfId="15834" xr:uid="{EFB3EEA5-B141-4A91-AC1F-D5A25FFD0EB5}"/>
    <cellStyle name="Normal 5 5 2 3 2 3" xfId="20051" xr:uid="{15339B0A-0161-4A3F-B928-0472BFB96CD6}"/>
    <cellStyle name="Normal 5 5 2 3 2 4" xfId="11617" xr:uid="{B2DA12CA-78FD-41A2-BADE-C5AF18CAF1A3}"/>
    <cellStyle name="Normal 5 5 2 3 3" xfId="5251" xr:uid="{00000000-0005-0000-0000-0000651B0000}"/>
    <cellStyle name="Normal 5 5 2 3 3 2" xfId="22123" xr:uid="{490019A9-45E6-4443-93A4-0620F47B0166}"/>
    <cellStyle name="Normal 5 5 2 3 3 3" xfId="13689" xr:uid="{8D850CB0-8AF9-47A1-AE2F-FCFA562219B1}"/>
    <cellStyle name="Normal 5 5 2 3 4" xfId="17906" xr:uid="{0C851F6A-537A-447D-B004-1DB64D523A5B}"/>
    <cellStyle name="Normal 5 5 2 3 5" xfId="9472" xr:uid="{AE8D7DD2-621B-4AED-BC1B-058D2069D61A}"/>
    <cellStyle name="Normal 5 5 2 4" xfId="1356" xr:uid="{00000000-0005-0000-0000-0000661B0000}"/>
    <cellStyle name="Normal 5 5 2 4 2" xfId="3586" xr:uid="{00000000-0005-0000-0000-0000671B0000}"/>
    <cellStyle name="Normal 5 5 2 4 2 2" xfId="7809" xr:uid="{00000000-0005-0000-0000-0000681B0000}"/>
    <cellStyle name="Normal 5 5 2 4 2 2 2" xfId="24681" xr:uid="{1CC637FD-5E22-4E2C-9201-F794EE081576}"/>
    <cellStyle name="Normal 5 5 2 4 2 2 3" xfId="16247" xr:uid="{2CEF6902-7F3C-49A5-BD15-B0334F73A067}"/>
    <cellStyle name="Normal 5 5 2 4 2 3" xfId="20464" xr:uid="{B20F31D4-E13F-43AA-8137-871C1B595F57}"/>
    <cellStyle name="Normal 5 5 2 4 2 4" xfId="12030" xr:uid="{815713DD-7187-49B7-9C49-2F897C6C381D}"/>
    <cellStyle name="Normal 5 5 2 4 3" xfId="5664" xr:uid="{00000000-0005-0000-0000-0000691B0000}"/>
    <cellStyle name="Normal 5 5 2 4 3 2" xfId="22536" xr:uid="{1BEB4750-83C1-4AFA-968C-D6272D929BD0}"/>
    <cellStyle name="Normal 5 5 2 4 3 3" xfId="14102" xr:uid="{AB6F00DC-A27B-4E08-8354-ED5EB653D1D3}"/>
    <cellStyle name="Normal 5 5 2 4 4" xfId="18319" xr:uid="{6D2E8265-1766-42FF-8B73-54EE63F8E6C8}"/>
    <cellStyle name="Normal 5 5 2 4 5" xfId="9885" xr:uid="{DB8A3DFE-968C-4826-A500-F5421306EA70}"/>
    <cellStyle name="Normal 5 5 2 5" xfId="1769" xr:uid="{00000000-0005-0000-0000-00006A1B0000}"/>
    <cellStyle name="Normal 5 5 2 5 2" xfId="3999" xr:uid="{00000000-0005-0000-0000-00006B1B0000}"/>
    <cellStyle name="Normal 5 5 2 5 2 2" xfId="8222" xr:uid="{00000000-0005-0000-0000-00006C1B0000}"/>
    <cellStyle name="Normal 5 5 2 5 2 2 2" xfId="25094" xr:uid="{AD1E62D7-D55D-4244-BC19-C07A9B3ACC91}"/>
    <cellStyle name="Normal 5 5 2 5 2 2 3" xfId="16660" xr:uid="{B4600F0A-C2AB-4BAF-92BB-941D561E2700}"/>
    <cellStyle name="Normal 5 5 2 5 2 3" xfId="20877" xr:uid="{52A5CEF2-3439-4D54-BFC6-A079BF9796DA}"/>
    <cellStyle name="Normal 5 5 2 5 2 4" xfId="12443" xr:uid="{DF21EB1F-04E0-4DC9-AFD0-6FF064A52DF3}"/>
    <cellStyle name="Normal 5 5 2 5 3" xfId="6077" xr:uid="{00000000-0005-0000-0000-00006D1B0000}"/>
    <cellStyle name="Normal 5 5 2 5 3 2" xfId="22949" xr:uid="{C5A75447-42F6-4722-96E0-6F806D17BF57}"/>
    <cellStyle name="Normal 5 5 2 5 3 3" xfId="14515" xr:uid="{298292E7-22AB-4276-BDF4-CC5DE137F4EA}"/>
    <cellStyle name="Normal 5 5 2 5 4" xfId="18732" xr:uid="{60B4BBBE-CB1C-4121-9069-33377027071A}"/>
    <cellStyle name="Normal 5 5 2 5 5" xfId="10298" xr:uid="{8224A245-FBE7-4998-903F-A313F15E0EA2}"/>
    <cellStyle name="Normal 5 5 2 6" xfId="2183" xr:uid="{00000000-0005-0000-0000-00006E1B0000}"/>
    <cellStyle name="Normal 5 5 2 6 2" xfId="4412" xr:uid="{00000000-0005-0000-0000-00006F1B0000}"/>
    <cellStyle name="Normal 5 5 2 6 2 2" xfId="8635" xr:uid="{00000000-0005-0000-0000-0000701B0000}"/>
    <cellStyle name="Normal 5 5 2 6 2 2 2" xfId="25507" xr:uid="{C77189A7-DDBE-4F50-930F-03C1B09E2204}"/>
    <cellStyle name="Normal 5 5 2 6 2 2 3" xfId="17073" xr:uid="{7A363884-12F9-4E1D-8F67-75B1F5E070A3}"/>
    <cellStyle name="Normal 5 5 2 6 2 3" xfId="21290" xr:uid="{57CF1958-2298-449B-ADC3-526BC355212F}"/>
    <cellStyle name="Normal 5 5 2 6 2 4" xfId="12856" xr:uid="{70A952BB-BDA4-4210-B373-4488D0267B9D}"/>
    <cellStyle name="Normal 5 5 2 6 3" xfId="6490" xr:uid="{00000000-0005-0000-0000-0000711B0000}"/>
    <cellStyle name="Normal 5 5 2 6 3 2" xfId="23362" xr:uid="{A2C530F9-9E08-443A-92E4-AF61179CB0DE}"/>
    <cellStyle name="Normal 5 5 2 6 3 3" xfId="14928" xr:uid="{8501DC90-1869-4935-9760-DF68E9F02EDF}"/>
    <cellStyle name="Normal 5 5 2 6 4" xfId="19145" xr:uid="{C5D717A5-2B46-4D52-8F67-C5A36F42EE22}"/>
    <cellStyle name="Normal 5 5 2 6 5" xfId="10711" xr:uid="{11888996-01C0-4830-93A7-F4A4DC9943FD}"/>
    <cellStyle name="Normal 5 5 2 7" xfId="2619" xr:uid="{00000000-0005-0000-0000-0000721B0000}"/>
    <cellStyle name="Normal 5 5 2 7 2" xfId="6903" xr:uid="{00000000-0005-0000-0000-0000731B0000}"/>
    <cellStyle name="Normal 5 5 2 7 2 2" xfId="23775" xr:uid="{142B0DFD-17DF-4030-BCA9-DBF4EA908916}"/>
    <cellStyle name="Normal 5 5 2 7 2 3" xfId="15341" xr:uid="{35D945A9-FF90-444E-AC98-319FF7E0795F}"/>
    <cellStyle name="Normal 5 5 2 7 3" xfId="19558" xr:uid="{63611F4E-1FB2-4060-A14A-575715D4AC8B}"/>
    <cellStyle name="Normal 5 5 2 7 4" xfId="11124" xr:uid="{54DCF87F-46D3-4EA7-AA74-72E875699F00}"/>
    <cellStyle name="Normal 5 5 2 8" xfId="4838" xr:uid="{00000000-0005-0000-0000-0000741B0000}"/>
    <cellStyle name="Normal 5 5 2 8 2" xfId="21710" xr:uid="{E7662444-C6C4-4A10-947E-7FDCF6873735}"/>
    <cellStyle name="Normal 5 5 2 8 3" xfId="13276" xr:uid="{E31E6097-785A-429E-B233-26340309B595}"/>
    <cellStyle name="Normal 5 5 2 9" xfId="17493" xr:uid="{DD061C0A-ED3F-45F8-8EE4-85F4E524DCFD}"/>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24270" xr:uid="{BCAE75B4-6285-49CC-A431-DA1C80A5148E}"/>
    <cellStyle name="Normal 5 5 3 2 2 2 3" xfId="15836" xr:uid="{C23423D1-B1B7-4072-BA7A-342EE4F326F8}"/>
    <cellStyle name="Normal 5 5 3 2 2 3" xfId="20053" xr:uid="{A44A3DEF-BB72-43B2-810F-52DE65E48F30}"/>
    <cellStyle name="Normal 5 5 3 2 2 4" xfId="11619" xr:uid="{5E178106-A660-4F16-860A-CB7EE5788C4F}"/>
    <cellStyle name="Normal 5 5 3 2 3" xfId="5253" xr:uid="{00000000-0005-0000-0000-0000791B0000}"/>
    <cellStyle name="Normal 5 5 3 2 3 2" xfId="22125" xr:uid="{36FC44DF-0535-4DC5-8DEC-06CDFB9483F9}"/>
    <cellStyle name="Normal 5 5 3 2 3 3" xfId="13691" xr:uid="{052DDC55-0ABB-4EBF-8451-F054EA3EF7A0}"/>
    <cellStyle name="Normal 5 5 3 2 4" xfId="17908" xr:uid="{C5CC0C88-52DC-4503-AD21-B82C34B4A373}"/>
    <cellStyle name="Normal 5 5 3 2 5" xfId="9474" xr:uid="{573B5208-5B35-4D6F-975D-DE3D68CAC1B3}"/>
    <cellStyle name="Normal 5 5 3 3" xfId="1358" xr:uid="{00000000-0005-0000-0000-00007A1B0000}"/>
    <cellStyle name="Normal 5 5 3 3 2" xfId="3588" xr:uid="{00000000-0005-0000-0000-00007B1B0000}"/>
    <cellStyle name="Normal 5 5 3 3 2 2" xfId="7811" xr:uid="{00000000-0005-0000-0000-00007C1B0000}"/>
    <cellStyle name="Normal 5 5 3 3 2 2 2" xfId="24683" xr:uid="{A4441A6B-D45D-4D42-8C35-68E3D10200E7}"/>
    <cellStyle name="Normal 5 5 3 3 2 2 3" xfId="16249" xr:uid="{68622E5C-32C7-4B83-AF58-35BFBBEC6C8C}"/>
    <cellStyle name="Normal 5 5 3 3 2 3" xfId="20466" xr:uid="{EBB6403E-62C3-48CE-B550-FF8C47164D31}"/>
    <cellStyle name="Normal 5 5 3 3 2 4" xfId="12032" xr:uid="{BFF3A59E-EBDF-4D59-9A93-70F060549AD7}"/>
    <cellStyle name="Normal 5 5 3 3 3" xfId="5666" xr:uid="{00000000-0005-0000-0000-00007D1B0000}"/>
    <cellStyle name="Normal 5 5 3 3 3 2" xfId="22538" xr:uid="{E6FD4047-30AD-47D4-8BE8-11B4475C429D}"/>
    <cellStyle name="Normal 5 5 3 3 3 3" xfId="14104" xr:uid="{A9BFE27D-380B-41C9-A6A8-FDB5A3204DD5}"/>
    <cellStyle name="Normal 5 5 3 3 4" xfId="18321" xr:uid="{2EBB9649-B87C-4DE7-B5EA-7727236C1A2F}"/>
    <cellStyle name="Normal 5 5 3 3 5" xfId="9887" xr:uid="{4D02570C-6221-461A-B0D2-390F38E4D54A}"/>
    <cellStyle name="Normal 5 5 3 4" xfId="1771" xr:uid="{00000000-0005-0000-0000-00007E1B0000}"/>
    <cellStyle name="Normal 5 5 3 4 2" xfId="4001" xr:uid="{00000000-0005-0000-0000-00007F1B0000}"/>
    <cellStyle name="Normal 5 5 3 4 2 2" xfId="8224" xr:uid="{00000000-0005-0000-0000-0000801B0000}"/>
    <cellStyle name="Normal 5 5 3 4 2 2 2" xfId="25096" xr:uid="{C910EFC0-2A05-4522-9599-1E9723F6D058}"/>
    <cellStyle name="Normal 5 5 3 4 2 2 3" xfId="16662" xr:uid="{FFEA4C47-3167-4AB6-A1E9-69BC32E586F9}"/>
    <cellStyle name="Normal 5 5 3 4 2 3" xfId="20879" xr:uid="{ACE18158-420A-4A0A-BFB7-E1609CC0FE0F}"/>
    <cellStyle name="Normal 5 5 3 4 2 4" xfId="12445" xr:uid="{7D4A9BA4-7D6C-49CE-9DC7-EC79CB0FC2A1}"/>
    <cellStyle name="Normal 5 5 3 4 3" xfId="6079" xr:uid="{00000000-0005-0000-0000-0000811B0000}"/>
    <cellStyle name="Normal 5 5 3 4 3 2" xfId="22951" xr:uid="{4F98441A-EC07-4C76-9A0E-1408909BE632}"/>
    <cellStyle name="Normal 5 5 3 4 3 3" xfId="14517" xr:uid="{F940632A-B7AD-458E-9937-16988A72D9B5}"/>
    <cellStyle name="Normal 5 5 3 4 4" xfId="18734" xr:uid="{F78D4E68-973D-41A5-8351-C0AA16E5ED70}"/>
    <cellStyle name="Normal 5 5 3 4 5" xfId="10300" xr:uid="{B4070715-6AAD-4B7C-AE37-43138A30817A}"/>
    <cellStyle name="Normal 5 5 3 5" xfId="2185" xr:uid="{00000000-0005-0000-0000-0000821B0000}"/>
    <cellStyle name="Normal 5 5 3 5 2" xfId="4414" xr:uid="{00000000-0005-0000-0000-0000831B0000}"/>
    <cellStyle name="Normal 5 5 3 5 2 2" xfId="8637" xr:uid="{00000000-0005-0000-0000-0000841B0000}"/>
    <cellStyle name="Normal 5 5 3 5 2 2 2" xfId="25509" xr:uid="{8EF7FBDD-5049-48EA-AAC1-304A83A6A3AD}"/>
    <cellStyle name="Normal 5 5 3 5 2 2 3" xfId="17075" xr:uid="{00728000-37C7-4729-828C-B6A79A962F04}"/>
    <cellStyle name="Normal 5 5 3 5 2 3" xfId="21292" xr:uid="{2081D612-A9DD-44AC-B6A3-81C51F2DF49C}"/>
    <cellStyle name="Normal 5 5 3 5 2 4" xfId="12858" xr:uid="{ACACA8B7-8530-49B6-9CB4-49E30D92F7E4}"/>
    <cellStyle name="Normal 5 5 3 5 3" xfId="6492" xr:uid="{00000000-0005-0000-0000-0000851B0000}"/>
    <cellStyle name="Normal 5 5 3 5 3 2" xfId="23364" xr:uid="{5057264E-2E35-46D5-B958-D6F3A4364688}"/>
    <cellStyle name="Normal 5 5 3 5 3 3" xfId="14930" xr:uid="{01C4943A-2D0D-4EC4-982D-CC011B2226EF}"/>
    <cellStyle name="Normal 5 5 3 5 4" xfId="19147" xr:uid="{F4F40F34-9BA6-4695-83B9-B4ED8C155FAE}"/>
    <cellStyle name="Normal 5 5 3 5 5" xfId="10713" xr:uid="{3402F166-4CAE-450B-AD73-3983AB1515E9}"/>
    <cellStyle name="Normal 5 5 3 6" xfId="2621" xr:uid="{00000000-0005-0000-0000-0000861B0000}"/>
    <cellStyle name="Normal 5 5 3 6 2" xfId="6905" xr:uid="{00000000-0005-0000-0000-0000871B0000}"/>
    <cellStyle name="Normal 5 5 3 6 2 2" xfId="23777" xr:uid="{DE01E02E-FBBF-4D40-88C0-C101E60B0CF0}"/>
    <cellStyle name="Normal 5 5 3 6 2 3" xfId="15343" xr:uid="{BD369C1E-8D26-4A74-AF8F-E469BF2F5982}"/>
    <cellStyle name="Normal 5 5 3 6 3" xfId="19560" xr:uid="{83E69235-50C5-465F-9331-560458E8BD9F}"/>
    <cellStyle name="Normal 5 5 3 6 4" xfId="11126" xr:uid="{97DD82B4-1C18-4148-87E4-64A331EF201B}"/>
    <cellStyle name="Normal 5 5 3 7" xfId="4840" xr:uid="{00000000-0005-0000-0000-0000881B0000}"/>
    <cellStyle name="Normal 5 5 3 7 2" xfId="21712" xr:uid="{FC72914E-FB26-4C04-B429-9B21231EB110}"/>
    <cellStyle name="Normal 5 5 3 7 3" xfId="13278" xr:uid="{451CE814-B918-480C-831A-85992E217152}"/>
    <cellStyle name="Normal 5 5 3 8" xfId="17495" xr:uid="{02CD5F6D-DF29-4B32-9619-58A12733F24C}"/>
    <cellStyle name="Normal 5 5 3 9" xfId="9061" xr:uid="{EE644F8B-0C43-42F0-866C-E222855A9AE6}"/>
    <cellStyle name="Normal 5 5 4" xfId="938" xr:uid="{00000000-0005-0000-0000-0000891B0000}"/>
    <cellStyle name="Normal 5 5 4 2" xfId="3172" xr:uid="{00000000-0005-0000-0000-00008A1B0000}"/>
    <cellStyle name="Normal 5 5 4 2 2" xfId="7395" xr:uid="{00000000-0005-0000-0000-00008B1B0000}"/>
    <cellStyle name="Normal 5 5 4 2 2 2" xfId="24267" xr:uid="{DA3E4E70-7FF0-4C65-A611-FB3DBF8170CA}"/>
    <cellStyle name="Normal 5 5 4 2 2 3" xfId="15833" xr:uid="{0E158EAB-EA79-4EDE-983E-EBFE74ADD460}"/>
    <cellStyle name="Normal 5 5 4 2 3" xfId="20050" xr:uid="{4FB9D17A-C9FC-49A4-AE23-1A34E4188FAE}"/>
    <cellStyle name="Normal 5 5 4 2 4" xfId="11616" xr:uid="{7D0E3621-C193-4DC7-B5D5-6F167B694427}"/>
    <cellStyle name="Normal 5 5 4 3" xfId="5250" xr:uid="{00000000-0005-0000-0000-00008C1B0000}"/>
    <cellStyle name="Normal 5 5 4 3 2" xfId="22122" xr:uid="{F8EE10CB-6A57-484A-9F40-D1CB33AE9041}"/>
    <cellStyle name="Normal 5 5 4 3 3" xfId="13688" xr:uid="{5F30B7BC-7C71-4108-B3FB-6BFDF13F10AD}"/>
    <cellStyle name="Normal 5 5 4 4" xfId="17905" xr:uid="{CC525D3E-8231-4D9F-ABD7-F5A134F2C4A5}"/>
    <cellStyle name="Normal 5 5 4 5" xfId="9471" xr:uid="{996A161F-E2DF-43AD-8742-D093C26899FC}"/>
    <cellStyle name="Normal 5 5 5" xfId="1355" xr:uid="{00000000-0005-0000-0000-00008D1B0000}"/>
    <cellStyle name="Normal 5 5 5 2" xfId="3585" xr:uid="{00000000-0005-0000-0000-00008E1B0000}"/>
    <cellStyle name="Normal 5 5 5 2 2" xfId="7808" xr:uid="{00000000-0005-0000-0000-00008F1B0000}"/>
    <cellStyle name="Normal 5 5 5 2 2 2" xfId="24680" xr:uid="{C2807E80-73B0-4303-8380-07E1391D350A}"/>
    <cellStyle name="Normal 5 5 5 2 2 3" xfId="16246" xr:uid="{8F184B8D-C5B1-4832-BCB0-73C74F9E9F4E}"/>
    <cellStyle name="Normal 5 5 5 2 3" xfId="20463" xr:uid="{D538F0DF-9349-474B-BEF9-D4D6139D27F5}"/>
    <cellStyle name="Normal 5 5 5 2 4" xfId="12029" xr:uid="{7793044D-AB53-46C2-9D66-A7FF87E91582}"/>
    <cellStyle name="Normal 5 5 5 3" xfId="5663" xr:uid="{00000000-0005-0000-0000-0000901B0000}"/>
    <cellStyle name="Normal 5 5 5 3 2" xfId="22535" xr:uid="{2B04D5C6-A371-4FEB-9087-567CD483BC21}"/>
    <cellStyle name="Normal 5 5 5 3 3" xfId="14101" xr:uid="{D49A7639-AA39-4E4F-8904-5E48D2A7903C}"/>
    <cellStyle name="Normal 5 5 5 4" xfId="18318" xr:uid="{9619CBD5-8532-4D50-8F57-C9DCCAB46BC8}"/>
    <cellStyle name="Normal 5 5 5 5" xfId="9884" xr:uid="{A6F5BFF9-B337-44BD-BC3F-90927CAAE602}"/>
    <cellStyle name="Normal 5 5 6" xfId="1768" xr:uid="{00000000-0005-0000-0000-0000911B0000}"/>
    <cellStyle name="Normal 5 5 6 2" xfId="3998" xr:uid="{00000000-0005-0000-0000-0000921B0000}"/>
    <cellStyle name="Normal 5 5 6 2 2" xfId="8221" xr:uid="{00000000-0005-0000-0000-0000931B0000}"/>
    <cellStyle name="Normal 5 5 6 2 2 2" xfId="25093" xr:uid="{290E32F5-BB0C-447D-91BA-1FB6FEB769AD}"/>
    <cellStyle name="Normal 5 5 6 2 2 3" xfId="16659" xr:uid="{13AC3580-7FFD-4908-9570-29898B69D017}"/>
    <cellStyle name="Normal 5 5 6 2 3" xfId="20876" xr:uid="{9BC21AEB-366F-4477-927D-5383F5755F58}"/>
    <cellStyle name="Normal 5 5 6 2 4" xfId="12442" xr:uid="{C776D276-AF8F-4A53-948F-EE0DFFBA460E}"/>
    <cellStyle name="Normal 5 5 6 3" xfId="6076" xr:uid="{00000000-0005-0000-0000-0000941B0000}"/>
    <cellStyle name="Normal 5 5 6 3 2" xfId="22948" xr:uid="{4369C6AB-7964-4959-B61E-1AE2823EC399}"/>
    <cellStyle name="Normal 5 5 6 3 3" xfId="14514" xr:uid="{37014662-0126-4A74-A6FC-E2980892D057}"/>
    <cellStyle name="Normal 5 5 6 4" xfId="18731" xr:uid="{1278D7D4-D64B-440A-8B14-742A16562D3C}"/>
    <cellStyle name="Normal 5 5 6 5" xfId="10297" xr:uid="{90A1ED15-CBBE-4BDE-AA05-1A5D122D1010}"/>
    <cellStyle name="Normal 5 5 7" xfId="2182" xr:uid="{00000000-0005-0000-0000-0000951B0000}"/>
    <cellStyle name="Normal 5 5 7 2" xfId="4411" xr:uid="{00000000-0005-0000-0000-0000961B0000}"/>
    <cellStyle name="Normal 5 5 7 2 2" xfId="8634" xr:uid="{00000000-0005-0000-0000-0000971B0000}"/>
    <cellStyle name="Normal 5 5 7 2 2 2" xfId="25506" xr:uid="{68180AB7-9483-4F72-80D3-DB6F99F1E6BA}"/>
    <cellStyle name="Normal 5 5 7 2 2 3" xfId="17072" xr:uid="{236F823F-087A-4B98-8BEB-A7915432D9AA}"/>
    <cellStyle name="Normal 5 5 7 2 3" xfId="21289" xr:uid="{CD809D49-9556-4F7D-A32D-5AC8F4BEFAA9}"/>
    <cellStyle name="Normal 5 5 7 2 4" xfId="12855" xr:uid="{645DDB47-E272-4E6A-ADAD-5B0A58D402C6}"/>
    <cellStyle name="Normal 5 5 7 3" xfId="6489" xr:uid="{00000000-0005-0000-0000-0000981B0000}"/>
    <cellStyle name="Normal 5 5 7 3 2" xfId="23361" xr:uid="{3EB4466D-1D34-4CD8-AC59-08649AF754A0}"/>
    <cellStyle name="Normal 5 5 7 3 3" xfId="14927" xr:uid="{0DB5E769-57E5-494B-88FD-350D573613F4}"/>
    <cellStyle name="Normal 5 5 7 4" xfId="19144" xr:uid="{625ED88F-D39B-4B47-B660-269596460852}"/>
    <cellStyle name="Normal 5 5 7 5" xfId="10710" xr:uid="{D769A162-7570-4EF1-824F-D06BD5FD376A}"/>
    <cellStyle name="Normal 5 5 8" xfId="2618" xr:uid="{00000000-0005-0000-0000-0000991B0000}"/>
    <cellStyle name="Normal 5 5 8 2" xfId="6902" xr:uid="{00000000-0005-0000-0000-00009A1B0000}"/>
    <cellStyle name="Normal 5 5 8 2 2" xfId="23774" xr:uid="{8ACAA6F4-FBA8-4A81-B7F8-295C60EEF8E3}"/>
    <cellStyle name="Normal 5 5 8 2 3" xfId="15340" xr:uid="{C05A200B-90F2-4751-922D-8500854090F4}"/>
    <cellStyle name="Normal 5 5 8 3" xfId="19557" xr:uid="{43A9B52F-BB22-47C2-AB79-0DAD3E5B1F02}"/>
    <cellStyle name="Normal 5 5 8 4" xfId="11123" xr:uid="{265F2744-1D76-402A-B654-6299FFF3A83F}"/>
    <cellStyle name="Normal 5 5 9" xfId="4837" xr:uid="{00000000-0005-0000-0000-00009B1B0000}"/>
    <cellStyle name="Normal 5 5 9 2" xfId="21709" xr:uid="{0044FB12-3EB8-4697-BD20-24625DC01A68}"/>
    <cellStyle name="Normal 5 5 9 3" xfId="13275" xr:uid="{EB077376-6EDD-430F-A9DA-F04D7DF88770}"/>
    <cellStyle name="Normal 5 6" xfId="468" xr:uid="{00000000-0005-0000-0000-00009C1B0000}"/>
    <cellStyle name="Normal 5 6 10" xfId="9062" xr:uid="{67D76176-66CB-443A-A423-6361D2D9236E}"/>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24272" xr:uid="{C5956306-5A11-4797-AE54-2DA593F74306}"/>
    <cellStyle name="Normal 5 6 2 2 2 2 3" xfId="15838" xr:uid="{0EC927BB-A533-4602-A162-BC5C3A51DF0A}"/>
    <cellStyle name="Normal 5 6 2 2 2 3" xfId="20055" xr:uid="{FB2C88EF-8C49-495E-82DF-BBD4753D9871}"/>
    <cellStyle name="Normal 5 6 2 2 2 4" xfId="11621" xr:uid="{28305EEA-746E-4EDC-B68E-37CFAA760694}"/>
    <cellStyle name="Normal 5 6 2 2 3" xfId="5255" xr:uid="{00000000-0005-0000-0000-0000A11B0000}"/>
    <cellStyle name="Normal 5 6 2 2 3 2" xfId="22127" xr:uid="{885F7FD2-37F0-44A5-A58F-35AAE9D602FE}"/>
    <cellStyle name="Normal 5 6 2 2 3 3" xfId="13693" xr:uid="{3346D5C2-00BC-495C-9884-E908B8DE95AB}"/>
    <cellStyle name="Normal 5 6 2 2 4" xfId="17910" xr:uid="{066CA317-95D3-43AF-AE1B-48556D4B4676}"/>
    <cellStyle name="Normal 5 6 2 2 5" xfId="9476" xr:uid="{D2FC0075-CB47-440A-919E-90B6EBEEC2E1}"/>
    <cellStyle name="Normal 5 6 2 3" xfId="1360" xr:uid="{00000000-0005-0000-0000-0000A21B0000}"/>
    <cellStyle name="Normal 5 6 2 3 2" xfId="3590" xr:uid="{00000000-0005-0000-0000-0000A31B0000}"/>
    <cellStyle name="Normal 5 6 2 3 2 2" xfId="7813" xr:uid="{00000000-0005-0000-0000-0000A41B0000}"/>
    <cellStyle name="Normal 5 6 2 3 2 2 2" xfId="24685" xr:uid="{3433E36C-7B1E-4153-A9F9-7B1A1D052C6C}"/>
    <cellStyle name="Normal 5 6 2 3 2 2 3" xfId="16251" xr:uid="{F3548CE7-1660-4897-A065-0A20B71C6BAA}"/>
    <cellStyle name="Normal 5 6 2 3 2 3" xfId="20468" xr:uid="{5337304A-7A54-4124-BAD1-A24C47E9E9F3}"/>
    <cellStyle name="Normal 5 6 2 3 2 4" xfId="12034" xr:uid="{4F4D2597-7AE7-4647-BE33-07177F0F14A1}"/>
    <cellStyle name="Normal 5 6 2 3 3" xfId="5668" xr:uid="{00000000-0005-0000-0000-0000A51B0000}"/>
    <cellStyle name="Normal 5 6 2 3 3 2" xfId="22540" xr:uid="{1B836007-2770-4A06-A284-5CA9201E800A}"/>
    <cellStyle name="Normal 5 6 2 3 3 3" xfId="14106" xr:uid="{DD7A2CBF-DEF0-4528-8117-5286741E4992}"/>
    <cellStyle name="Normal 5 6 2 3 4" xfId="18323" xr:uid="{A11E86E1-E879-4F13-858D-D41413E73219}"/>
    <cellStyle name="Normal 5 6 2 3 5" xfId="9889" xr:uid="{0CB9DEC1-4CC1-48AE-B212-720A34302B14}"/>
    <cellStyle name="Normal 5 6 2 4" xfId="1773" xr:uid="{00000000-0005-0000-0000-0000A61B0000}"/>
    <cellStyle name="Normal 5 6 2 4 2" xfId="4003" xr:uid="{00000000-0005-0000-0000-0000A71B0000}"/>
    <cellStyle name="Normal 5 6 2 4 2 2" xfId="8226" xr:uid="{00000000-0005-0000-0000-0000A81B0000}"/>
    <cellStyle name="Normal 5 6 2 4 2 2 2" xfId="25098" xr:uid="{1187D14E-3306-4A66-9266-FCDD63155633}"/>
    <cellStyle name="Normal 5 6 2 4 2 2 3" xfId="16664" xr:uid="{9A04B5F9-739F-4E13-BCFE-EF1AA1F383F2}"/>
    <cellStyle name="Normal 5 6 2 4 2 3" xfId="20881" xr:uid="{EB37D233-8A88-4069-B7CC-2616AD358F18}"/>
    <cellStyle name="Normal 5 6 2 4 2 4" xfId="12447" xr:uid="{130751D6-C008-46B1-BD5B-30EB12933602}"/>
    <cellStyle name="Normal 5 6 2 4 3" xfId="6081" xr:uid="{00000000-0005-0000-0000-0000A91B0000}"/>
    <cellStyle name="Normal 5 6 2 4 3 2" xfId="22953" xr:uid="{03F3B00D-8625-45F8-A8BE-91BE7AB4FF09}"/>
    <cellStyle name="Normal 5 6 2 4 3 3" xfId="14519" xr:uid="{9BDA83C7-54AC-4B35-B25E-4AC024C89C04}"/>
    <cellStyle name="Normal 5 6 2 4 4" xfId="18736" xr:uid="{C8CC3595-534C-4C5D-AB98-DF9EAC66F9CE}"/>
    <cellStyle name="Normal 5 6 2 4 5" xfId="10302" xr:uid="{DAFC1330-DF54-4C9C-8C26-D66F299CCCAF}"/>
    <cellStyle name="Normal 5 6 2 5" xfId="2187" xr:uid="{00000000-0005-0000-0000-0000AA1B0000}"/>
    <cellStyle name="Normal 5 6 2 5 2" xfId="4416" xr:uid="{00000000-0005-0000-0000-0000AB1B0000}"/>
    <cellStyle name="Normal 5 6 2 5 2 2" xfId="8639" xr:uid="{00000000-0005-0000-0000-0000AC1B0000}"/>
    <cellStyle name="Normal 5 6 2 5 2 2 2" xfId="25511" xr:uid="{D4F6421A-B77C-4D25-82AA-0525365384B8}"/>
    <cellStyle name="Normal 5 6 2 5 2 2 3" xfId="17077" xr:uid="{97A9EF83-D30D-4173-B635-BB2E96DED16D}"/>
    <cellStyle name="Normal 5 6 2 5 2 3" xfId="21294" xr:uid="{E0DC333C-E351-4A9F-A64B-A3670FCE3E42}"/>
    <cellStyle name="Normal 5 6 2 5 2 4" xfId="12860" xr:uid="{48CBA48E-73A0-46A1-98D7-2128312C1230}"/>
    <cellStyle name="Normal 5 6 2 5 3" xfId="6494" xr:uid="{00000000-0005-0000-0000-0000AD1B0000}"/>
    <cellStyle name="Normal 5 6 2 5 3 2" xfId="23366" xr:uid="{54806B4F-2EA8-44E7-AA44-EAAE4A4E6F10}"/>
    <cellStyle name="Normal 5 6 2 5 3 3" xfId="14932" xr:uid="{31AC5870-4CEE-44C7-9876-3EC0CD495916}"/>
    <cellStyle name="Normal 5 6 2 5 4" xfId="19149" xr:uid="{82918C67-59EE-4464-9286-437663A15FC2}"/>
    <cellStyle name="Normal 5 6 2 5 5" xfId="10715" xr:uid="{CDA02B33-B7DC-497C-A4FB-B2586EE60956}"/>
    <cellStyle name="Normal 5 6 2 6" xfId="2623" xr:uid="{00000000-0005-0000-0000-0000AE1B0000}"/>
    <cellStyle name="Normal 5 6 2 6 2" xfId="6907" xr:uid="{00000000-0005-0000-0000-0000AF1B0000}"/>
    <cellStyle name="Normal 5 6 2 6 2 2" xfId="23779" xr:uid="{FB0BBA5F-1152-4331-B8AE-8A7B5BC6F19E}"/>
    <cellStyle name="Normal 5 6 2 6 2 3" xfId="15345" xr:uid="{41FF5643-2A14-41FD-9944-5543E109D9E7}"/>
    <cellStyle name="Normal 5 6 2 6 3" xfId="19562" xr:uid="{C95B5CEC-BE25-49BD-B4B0-92F747FEEDFE}"/>
    <cellStyle name="Normal 5 6 2 6 4" xfId="11128" xr:uid="{B0430947-727B-492F-836E-74090C85061C}"/>
    <cellStyle name="Normal 5 6 2 7" xfId="4842" xr:uid="{00000000-0005-0000-0000-0000B01B0000}"/>
    <cellStyle name="Normal 5 6 2 7 2" xfId="21714" xr:uid="{09796001-A448-46B4-8663-1738E290FE5D}"/>
    <cellStyle name="Normal 5 6 2 7 3" xfId="13280" xr:uid="{7A1A58D9-6CAD-4C0D-8051-F30A53795683}"/>
    <cellStyle name="Normal 5 6 2 8" xfId="17497" xr:uid="{CD17EE47-0443-46E1-AAE1-28A68B4696AF}"/>
    <cellStyle name="Normal 5 6 2 9" xfId="9063" xr:uid="{DBFEB123-BD91-4BAA-AC7E-4F1B4D85EB1E}"/>
    <cellStyle name="Normal 5 6 3" xfId="942" xr:uid="{00000000-0005-0000-0000-0000B11B0000}"/>
    <cellStyle name="Normal 5 6 3 2" xfId="3176" xr:uid="{00000000-0005-0000-0000-0000B21B0000}"/>
    <cellStyle name="Normal 5 6 3 2 2" xfId="7399" xr:uid="{00000000-0005-0000-0000-0000B31B0000}"/>
    <cellStyle name="Normal 5 6 3 2 2 2" xfId="24271" xr:uid="{DC9B6B41-7A56-4AA7-A92B-F10A4DB165B6}"/>
    <cellStyle name="Normal 5 6 3 2 2 3" xfId="15837" xr:uid="{4658C82C-9DF3-48AB-BEF6-A16131153636}"/>
    <cellStyle name="Normal 5 6 3 2 3" xfId="20054" xr:uid="{2E5441C3-6E7B-4064-97F3-C8CB49FF04A4}"/>
    <cellStyle name="Normal 5 6 3 2 4" xfId="11620" xr:uid="{8D66C7D5-CCFF-4C6A-8F85-F84BA1C1F9C1}"/>
    <cellStyle name="Normal 5 6 3 3" xfId="5254" xr:uid="{00000000-0005-0000-0000-0000B41B0000}"/>
    <cellStyle name="Normal 5 6 3 3 2" xfId="22126" xr:uid="{2BE2CCF8-1C74-4897-A2B4-E6E46736EE19}"/>
    <cellStyle name="Normal 5 6 3 3 3" xfId="13692" xr:uid="{AE28EA65-474B-4DAA-94E9-24CC36EE6F45}"/>
    <cellStyle name="Normal 5 6 3 4" xfId="17909" xr:uid="{D097603C-503B-494C-BAEF-381FFC84844E}"/>
    <cellStyle name="Normal 5 6 3 5" xfId="9475" xr:uid="{358975DF-7BC3-473D-B04D-E860B55DBDF4}"/>
    <cellStyle name="Normal 5 6 4" xfId="1359" xr:uid="{00000000-0005-0000-0000-0000B51B0000}"/>
    <cellStyle name="Normal 5 6 4 2" xfId="3589" xr:uid="{00000000-0005-0000-0000-0000B61B0000}"/>
    <cellStyle name="Normal 5 6 4 2 2" xfId="7812" xr:uid="{00000000-0005-0000-0000-0000B71B0000}"/>
    <cellStyle name="Normal 5 6 4 2 2 2" xfId="24684" xr:uid="{B0C0CC38-846D-437D-88F0-34EC0A9A2E97}"/>
    <cellStyle name="Normal 5 6 4 2 2 3" xfId="16250" xr:uid="{0A83F8AF-8346-4183-93D0-A8A2C9C1E603}"/>
    <cellStyle name="Normal 5 6 4 2 3" xfId="20467" xr:uid="{93D0FC76-B8E5-4633-BF10-AFE2DB72331B}"/>
    <cellStyle name="Normal 5 6 4 2 4" xfId="12033" xr:uid="{CA90DB06-D177-4DBE-96C9-EEBF2CB052DD}"/>
    <cellStyle name="Normal 5 6 4 3" xfId="5667" xr:uid="{00000000-0005-0000-0000-0000B81B0000}"/>
    <cellStyle name="Normal 5 6 4 3 2" xfId="22539" xr:uid="{289EDAD4-B36B-482D-BA0B-9524FF347C1F}"/>
    <cellStyle name="Normal 5 6 4 3 3" xfId="14105" xr:uid="{ED38FCCB-9F96-4205-B009-C3E931BD0427}"/>
    <cellStyle name="Normal 5 6 4 4" xfId="18322" xr:uid="{E2C71802-7D8A-4643-8075-4DCE9D972ED8}"/>
    <cellStyle name="Normal 5 6 4 5" xfId="9888" xr:uid="{0A1C5BF8-D645-46AA-9EDD-F01D20F69092}"/>
    <cellStyle name="Normal 5 6 5" xfId="1772" xr:uid="{00000000-0005-0000-0000-0000B91B0000}"/>
    <cellStyle name="Normal 5 6 5 2" xfId="4002" xr:uid="{00000000-0005-0000-0000-0000BA1B0000}"/>
    <cellStyle name="Normal 5 6 5 2 2" xfId="8225" xr:uid="{00000000-0005-0000-0000-0000BB1B0000}"/>
    <cellStyle name="Normal 5 6 5 2 2 2" xfId="25097" xr:uid="{6A1C4881-73BC-471A-8DE9-B8A3FF3C9F95}"/>
    <cellStyle name="Normal 5 6 5 2 2 3" xfId="16663" xr:uid="{9C4C7D00-F275-4F0F-8E93-A544A334D1E6}"/>
    <cellStyle name="Normal 5 6 5 2 3" xfId="20880" xr:uid="{17605824-AEDC-4A4C-B6EA-EC3551400B16}"/>
    <cellStyle name="Normal 5 6 5 2 4" xfId="12446" xr:uid="{557672B5-A1BE-4D56-9FDB-61A1471B4C67}"/>
    <cellStyle name="Normal 5 6 5 3" xfId="6080" xr:uid="{00000000-0005-0000-0000-0000BC1B0000}"/>
    <cellStyle name="Normal 5 6 5 3 2" xfId="22952" xr:uid="{7D1A8481-0FA8-4916-9771-D84678BE0C23}"/>
    <cellStyle name="Normal 5 6 5 3 3" xfId="14518" xr:uid="{6BDD6CAC-6E8A-4BDF-A6EB-392BEF3E732C}"/>
    <cellStyle name="Normal 5 6 5 4" xfId="18735" xr:uid="{87F32D22-D6FF-4C3D-B881-493EDB25DD41}"/>
    <cellStyle name="Normal 5 6 5 5" xfId="10301" xr:uid="{983D5D6F-95E2-4B76-90CB-3D39ADC96C5C}"/>
    <cellStyle name="Normal 5 6 6" xfId="2186" xr:uid="{00000000-0005-0000-0000-0000BD1B0000}"/>
    <cellStyle name="Normal 5 6 6 2" xfId="4415" xr:uid="{00000000-0005-0000-0000-0000BE1B0000}"/>
    <cellStyle name="Normal 5 6 6 2 2" xfId="8638" xr:uid="{00000000-0005-0000-0000-0000BF1B0000}"/>
    <cellStyle name="Normal 5 6 6 2 2 2" xfId="25510" xr:uid="{9FA0B74F-470C-43C7-ADFC-F71586330D3D}"/>
    <cellStyle name="Normal 5 6 6 2 2 3" xfId="17076" xr:uid="{04D379B5-8411-49CE-A847-F2A549C5713C}"/>
    <cellStyle name="Normal 5 6 6 2 3" xfId="21293" xr:uid="{53F14FB2-1051-4567-8E17-51D54B917D6F}"/>
    <cellStyle name="Normal 5 6 6 2 4" xfId="12859" xr:uid="{E0E5DFFD-7AB4-4581-B5F3-8440875D14C2}"/>
    <cellStyle name="Normal 5 6 6 3" xfId="6493" xr:uid="{00000000-0005-0000-0000-0000C01B0000}"/>
    <cellStyle name="Normal 5 6 6 3 2" xfId="23365" xr:uid="{7F5A74C2-C85A-4A2E-9B15-B0539324F460}"/>
    <cellStyle name="Normal 5 6 6 3 3" xfId="14931" xr:uid="{CF0AEDC0-11A1-451E-97F6-355DA0C707FC}"/>
    <cellStyle name="Normal 5 6 6 4" xfId="19148" xr:uid="{8549E04E-E4BE-43DE-9CE2-C64CBFD86F8F}"/>
    <cellStyle name="Normal 5 6 6 5" xfId="10714" xr:uid="{695231AA-DCF4-4795-A2A6-4032E532AE76}"/>
    <cellStyle name="Normal 5 6 7" xfId="2622" xr:uid="{00000000-0005-0000-0000-0000C11B0000}"/>
    <cellStyle name="Normal 5 6 7 2" xfId="6906" xr:uid="{00000000-0005-0000-0000-0000C21B0000}"/>
    <cellStyle name="Normal 5 6 7 2 2" xfId="23778" xr:uid="{3E48A6E2-8182-4BBC-8B99-51DA68AD2C2A}"/>
    <cellStyle name="Normal 5 6 7 2 3" xfId="15344" xr:uid="{345D4D67-103F-4079-87B5-8F5A64D0EB76}"/>
    <cellStyle name="Normal 5 6 7 3" xfId="19561" xr:uid="{2D38A1F4-8AB3-4F87-A432-A684EBDDC299}"/>
    <cellStyle name="Normal 5 6 7 4" xfId="11127" xr:uid="{2C1FBC7F-DA5C-4BD0-AD94-5B6E97929423}"/>
    <cellStyle name="Normal 5 6 8" xfId="4841" xr:uid="{00000000-0005-0000-0000-0000C31B0000}"/>
    <cellStyle name="Normal 5 6 8 2" xfId="21713" xr:uid="{8FBF75A1-2B82-486F-8B01-FF8801C8F4DF}"/>
    <cellStyle name="Normal 5 6 8 3" xfId="13279" xr:uid="{08F2DF28-CFC9-47A1-A98A-20CAADDC22D7}"/>
    <cellStyle name="Normal 5 6 9" xfId="17496" xr:uid="{DE4FD1C5-76B2-48BA-864D-093E30420758}"/>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24273" xr:uid="{F43DC9AC-96AA-4596-96E3-563A8BBB8CD7}"/>
    <cellStyle name="Normal 5 7 2 2 2 3" xfId="15839" xr:uid="{8AEBDB18-5D10-46A7-B250-A7D28B1D3B90}"/>
    <cellStyle name="Normal 5 7 2 2 3" xfId="20056" xr:uid="{A829F224-9B3E-4747-A8AD-ED394A13B14A}"/>
    <cellStyle name="Normal 5 7 2 2 4" xfId="11622" xr:uid="{CB25D44C-DA00-476C-9E47-71D3C5B81863}"/>
    <cellStyle name="Normal 5 7 2 3" xfId="5256" xr:uid="{00000000-0005-0000-0000-0000C81B0000}"/>
    <cellStyle name="Normal 5 7 2 3 2" xfId="22128" xr:uid="{27C26349-7FBD-42ED-992F-4914802DEDF9}"/>
    <cellStyle name="Normal 5 7 2 3 3" xfId="13694" xr:uid="{E2FA5B53-024A-412C-8A56-E5E5C17FD465}"/>
    <cellStyle name="Normal 5 7 2 4" xfId="17911" xr:uid="{5F6AA7D6-E5E8-4389-980B-6AFBEAED8A7E}"/>
    <cellStyle name="Normal 5 7 2 5" xfId="9477" xr:uid="{A85E974F-014B-4617-8119-A8376CBD3584}"/>
    <cellStyle name="Normal 5 7 3" xfId="1361" xr:uid="{00000000-0005-0000-0000-0000C91B0000}"/>
    <cellStyle name="Normal 5 7 3 2" xfId="3591" xr:uid="{00000000-0005-0000-0000-0000CA1B0000}"/>
    <cellStyle name="Normal 5 7 3 2 2" xfId="7814" xr:uid="{00000000-0005-0000-0000-0000CB1B0000}"/>
    <cellStyle name="Normal 5 7 3 2 2 2" xfId="24686" xr:uid="{2B724E6A-2B6D-4721-85A2-500278C4A85B}"/>
    <cellStyle name="Normal 5 7 3 2 2 3" xfId="16252" xr:uid="{C29F7D80-0522-452F-A591-85C9AB380899}"/>
    <cellStyle name="Normal 5 7 3 2 3" xfId="20469" xr:uid="{4990C314-DC0F-4536-A2CC-657B880897A2}"/>
    <cellStyle name="Normal 5 7 3 2 4" xfId="12035" xr:uid="{7BBDBE6E-FAFF-40EC-AA66-3296940BA98E}"/>
    <cellStyle name="Normal 5 7 3 3" xfId="5669" xr:uid="{00000000-0005-0000-0000-0000CC1B0000}"/>
    <cellStyle name="Normal 5 7 3 3 2" xfId="22541" xr:uid="{21AAC065-F2BC-40AE-8160-0D6AA046BBF4}"/>
    <cellStyle name="Normal 5 7 3 3 3" xfId="14107" xr:uid="{9F3E5582-98E2-4C05-80D5-7B4A6B992C61}"/>
    <cellStyle name="Normal 5 7 3 4" xfId="18324" xr:uid="{A1DF0748-E150-479A-BF6E-56E24751BDE5}"/>
    <cellStyle name="Normal 5 7 3 5" xfId="9890" xr:uid="{FA80252E-313E-4922-BE78-766FD24954F2}"/>
    <cellStyle name="Normal 5 7 4" xfId="1774" xr:uid="{00000000-0005-0000-0000-0000CD1B0000}"/>
    <cellStyle name="Normal 5 7 4 2" xfId="4004" xr:uid="{00000000-0005-0000-0000-0000CE1B0000}"/>
    <cellStyle name="Normal 5 7 4 2 2" xfId="8227" xr:uid="{00000000-0005-0000-0000-0000CF1B0000}"/>
    <cellStyle name="Normal 5 7 4 2 2 2" xfId="25099" xr:uid="{DDDB754F-3E61-4D21-82E3-D72EC47B7F05}"/>
    <cellStyle name="Normal 5 7 4 2 2 3" xfId="16665" xr:uid="{D53A27B4-CC65-487D-B921-71869C3972A4}"/>
    <cellStyle name="Normal 5 7 4 2 3" xfId="20882" xr:uid="{DA99B624-7150-44BD-9B65-B281EB995A95}"/>
    <cellStyle name="Normal 5 7 4 2 4" xfId="12448" xr:uid="{EE1283B8-8AC1-46BF-B26A-D65E328A9C93}"/>
    <cellStyle name="Normal 5 7 4 3" xfId="6082" xr:uid="{00000000-0005-0000-0000-0000D01B0000}"/>
    <cellStyle name="Normal 5 7 4 3 2" xfId="22954" xr:uid="{953BFAE8-5637-4888-8574-EA2B02666633}"/>
    <cellStyle name="Normal 5 7 4 3 3" xfId="14520" xr:uid="{8D83C242-948F-4E05-A13A-1FE5528A4332}"/>
    <cellStyle name="Normal 5 7 4 4" xfId="18737" xr:uid="{A5EAA85F-6D85-4353-9080-2E1760C78C69}"/>
    <cellStyle name="Normal 5 7 4 5" xfId="10303" xr:uid="{DC2E7EBF-244B-46D8-989A-24D61F0A0405}"/>
    <cellStyle name="Normal 5 7 5" xfId="2188" xr:uid="{00000000-0005-0000-0000-0000D11B0000}"/>
    <cellStyle name="Normal 5 7 5 2" xfId="4417" xr:uid="{00000000-0005-0000-0000-0000D21B0000}"/>
    <cellStyle name="Normal 5 7 5 2 2" xfId="8640" xr:uid="{00000000-0005-0000-0000-0000D31B0000}"/>
    <cellStyle name="Normal 5 7 5 2 2 2" xfId="25512" xr:uid="{B3E884CC-2600-4B1C-A0CE-982FBDA83268}"/>
    <cellStyle name="Normal 5 7 5 2 2 3" xfId="17078" xr:uid="{388122A3-07D7-49AA-9B00-F4F3260A313D}"/>
    <cellStyle name="Normal 5 7 5 2 3" xfId="21295" xr:uid="{748B96F0-6F7C-4A12-BF09-00520C3CF1A2}"/>
    <cellStyle name="Normal 5 7 5 2 4" xfId="12861" xr:uid="{BEB1F849-B76F-4638-B2DB-A15A0FFEF5C7}"/>
    <cellStyle name="Normal 5 7 5 3" xfId="6495" xr:uid="{00000000-0005-0000-0000-0000D41B0000}"/>
    <cellStyle name="Normal 5 7 5 3 2" xfId="23367" xr:uid="{ACBF2C37-3189-4E43-B4A2-6D25B970BC17}"/>
    <cellStyle name="Normal 5 7 5 3 3" xfId="14933" xr:uid="{971E9D9A-F1BC-4DDB-A0DA-ADFB95442F91}"/>
    <cellStyle name="Normal 5 7 5 4" xfId="19150" xr:uid="{4AD2BE00-DA77-4B7F-B04A-15C684F0C38C}"/>
    <cellStyle name="Normal 5 7 5 5" xfId="10716" xr:uid="{0BFBCA35-5BF4-486F-A3F0-0A7C853D4C5E}"/>
    <cellStyle name="Normal 5 7 6" xfId="2624" xr:uid="{00000000-0005-0000-0000-0000D51B0000}"/>
    <cellStyle name="Normal 5 7 6 2" xfId="6908" xr:uid="{00000000-0005-0000-0000-0000D61B0000}"/>
    <cellStyle name="Normal 5 7 6 2 2" xfId="23780" xr:uid="{AC9F5DEF-A7A2-4331-A78F-DBB9569B9A9C}"/>
    <cellStyle name="Normal 5 7 6 2 3" xfId="15346" xr:uid="{8165740A-BC21-44BA-BD5B-536A40352823}"/>
    <cellStyle name="Normal 5 7 6 3" xfId="19563" xr:uid="{3996CC83-E46F-4E47-A535-AACD0FAFD6BD}"/>
    <cellStyle name="Normal 5 7 6 4" xfId="11129" xr:uid="{248C8996-1801-4975-83CC-5EE03D55D0FA}"/>
    <cellStyle name="Normal 5 7 7" xfId="4843" xr:uid="{00000000-0005-0000-0000-0000D71B0000}"/>
    <cellStyle name="Normal 5 7 7 2" xfId="21715" xr:uid="{A49E7AEE-A558-4DF0-A431-F91D37F9AD59}"/>
    <cellStyle name="Normal 5 7 7 3" xfId="13281" xr:uid="{C1A6ECFF-9E3E-4DE0-B8E2-A1EF0D998C4C}"/>
    <cellStyle name="Normal 5 7 8" xfId="17498" xr:uid="{600640D8-52F7-433E-85A3-C17A20E5D61C}"/>
    <cellStyle name="Normal 5 7 9" xfId="9064" xr:uid="{3D3BEE41-55BD-448E-BC41-D9085930B319}"/>
    <cellStyle name="Normal 5 8" xfId="880" xr:uid="{00000000-0005-0000-0000-0000D81B0000}"/>
    <cellStyle name="Normal 5 8 2" xfId="3115" xr:uid="{00000000-0005-0000-0000-0000D91B0000}"/>
    <cellStyle name="Normal 5 8 2 2" xfId="7338" xr:uid="{00000000-0005-0000-0000-0000DA1B0000}"/>
    <cellStyle name="Normal 5 8 2 2 2" xfId="24210" xr:uid="{E27372AD-E6CD-4776-9D84-95910809D569}"/>
    <cellStyle name="Normal 5 8 2 2 3" xfId="15776" xr:uid="{648A0E45-844D-455A-A567-FA20D9564830}"/>
    <cellStyle name="Normal 5 8 2 3" xfId="19993" xr:uid="{F090B129-4CD0-4FFC-91FB-4931C6F3E8DC}"/>
    <cellStyle name="Normal 5 8 2 4" xfId="11559" xr:uid="{FA56EA2D-4D5A-46D6-B728-D1F39A676A8C}"/>
    <cellStyle name="Normal 5 8 3" xfId="5193" xr:uid="{00000000-0005-0000-0000-0000DB1B0000}"/>
    <cellStyle name="Normal 5 8 3 2" xfId="22065" xr:uid="{E3292BA5-ED60-4BD7-BC0A-4E9E0BF5770D}"/>
    <cellStyle name="Normal 5 8 3 3" xfId="13631" xr:uid="{393CC1BF-AA49-4849-829D-FECBE54161B4}"/>
    <cellStyle name="Normal 5 8 4" xfId="17848" xr:uid="{13714A9B-483C-479A-9039-622D161BCA69}"/>
    <cellStyle name="Normal 5 8 5" xfId="9414" xr:uid="{138CCB11-51AC-43D9-BA2C-C3F88E08673F}"/>
    <cellStyle name="Normal 5 9" xfId="1298" xr:uid="{00000000-0005-0000-0000-0000DC1B0000}"/>
    <cellStyle name="Normal 5 9 2" xfId="3528" xr:uid="{00000000-0005-0000-0000-0000DD1B0000}"/>
    <cellStyle name="Normal 5 9 2 2" xfId="7751" xr:uid="{00000000-0005-0000-0000-0000DE1B0000}"/>
    <cellStyle name="Normal 5 9 2 2 2" xfId="24623" xr:uid="{39B42C45-2D6D-444A-8F6C-FC9CABB9D53B}"/>
    <cellStyle name="Normal 5 9 2 2 3" xfId="16189" xr:uid="{C26615CF-DF3E-40F6-AF71-FBE23D0C7859}"/>
    <cellStyle name="Normal 5 9 2 3" xfId="20406" xr:uid="{C818BEDE-768D-4B4D-8E88-2833E214E79B}"/>
    <cellStyle name="Normal 5 9 2 4" xfId="11972" xr:uid="{FDF0F9DF-794E-412E-B43C-023E60BF95C0}"/>
    <cellStyle name="Normal 5 9 3" xfId="5606" xr:uid="{00000000-0005-0000-0000-0000DF1B0000}"/>
    <cellStyle name="Normal 5 9 3 2" xfId="22478" xr:uid="{5F4BDED4-7856-46A6-8C32-D18A444B1E2F}"/>
    <cellStyle name="Normal 5 9 3 3" xfId="14044" xr:uid="{0CAC05A9-3C99-4295-A674-86E6218FB55B}"/>
    <cellStyle name="Normal 5 9 4" xfId="18261" xr:uid="{4189186E-DD3D-4D3A-A268-F361B93D96F2}"/>
    <cellStyle name="Normal 5 9 5" xfId="9827" xr:uid="{6226A5AE-9A63-40F8-9BAA-070F8B943DB1}"/>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25513" xr:uid="{AAC8E692-0211-46A0-AE33-E5383DEECEBF}"/>
    <cellStyle name="Normal 8 10 2 2 3" xfId="17079" xr:uid="{90971C39-7E44-415C-A771-07D3F84B4964}"/>
    <cellStyle name="Normal 8 10 2 3" xfId="21296" xr:uid="{A21B903E-49F0-49E4-AAFA-A93FB8D6CDEC}"/>
    <cellStyle name="Normal 8 10 2 4" xfId="12862" xr:uid="{3734384D-9FE1-4AE6-8614-C0E8F8228BD5}"/>
    <cellStyle name="Normal 8 10 3" xfId="6496" xr:uid="{00000000-0005-0000-0000-0000EB1B0000}"/>
    <cellStyle name="Normal 8 10 3 2" xfId="23368" xr:uid="{06F3F236-677B-4D67-BBC6-176E8ADB510B}"/>
    <cellStyle name="Normal 8 10 3 3" xfId="14934" xr:uid="{B1A7BD96-2AAB-4C48-B99A-B2E9910BE545}"/>
    <cellStyle name="Normal 8 10 4" xfId="19151" xr:uid="{6DAF589D-107A-44D7-A3CE-F909D9FB729F}"/>
    <cellStyle name="Normal 8 10 5" xfId="10717" xr:uid="{B9B814EA-6EBD-4836-BD78-4E5DE6350C4B}"/>
    <cellStyle name="Normal 8 11" xfId="2625" xr:uid="{00000000-0005-0000-0000-0000EC1B0000}"/>
    <cellStyle name="Normal 8 11 2" xfId="6909" xr:uid="{00000000-0005-0000-0000-0000ED1B0000}"/>
    <cellStyle name="Normal 8 11 2 2" xfId="23781" xr:uid="{D1F005CD-CB64-4D7A-A6C3-92B1EDAD896C}"/>
    <cellStyle name="Normal 8 11 2 3" xfId="15347" xr:uid="{541F3170-2668-4C0A-93BB-5D86354D91B4}"/>
    <cellStyle name="Normal 8 11 3" xfId="19564" xr:uid="{20A5C19B-7A0F-451B-B9E5-2B4F82FD357B}"/>
    <cellStyle name="Normal 8 11 4" xfId="11130" xr:uid="{BC7BE290-BB92-4747-926E-408021500CA0}"/>
    <cellStyle name="Normal 8 12" xfId="4844" xr:uid="{00000000-0005-0000-0000-0000EE1B0000}"/>
    <cellStyle name="Normal 8 12 2" xfId="21716" xr:uid="{85A486F0-D618-410B-B854-D8184E4CA3BF}"/>
    <cellStyle name="Normal 8 12 3" xfId="13282" xr:uid="{33350380-869E-424F-B727-E1C8023CFAAF}"/>
    <cellStyle name="Normal 8 13" xfId="17499" xr:uid="{2460D550-6D68-4B76-935E-B37892CBF31F}"/>
    <cellStyle name="Normal 8 14" xfId="9065" xr:uid="{EB02882A-1E8E-4FFB-9794-354F04DDD922}"/>
    <cellStyle name="Normal 8 2" xfId="479" xr:uid="{00000000-0005-0000-0000-0000EF1B0000}"/>
    <cellStyle name="Normal 8 2 10" xfId="2626" xr:uid="{00000000-0005-0000-0000-0000F01B0000}"/>
    <cellStyle name="Normal 8 2 10 2" xfId="6910" xr:uid="{00000000-0005-0000-0000-0000F11B0000}"/>
    <cellStyle name="Normal 8 2 10 2 2" xfId="23782" xr:uid="{D224D538-B873-48B2-92F9-C2FB7F265BE6}"/>
    <cellStyle name="Normal 8 2 10 2 3" xfId="15348" xr:uid="{99ECAEFA-F32B-45B2-80A0-9852CBF376F7}"/>
    <cellStyle name="Normal 8 2 10 3" xfId="19565" xr:uid="{F4DE0FEB-BE3A-4BD6-81C0-CEB66AD1A493}"/>
    <cellStyle name="Normal 8 2 10 4" xfId="11131" xr:uid="{85AB79A8-C290-41AA-9711-DD12C4481142}"/>
    <cellStyle name="Normal 8 2 11" xfId="4845" xr:uid="{00000000-0005-0000-0000-0000F21B0000}"/>
    <cellStyle name="Normal 8 2 11 2" xfId="21717" xr:uid="{7E189ECE-9D07-48D6-BE70-26D3EA9E0FAF}"/>
    <cellStyle name="Normal 8 2 11 3" xfId="13283" xr:uid="{E612B82D-0542-4840-8FA2-81889A2ACFA5}"/>
    <cellStyle name="Normal 8 2 12" xfId="17500" xr:uid="{CBBFC5DE-2486-4EDB-91AB-5A3C55D7E711}"/>
    <cellStyle name="Normal 8 2 13" xfId="9066" xr:uid="{A5F0B541-2AB0-4ECC-89E3-4998DEFFCBF7}"/>
    <cellStyle name="Normal 8 2 2" xfId="480" xr:uid="{00000000-0005-0000-0000-0000F31B0000}"/>
    <cellStyle name="Normal 8 2 2 10" xfId="4846" xr:uid="{00000000-0005-0000-0000-0000F41B0000}"/>
    <cellStyle name="Normal 8 2 2 10 2" xfId="21718" xr:uid="{F41713F5-5817-4F02-A54E-2DB9A73DBD47}"/>
    <cellStyle name="Normal 8 2 2 10 3" xfId="13284" xr:uid="{4941DEBC-1209-4113-A81A-DBC2ECE509F3}"/>
    <cellStyle name="Normal 8 2 2 11" xfId="17501" xr:uid="{0AEDE1A3-A9CC-42D4-95BF-E8675B7B6EC2}"/>
    <cellStyle name="Normal 8 2 2 12" xfId="9067" xr:uid="{E9A76A64-4DA6-4060-9788-910A59A341CA}"/>
    <cellStyle name="Normal 8 2 2 2" xfId="481" xr:uid="{00000000-0005-0000-0000-0000F51B0000}"/>
    <cellStyle name="Normal 8 2 2 2 10" xfId="17502" xr:uid="{33477045-A990-4CD2-B7E8-C5F9D5C88ECE}"/>
    <cellStyle name="Normal 8 2 2 2 11" xfId="9068" xr:uid="{EC9EFAA8-309F-40E8-A07D-8957BF131F59}"/>
    <cellStyle name="Normal 8 2 2 2 2" xfId="482" xr:uid="{00000000-0005-0000-0000-0000F61B0000}"/>
    <cellStyle name="Normal 8 2 2 2 2 10" xfId="9069" xr:uid="{58A96AE8-6380-42F1-B2BC-CF7F19326993}"/>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24279" xr:uid="{67C75B4A-FDBB-4C75-8670-1A95BD3CA0EA}"/>
    <cellStyle name="Normal 8 2 2 2 2 2 2 2 2 3" xfId="15845" xr:uid="{0A89340B-79AE-4E73-9B68-E6873B66FC2D}"/>
    <cellStyle name="Normal 8 2 2 2 2 2 2 2 3" xfId="20062" xr:uid="{2CF52C08-52D7-4128-BAC2-5AD7BB6E4CBE}"/>
    <cellStyle name="Normal 8 2 2 2 2 2 2 2 4" xfId="11628" xr:uid="{A22D81C3-4E11-4B7B-95C1-8CD8740EF74E}"/>
    <cellStyle name="Normal 8 2 2 2 2 2 2 3" xfId="5262" xr:uid="{00000000-0005-0000-0000-0000FB1B0000}"/>
    <cellStyle name="Normal 8 2 2 2 2 2 2 3 2" xfId="22134" xr:uid="{D5A4423D-213F-4D03-A5C7-237A6F5E4A87}"/>
    <cellStyle name="Normal 8 2 2 2 2 2 2 3 3" xfId="13700" xr:uid="{4339EEDC-852B-43E5-871D-BEF334A7F0A4}"/>
    <cellStyle name="Normal 8 2 2 2 2 2 2 4" xfId="17917" xr:uid="{813B61B2-FBFA-4B2E-9801-E35E0E577032}"/>
    <cellStyle name="Normal 8 2 2 2 2 2 2 5" xfId="9483" xr:uid="{FCB710BB-1948-4FC1-AB5A-CC9A18F7935D}"/>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24692" xr:uid="{EE517F31-4E0D-4515-A588-731CDB72D0DE}"/>
    <cellStyle name="Normal 8 2 2 2 2 2 3 2 2 3" xfId="16258" xr:uid="{155EA94B-CD4D-4F5A-AAAE-188D757D6ED3}"/>
    <cellStyle name="Normal 8 2 2 2 2 2 3 2 3" xfId="20475" xr:uid="{4E4F9A02-BF10-4338-8256-791AEAE80E1A}"/>
    <cellStyle name="Normal 8 2 2 2 2 2 3 2 4" xfId="12041" xr:uid="{F5D1C4D1-69AF-4584-8730-C8DF5A458665}"/>
    <cellStyle name="Normal 8 2 2 2 2 2 3 3" xfId="5675" xr:uid="{00000000-0005-0000-0000-0000FF1B0000}"/>
    <cellStyle name="Normal 8 2 2 2 2 2 3 3 2" xfId="22547" xr:uid="{D5177637-A58C-47F5-BE11-3FA389624621}"/>
    <cellStyle name="Normal 8 2 2 2 2 2 3 3 3" xfId="14113" xr:uid="{0F639C55-2BBD-4C0C-B887-D272E292F96E}"/>
    <cellStyle name="Normal 8 2 2 2 2 2 3 4" xfId="18330" xr:uid="{CA596951-EA46-441D-AAB4-65C65EC490D4}"/>
    <cellStyle name="Normal 8 2 2 2 2 2 3 5" xfId="9896" xr:uid="{48F65B72-5D11-4AC8-9875-6D24C2EB24EB}"/>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25105" xr:uid="{3D77E5B0-4468-4864-B437-B7ACD927878C}"/>
    <cellStyle name="Normal 8 2 2 2 2 2 4 2 2 3" xfId="16671" xr:uid="{6E1363FE-1411-4316-BA3A-591BD84C97E2}"/>
    <cellStyle name="Normal 8 2 2 2 2 2 4 2 3" xfId="20888" xr:uid="{BB0D393C-38CC-497A-A6AA-44EC081CFF75}"/>
    <cellStyle name="Normal 8 2 2 2 2 2 4 2 4" xfId="12454" xr:uid="{9B63769C-BACB-49AD-A319-F023856EB65A}"/>
    <cellStyle name="Normal 8 2 2 2 2 2 4 3" xfId="6088" xr:uid="{00000000-0005-0000-0000-0000031C0000}"/>
    <cellStyle name="Normal 8 2 2 2 2 2 4 3 2" xfId="22960" xr:uid="{7FF591B0-1986-4109-8A14-EDB6E0A2E2E2}"/>
    <cellStyle name="Normal 8 2 2 2 2 2 4 3 3" xfId="14526" xr:uid="{6F945D01-D115-44F7-A958-18BA736EA9E9}"/>
    <cellStyle name="Normal 8 2 2 2 2 2 4 4" xfId="18743" xr:uid="{FAABAC79-77E4-4124-8BAC-3DBB2871E739}"/>
    <cellStyle name="Normal 8 2 2 2 2 2 4 5" xfId="10309" xr:uid="{0DF65610-8F86-43FB-A2F8-97180A1D2564}"/>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25518" xr:uid="{DA2DADE8-9D11-4C00-83CE-DA0F73A3254F}"/>
    <cellStyle name="Normal 8 2 2 2 2 2 5 2 2 3" xfId="17084" xr:uid="{03C5DB0C-D17F-40EB-A101-7D43C98A6D4C}"/>
    <cellStyle name="Normal 8 2 2 2 2 2 5 2 3" xfId="21301" xr:uid="{CE727CCC-95CD-44B4-A263-F353F6946180}"/>
    <cellStyle name="Normal 8 2 2 2 2 2 5 2 4" xfId="12867" xr:uid="{66A9FC33-19A9-44D5-9792-A74061C67210}"/>
    <cellStyle name="Normal 8 2 2 2 2 2 5 3" xfId="6501" xr:uid="{00000000-0005-0000-0000-0000071C0000}"/>
    <cellStyle name="Normal 8 2 2 2 2 2 5 3 2" xfId="23373" xr:uid="{576F3EA0-3445-4951-B57E-D79310F5480D}"/>
    <cellStyle name="Normal 8 2 2 2 2 2 5 3 3" xfId="14939" xr:uid="{A3901F0C-6212-4746-A62B-F236C67E6F40}"/>
    <cellStyle name="Normal 8 2 2 2 2 2 5 4" xfId="19156" xr:uid="{F4B6A30B-B755-43A7-A060-D0CB983DB60C}"/>
    <cellStyle name="Normal 8 2 2 2 2 2 5 5" xfId="10722" xr:uid="{B1F07F7B-20A3-47A4-9D7C-8E80030DA315}"/>
    <cellStyle name="Normal 8 2 2 2 2 2 6" xfId="2630" xr:uid="{00000000-0005-0000-0000-0000081C0000}"/>
    <cellStyle name="Normal 8 2 2 2 2 2 6 2" xfId="6914" xr:uid="{00000000-0005-0000-0000-0000091C0000}"/>
    <cellStyle name="Normal 8 2 2 2 2 2 6 2 2" xfId="23786" xr:uid="{EF5301D4-3071-442D-AAEA-34C9FD703E19}"/>
    <cellStyle name="Normal 8 2 2 2 2 2 6 2 3" xfId="15352" xr:uid="{452398F7-F368-485B-BB0F-1DB306F48AE7}"/>
    <cellStyle name="Normal 8 2 2 2 2 2 6 3" xfId="19569" xr:uid="{2DF36173-158C-4CCF-9CCD-FCCA51530729}"/>
    <cellStyle name="Normal 8 2 2 2 2 2 6 4" xfId="11135" xr:uid="{337ACC4D-21A5-4F43-8440-5068EDBBD684}"/>
    <cellStyle name="Normal 8 2 2 2 2 2 7" xfId="4849" xr:uid="{00000000-0005-0000-0000-00000A1C0000}"/>
    <cellStyle name="Normal 8 2 2 2 2 2 7 2" xfId="21721" xr:uid="{0008AB33-9FF4-4F11-A428-C07787CEA3FE}"/>
    <cellStyle name="Normal 8 2 2 2 2 2 7 3" xfId="13287" xr:uid="{286B5A2D-A851-4D64-B5F3-E954F89C69F2}"/>
    <cellStyle name="Normal 8 2 2 2 2 2 8" xfId="17504" xr:uid="{C6A700C7-D283-4694-89D6-C1F3105C9497}"/>
    <cellStyle name="Normal 8 2 2 2 2 2 9" xfId="9070" xr:uid="{14228BDB-E5C8-40DB-9BF4-1169D19A4E64}"/>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24278" xr:uid="{6FCA1D26-7050-43F3-B8D7-434D900349A7}"/>
    <cellStyle name="Normal 8 2 2 2 2 3 2 2 3" xfId="15844" xr:uid="{A105ACA0-5A18-481A-BAC5-0D56385459EB}"/>
    <cellStyle name="Normal 8 2 2 2 2 3 2 3" xfId="20061" xr:uid="{3769973F-2B3C-4490-A166-82349B9DCF28}"/>
    <cellStyle name="Normal 8 2 2 2 2 3 2 4" xfId="11627" xr:uid="{86744359-76F7-4CA8-A810-A868EC4CD0E4}"/>
    <cellStyle name="Normal 8 2 2 2 2 3 3" xfId="5261" xr:uid="{00000000-0005-0000-0000-00000E1C0000}"/>
    <cellStyle name="Normal 8 2 2 2 2 3 3 2" xfId="22133" xr:uid="{A5EB15C4-1296-418D-AF2D-17B98B84C4AE}"/>
    <cellStyle name="Normal 8 2 2 2 2 3 3 3" xfId="13699" xr:uid="{44C8A083-0F5A-4AB7-AA25-B93939996B96}"/>
    <cellStyle name="Normal 8 2 2 2 2 3 4" xfId="17916" xr:uid="{79899475-54E5-4160-8BBF-DFE215CC562C}"/>
    <cellStyle name="Normal 8 2 2 2 2 3 5" xfId="9482" xr:uid="{014F2415-6432-4F5B-B82F-6D59C6C08266}"/>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24691" xr:uid="{C67737AF-C01B-437C-8F59-A9E974E00E8C}"/>
    <cellStyle name="Normal 8 2 2 2 2 4 2 2 3" xfId="16257" xr:uid="{E2C6E7EC-9849-428D-9074-053AF871E152}"/>
    <cellStyle name="Normal 8 2 2 2 2 4 2 3" xfId="20474" xr:uid="{28C6C0B8-878E-4674-A49C-6AACDCA4FC43}"/>
    <cellStyle name="Normal 8 2 2 2 2 4 2 4" xfId="12040" xr:uid="{013EB79F-794A-4631-A6B8-9F6BBCE1F778}"/>
    <cellStyle name="Normal 8 2 2 2 2 4 3" xfId="5674" xr:uid="{00000000-0005-0000-0000-0000121C0000}"/>
    <cellStyle name="Normal 8 2 2 2 2 4 3 2" xfId="22546" xr:uid="{D5596171-B098-4107-87C5-5FE43E4E3F15}"/>
    <cellStyle name="Normal 8 2 2 2 2 4 3 3" xfId="14112" xr:uid="{EFE4A666-2E78-4E7B-94B0-F41742DD3119}"/>
    <cellStyle name="Normal 8 2 2 2 2 4 4" xfId="18329" xr:uid="{E9AEFE1E-A247-4327-9373-666A8867E29C}"/>
    <cellStyle name="Normal 8 2 2 2 2 4 5" xfId="9895" xr:uid="{BAE65924-B295-4B62-8497-A775FBD95B26}"/>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25104" xr:uid="{51C03A94-6B10-4663-8530-69C55E779BFC}"/>
    <cellStyle name="Normal 8 2 2 2 2 5 2 2 3" xfId="16670" xr:uid="{A346E306-207A-4B4C-BE52-4FCB3A0785E3}"/>
    <cellStyle name="Normal 8 2 2 2 2 5 2 3" xfId="20887" xr:uid="{866272A2-CB83-405A-98A3-1351A96CF6DF}"/>
    <cellStyle name="Normal 8 2 2 2 2 5 2 4" xfId="12453" xr:uid="{9B9FB5F9-B433-4B39-AE0C-942229BB28C4}"/>
    <cellStyle name="Normal 8 2 2 2 2 5 3" xfId="6087" xr:uid="{00000000-0005-0000-0000-0000161C0000}"/>
    <cellStyle name="Normal 8 2 2 2 2 5 3 2" xfId="22959" xr:uid="{6B052842-5981-496B-AE07-16F9663250FB}"/>
    <cellStyle name="Normal 8 2 2 2 2 5 3 3" xfId="14525" xr:uid="{ED88D70E-48C1-42C7-8E51-51D55A345A48}"/>
    <cellStyle name="Normal 8 2 2 2 2 5 4" xfId="18742" xr:uid="{0CEF1C37-49A4-4BCD-BAAB-679FB311DBE6}"/>
    <cellStyle name="Normal 8 2 2 2 2 5 5" xfId="10308" xr:uid="{054A7465-94CD-48AC-BC7F-C218BA987366}"/>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25517" xr:uid="{3E52F074-9B95-43FE-B544-BB06B1E8FD67}"/>
    <cellStyle name="Normal 8 2 2 2 2 6 2 2 3" xfId="17083" xr:uid="{CA77FA09-58B8-4BA1-B97F-1541F86557EA}"/>
    <cellStyle name="Normal 8 2 2 2 2 6 2 3" xfId="21300" xr:uid="{1D8DAFC6-D956-4A50-839F-31E5523CFB65}"/>
    <cellStyle name="Normal 8 2 2 2 2 6 2 4" xfId="12866" xr:uid="{A888D697-0B42-478A-BB97-58087534BEA9}"/>
    <cellStyle name="Normal 8 2 2 2 2 6 3" xfId="6500" xr:uid="{00000000-0005-0000-0000-00001A1C0000}"/>
    <cellStyle name="Normal 8 2 2 2 2 6 3 2" xfId="23372" xr:uid="{9ABA91BD-6ED6-42E1-9BD0-7560A0188AFA}"/>
    <cellStyle name="Normal 8 2 2 2 2 6 3 3" xfId="14938" xr:uid="{45731DDC-A1CC-4940-8698-53C820C8A7CB}"/>
    <cellStyle name="Normal 8 2 2 2 2 6 4" xfId="19155" xr:uid="{368175F5-2352-471C-88CA-998431A1B838}"/>
    <cellStyle name="Normal 8 2 2 2 2 6 5" xfId="10721" xr:uid="{C7C78B46-AEB1-4C2B-94F2-B121E05B0DD8}"/>
    <cellStyle name="Normal 8 2 2 2 2 7" xfId="2629" xr:uid="{00000000-0005-0000-0000-00001B1C0000}"/>
    <cellStyle name="Normal 8 2 2 2 2 7 2" xfId="6913" xr:uid="{00000000-0005-0000-0000-00001C1C0000}"/>
    <cellStyle name="Normal 8 2 2 2 2 7 2 2" xfId="23785" xr:uid="{3D2C4623-1751-44B7-A877-4977A8BF8DA2}"/>
    <cellStyle name="Normal 8 2 2 2 2 7 2 3" xfId="15351" xr:uid="{9381D642-C211-4326-97F8-075D3ABB03EA}"/>
    <cellStyle name="Normal 8 2 2 2 2 7 3" xfId="19568" xr:uid="{C3932E8A-B32A-4810-A2A5-5F0868B88609}"/>
    <cellStyle name="Normal 8 2 2 2 2 7 4" xfId="11134" xr:uid="{7781F38D-412C-472A-9E89-C5C28156037F}"/>
    <cellStyle name="Normal 8 2 2 2 2 8" xfId="4848" xr:uid="{00000000-0005-0000-0000-00001D1C0000}"/>
    <cellStyle name="Normal 8 2 2 2 2 8 2" xfId="21720" xr:uid="{B472A299-EE37-493D-895B-647845A65AA3}"/>
    <cellStyle name="Normal 8 2 2 2 2 8 3" xfId="13286" xr:uid="{ED6C732E-F54C-47FF-A9B6-6F87472CF621}"/>
    <cellStyle name="Normal 8 2 2 2 2 9" xfId="17503" xr:uid="{627A0DA7-2A03-4E10-8EFB-21C5562C348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24280" xr:uid="{39D9F632-2F17-466A-BCF9-6DEBE0C0D548}"/>
    <cellStyle name="Normal 8 2 2 2 3 2 2 2 3" xfId="15846" xr:uid="{B4EADE95-39ED-44C6-8A5A-59B96DF154E9}"/>
    <cellStyle name="Normal 8 2 2 2 3 2 2 3" xfId="20063" xr:uid="{9D0FDE1C-6B20-4E4F-835C-BA70F41CDA6E}"/>
    <cellStyle name="Normal 8 2 2 2 3 2 2 4" xfId="11629" xr:uid="{550D508A-8916-411A-9CD1-C6DA4546E81C}"/>
    <cellStyle name="Normal 8 2 2 2 3 2 3" xfId="5263" xr:uid="{00000000-0005-0000-0000-0000221C0000}"/>
    <cellStyle name="Normal 8 2 2 2 3 2 3 2" xfId="22135" xr:uid="{FFA57294-F223-4C7D-A0AC-96ED56097C61}"/>
    <cellStyle name="Normal 8 2 2 2 3 2 3 3" xfId="13701" xr:uid="{0A51F1A8-F954-4AC3-A0DD-D2F071087AE8}"/>
    <cellStyle name="Normal 8 2 2 2 3 2 4" xfId="17918" xr:uid="{931AFEC0-BD6D-4046-A5DF-25E47DC0AF1A}"/>
    <cellStyle name="Normal 8 2 2 2 3 2 5" xfId="9484" xr:uid="{A854C3EA-B83D-437B-9DE0-29B5906E0E74}"/>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24693" xr:uid="{3A22F641-2078-4B8B-A6CD-D0DFBB29A73B}"/>
    <cellStyle name="Normal 8 2 2 2 3 3 2 2 3" xfId="16259" xr:uid="{5A13DDB9-965F-4077-8C44-40CE299F8DD6}"/>
    <cellStyle name="Normal 8 2 2 2 3 3 2 3" xfId="20476" xr:uid="{37493F25-26C4-4647-9C7A-D50EA1DA1F6D}"/>
    <cellStyle name="Normal 8 2 2 2 3 3 2 4" xfId="12042" xr:uid="{18DD0304-E8A3-4708-80BC-36C3C089C81B}"/>
    <cellStyle name="Normal 8 2 2 2 3 3 3" xfId="5676" xr:uid="{00000000-0005-0000-0000-0000261C0000}"/>
    <cellStyle name="Normal 8 2 2 2 3 3 3 2" xfId="22548" xr:uid="{8F6469A8-9F72-4A3D-B35F-047A1D1E7986}"/>
    <cellStyle name="Normal 8 2 2 2 3 3 3 3" xfId="14114" xr:uid="{4A2C8AAA-639C-4778-9292-A1494ED39B41}"/>
    <cellStyle name="Normal 8 2 2 2 3 3 4" xfId="18331" xr:uid="{DD969EBD-8073-4B6D-9DAF-190075CC8AA4}"/>
    <cellStyle name="Normal 8 2 2 2 3 3 5" xfId="9897" xr:uid="{4EA70427-07D5-4C5C-82CA-D89A509AAFD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25106" xr:uid="{261A586D-7AD0-4B83-BBEA-279FF496C710}"/>
    <cellStyle name="Normal 8 2 2 2 3 4 2 2 3" xfId="16672" xr:uid="{4B10073F-753B-4ED1-A929-7BBF2D4F6A31}"/>
    <cellStyle name="Normal 8 2 2 2 3 4 2 3" xfId="20889" xr:uid="{026816E3-BDF1-4E14-ABCC-658A83D602ED}"/>
    <cellStyle name="Normal 8 2 2 2 3 4 2 4" xfId="12455" xr:uid="{F47E363B-AC1C-4236-88FA-557B9CC65042}"/>
    <cellStyle name="Normal 8 2 2 2 3 4 3" xfId="6089" xr:uid="{00000000-0005-0000-0000-00002A1C0000}"/>
    <cellStyle name="Normal 8 2 2 2 3 4 3 2" xfId="22961" xr:uid="{ABB9E954-AD0C-4254-8ED5-8CBF3DF070F6}"/>
    <cellStyle name="Normal 8 2 2 2 3 4 3 3" xfId="14527" xr:uid="{FB05078C-586B-42BE-9250-E9E710CD78B4}"/>
    <cellStyle name="Normal 8 2 2 2 3 4 4" xfId="18744" xr:uid="{0DAEFE90-1795-4973-9466-3271E224C859}"/>
    <cellStyle name="Normal 8 2 2 2 3 4 5" xfId="10310" xr:uid="{905A79FD-07F0-4925-A6B1-4E5D8A6613B9}"/>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25519" xr:uid="{680CF559-5D03-45F6-B051-5D18C7C14A4F}"/>
    <cellStyle name="Normal 8 2 2 2 3 5 2 2 3" xfId="17085" xr:uid="{4250FEA5-219E-4314-A5B5-664D83F1EA31}"/>
    <cellStyle name="Normal 8 2 2 2 3 5 2 3" xfId="21302" xr:uid="{02D0039B-90F3-47AA-8574-C24BCDF02994}"/>
    <cellStyle name="Normal 8 2 2 2 3 5 2 4" xfId="12868" xr:uid="{F25269E9-F069-46DD-AF39-34625556B191}"/>
    <cellStyle name="Normal 8 2 2 2 3 5 3" xfId="6502" xr:uid="{00000000-0005-0000-0000-00002E1C0000}"/>
    <cellStyle name="Normal 8 2 2 2 3 5 3 2" xfId="23374" xr:uid="{901E07D6-CCDE-480A-9FDB-1D1DD99C1EF7}"/>
    <cellStyle name="Normal 8 2 2 2 3 5 3 3" xfId="14940" xr:uid="{F055CA73-0B9A-4C81-BBF7-D57338E75580}"/>
    <cellStyle name="Normal 8 2 2 2 3 5 4" xfId="19157" xr:uid="{D351C2F5-7E60-47D4-B81E-34A29372166B}"/>
    <cellStyle name="Normal 8 2 2 2 3 5 5" xfId="10723" xr:uid="{085DA173-FF07-40E5-A8E5-9327AE800B65}"/>
    <cellStyle name="Normal 8 2 2 2 3 6" xfId="2631" xr:uid="{00000000-0005-0000-0000-00002F1C0000}"/>
    <cellStyle name="Normal 8 2 2 2 3 6 2" xfId="6915" xr:uid="{00000000-0005-0000-0000-0000301C0000}"/>
    <cellStyle name="Normal 8 2 2 2 3 6 2 2" xfId="23787" xr:uid="{E3A2BC66-C3BE-467E-866C-059869354ABD}"/>
    <cellStyle name="Normal 8 2 2 2 3 6 2 3" xfId="15353" xr:uid="{55D1B2BA-3008-4D4E-AE44-12F904C6DC7D}"/>
    <cellStyle name="Normal 8 2 2 2 3 6 3" xfId="19570" xr:uid="{EC8DD3EC-1395-476D-AFFF-B335B8721468}"/>
    <cellStyle name="Normal 8 2 2 2 3 6 4" xfId="11136" xr:uid="{532CE36A-AF0E-4DC7-B41F-61217B3113E2}"/>
    <cellStyle name="Normal 8 2 2 2 3 7" xfId="4850" xr:uid="{00000000-0005-0000-0000-0000311C0000}"/>
    <cellStyle name="Normal 8 2 2 2 3 7 2" xfId="21722" xr:uid="{99FE6BD6-D910-48A7-8FA9-DEE1919230A4}"/>
    <cellStyle name="Normal 8 2 2 2 3 7 3" xfId="13288" xr:uid="{F41A690A-939B-43E3-923A-1ABC911AB7DF}"/>
    <cellStyle name="Normal 8 2 2 2 3 8" xfId="17505" xr:uid="{5188237D-0CD0-4FE6-90F3-BC45ABE5857B}"/>
    <cellStyle name="Normal 8 2 2 2 3 9" xfId="9071" xr:uid="{C017FB7B-EA3A-4143-A3D5-7DC82AB56D2C}"/>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24277" xr:uid="{86EE7C36-054D-450A-8624-C24FE666147B}"/>
    <cellStyle name="Normal 8 2 2 2 4 2 2 3" xfId="15843" xr:uid="{785EF5A6-FA50-49E0-BD49-74225B3600EC}"/>
    <cellStyle name="Normal 8 2 2 2 4 2 3" xfId="20060" xr:uid="{D40A389E-7C7B-4F88-B78C-1E011E2BFA9D}"/>
    <cellStyle name="Normal 8 2 2 2 4 2 4" xfId="11626" xr:uid="{7692B79E-7F4A-430A-B3D6-7ED49F0B65D3}"/>
    <cellStyle name="Normal 8 2 2 2 4 3" xfId="5260" xr:uid="{00000000-0005-0000-0000-0000351C0000}"/>
    <cellStyle name="Normal 8 2 2 2 4 3 2" xfId="22132" xr:uid="{A29BF0E5-F54C-4E36-8466-F4B5D0B1CEB6}"/>
    <cellStyle name="Normal 8 2 2 2 4 3 3" xfId="13698" xr:uid="{FB9310B9-F71D-4B3C-B542-45BA358D1268}"/>
    <cellStyle name="Normal 8 2 2 2 4 4" xfId="17915" xr:uid="{CF79DF84-9353-4C72-AA37-F6174EAB75A7}"/>
    <cellStyle name="Normal 8 2 2 2 4 5" xfId="9481" xr:uid="{42EA458C-7383-4443-A191-F6F2CCE4FE37}"/>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24690" xr:uid="{80E16130-9A06-4D3A-9C08-606D1583D575}"/>
    <cellStyle name="Normal 8 2 2 2 5 2 2 3" xfId="16256" xr:uid="{448B90BC-C942-4AD9-A9A7-1F4A3E97CB4C}"/>
    <cellStyle name="Normal 8 2 2 2 5 2 3" xfId="20473" xr:uid="{675F64B4-CF9F-4EB6-AF77-829BDFEDAE3E}"/>
    <cellStyle name="Normal 8 2 2 2 5 2 4" xfId="12039" xr:uid="{6AB87EA9-7D7A-4B49-A32A-9E0CC55FCA5A}"/>
    <cellStyle name="Normal 8 2 2 2 5 3" xfId="5673" xr:uid="{00000000-0005-0000-0000-0000391C0000}"/>
    <cellStyle name="Normal 8 2 2 2 5 3 2" xfId="22545" xr:uid="{6FDD6872-8BC1-4C04-AD96-48700DB24168}"/>
    <cellStyle name="Normal 8 2 2 2 5 3 3" xfId="14111" xr:uid="{85122D21-E662-4EAD-BF4F-2508F0A066C2}"/>
    <cellStyle name="Normal 8 2 2 2 5 4" xfId="18328" xr:uid="{DB07CF32-02AF-4479-AC54-F0D60854BB80}"/>
    <cellStyle name="Normal 8 2 2 2 5 5" xfId="9894" xr:uid="{CBFFD2B6-CC8B-4442-9C7C-9BCBE5CCFF72}"/>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25103" xr:uid="{679DDFC8-9940-4C7A-99C3-79553B922AA3}"/>
    <cellStyle name="Normal 8 2 2 2 6 2 2 3" xfId="16669" xr:uid="{D27729AA-E9EA-468B-86BB-D49685B8E2C7}"/>
    <cellStyle name="Normal 8 2 2 2 6 2 3" xfId="20886" xr:uid="{2862A849-DF2B-4B5B-BEDD-52A8D9CA6501}"/>
    <cellStyle name="Normal 8 2 2 2 6 2 4" xfId="12452" xr:uid="{2D2BF3E3-582E-494D-A437-B15F124F2F43}"/>
    <cellStyle name="Normal 8 2 2 2 6 3" xfId="6086" xr:uid="{00000000-0005-0000-0000-00003D1C0000}"/>
    <cellStyle name="Normal 8 2 2 2 6 3 2" xfId="22958" xr:uid="{55CB761A-74AD-4010-9844-E6EE57ED1D37}"/>
    <cellStyle name="Normal 8 2 2 2 6 3 3" xfId="14524" xr:uid="{9B3FBF97-43C0-45D0-AE49-EC68327C81C2}"/>
    <cellStyle name="Normal 8 2 2 2 6 4" xfId="18741" xr:uid="{F354A7ED-768C-4AAF-832F-EA375160356D}"/>
    <cellStyle name="Normal 8 2 2 2 6 5" xfId="10307" xr:uid="{F9F5B0BB-5D91-4A53-86E0-5C6510EDE1F4}"/>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25516" xr:uid="{20545D73-30D3-494B-B43F-AD5FC32405A9}"/>
    <cellStyle name="Normal 8 2 2 2 7 2 2 3" xfId="17082" xr:uid="{2DA08B91-B7F2-430A-A9F4-F8F429DA62B1}"/>
    <cellStyle name="Normal 8 2 2 2 7 2 3" xfId="21299" xr:uid="{64254E0D-9354-4386-BD7C-5C9501909A23}"/>
    <cellStyle name="Normal 8 2 2 2 7 2 4" xfId="12865" xr:uid="{1B517B93-0BEF-486D-89F3-BDA71FED910F}"/>
    <cellStyle name="Normal 8 2 2 2 7 3" xfId="6499" xr:uid="{00000000-0005-0000-0000-0000411C0000}"/>
    <cellStyle name="Normal 8 2 2 2 7 3 2" xfId="23371" xr:uid="{47E95C85-BD30-4905-9F98-826BFA3299F6}"/>
    <cellStyle name="Normal 8 2 2 2 7 3 3" xfId="14937" xr:uid="{35024F99-020C-42B5-800C-16B5BDD26314}"/>
    <cellStyle name="Normal 8 2 2 2 7 4" xfId="19154" xr:uid="{8FFE43D9-8111-445F-9057-3576452F88D1}"/>
    <cellStyle name="Normal 8 2 2 2 7 5" xfId="10720" xr:uid="{D59988ED-483E-42CE-AFCF-41C877803B47}"/>
    <cellStyle name="Normal 8 2 2 2 8" xfId="2628" xr:uid="{00000000-0005-0000-0000-0000421C0000}"/>
    <cellStyle name="Normal 8 2 2 2 8 2" xfId="6912" xr:uid="{00000000-0005-0000-0000-0000431C0000}"/>
    <cellStyle name="Normal 8 2 2 2 8 2 2" xfId="23784" xr:uid="{879A912F-71AC-49B1-8082-5EC5F81BA59A}"/>
    <cellStyle name="Normal 8 2 2 2 8 2 3" xfId="15350" xr:uid="{A99A9B97-D681-4A14-8E6B-3685BD613E15}"/>
    <cellStyle name="Normal 8 2 2 2 8 3" xfId="19567" xr:uid="{A274DE8F-10A4-4602-9367-C17960FD73F8}"/>
    <cellStyle name="Normal 8 2 2 2 8 4" xfId="11133" xr:uid="{753FE041-D821-44F4-93BF-53B9070650C1}"/>
    <cellStyle name="Normal 8 2 2 2 9" xfId="4847" xr:uid="{00000000-0005-0000-0000-0000441C0000}"/>
    <cellStyle name="Normal 8 2 2 2 9 2" xfId="21719" xr:uid="{3308CBC0-AA63-4FBF-B126-BD453606FFD0}"/>
    <cellStyle name="Normal 8 2 2 2 9 3" xfId="13285" xr:uid="{6B5807C1-6DFF-4C2F-A97B-4B7B7B0D7C21}"/>
    <cellStyle name="Normal 8 2 2 3" xfId="485" xr:uid="{00000000-0005-0000-0000-0000451C0000}"/>
    <cellStyle name="Normal 8 2 2 3 10" xfId="9072" xr:uid="{47BCF12B-25EB-474B-89EA-A403413C5C13}"/>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24282" xr:uid="{46465A8A-8CEA-4FB0-BA7F-AF312B9A0EC2}"/>
    <cellStyle name="Normal 8 2 2 3 2 2 2 2 3" xfId="15848" xr:uid="{545EDF1F-92B4-4518-BB6C-1453033347E8}"/>
    <cellStyle name="Normal 8 2 2 3 2 2 2 3" xfId="20065" xr:uid="{3D0725FF-C323-443B-8893-423B5F701B81}"/>
    <cellStyle name="Normal 8 2 2 3 2 2 2 4" xfId="11631" xr:uid="{5783D5BF-DBF5-4BC0-9737-63CE1041F602}"/>
    <cellStyle name="Normal 8 2 2 3 2 2 3" xfId="5265" xr:uid="{00000000-0005-0000-0000-00004A1C0000}"/>
    <cellStyle name="Normal 8 2 2 3 2 2 3 2" xfId="22137" xr:uid="{AE08A72A-A897-4D42-ABEF-812AEC4C17E9}"/>
    <cellStyle name="Normal 8 2 2 3 2 2 3 3" xfId="13703" xr:uid="{FF6A4F99-D484-4218-BEF1-1A52125DEBD8}"/>
    <cellStyle name="Normal 8 2 2 3 2 2 4" xfId="17920" xr:uid="{5B4AE762-B4BF-4E51-BEF9-256C0EA2D78D}"/>
    <cellStyle name="Normal 8 2 2 3 2 2 5" xfId="9486" xr:uid="{C63BBE61-87B0-46F0-BC98-34E73E9682C4}"/>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24695" xr:uid="{74259C94-FF6E-4DC0-8AED-0323E61697EA}"/>
    <cellStyle name="Normal 8 2 2 3 2 3 2 2 3" xfId="16261" xr:uid="{674A47B0-1E4B-4FC2-AF39-3754E0531CDD}"/>
    <cellStyle name="Normal 8 2 2 3 2 3 2 3" xfId="20478" xr:uid="{3715412E-3FD6-4908-9E57-85D32CD6F30E}"/>
    <cellStyle name="Normal 8 2 2 3 2 3 2 4" xfId="12044" xr:uid="{770EC0A5-7B39-43D1-85CB-4F13134E6882}"/>
    <cellStyle name="Normal 8 2 2 3 2 3 3" xfId="5678" xr:uid="{00000000-0005-0000-0000-00004E1C0000}"/>
    <cellStyle name="Normal 8 2 2 3 2 3 3 2" xfId="22550" xr:uid="{08FF5062-B4E8-49D8-87B4-6ECD7B041D0E}"/>
    <cellStyle name="Normal 8 2 2 3 2 3 3 3" xfId="14116" xr:uid="{2E7D4D40-9B2D-484D-A1FB-044961E71EA3}"/>
    <cellStyle name="Normal 8 2 2 3 2 3 4" xfId="18333" xr:uid="{8D3596E1-055E-4423-877E-95CF5DA5A0B3}"/>
    <cellStyle name="Normal 8 2 2 3 2 3 5" xfId="9899" xr:uid="{2A0C7412-DAA2-46CA-920D-98BC1A81BC7D}"/>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25108" xr:uid="{7B0DCB8F-6362-47BB-BF07-9495A80CDD84}"/>
    <cellStyle name="Normal 8 2 2 3 2 4 2 2 3" xfId="16674" xr:uid="{32687D21-023B-4167-9185-3E67470C9435}"/>
    <cellStyle name="Normal 8 2 2 3 2 4 2 3" xfId="20891" xr:uid="{78F08B53-B54E-4CEC-8C1A-61DF823FB5EE}"/>
    <cellStyle name="Normal 8 2 2 3 2 4 2 4" xfId="12457" xr:uid="{28DBBE7F-2A16-417A-A617-0A57503D039B}"/>
    <cellStyle name="Normal 8 2 2 3 2 4 3" xfId="6091" xr:uid="{00000000-0005-0000-0000-0000521C0000}"/>
    <cellStyle name="Normal 8 2 2 3 2 4 3 2" xfId="22963" xr:uid="{96595DEF-64C5-49AF-9E0F-51945B0FABB2}"/>
    <cellStyle name="Normal 8 2 2 3 2 4 3 3" xfId="14529" xr:uid="{2FF8787B-AD11-4B02-8B88-00E6824B49FD}"/>
    <cellStyle name="Normal 8 2 2 3 2 4 4" xfId="18746" xr:uid="{5624CB48-5837-42E3-B0D9-06A438DA2E6E}"/>
    <cellStyle name="Normal 8 2 2 3 2 4 5" xfId="10312" xr:uid="{4DE82D17-B6E3-4A10-AE30-3A7979799926}"/>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25521" xr:uid="{23455DD2-F728-4C5D-8074-EEA8C7D2060D}"/>
    <cellStyle name="Normal 8 2 2 3 2 5 2 2 3" xfId="17087" xr:uid="{FAC8EF98-8A8C-47E3-A2C4-21BB25976ED0}"/>
    <cellStyle name="Normal 8 2 2 3 2 5 2 3" xfId="21304" xr:uid="{9699731A-7D0D-44AB-8E54-9AD15EFB3ADE}"/>
    <cellStyle name="Normal 8 2 2 3 2 5 2 4" xfId="12870" xr:uid="{9BC12053-155E-47FE-9093-02F1B250174D}"/>
    <cellStyle name="Normal 8 2 2 3 2 5 3" xfId="6504" xr:uid="{00000000-0005-0000-0000-0000561C0000}"/>
    <cellStyle name="Normal 8 2 2 3 2 5 3 2" xfId="23376" xr:uid="{B11CE803-FA01-4E95-9854-EF571F5B38A6}"/>
    <cellStyle name="Normal 8 2 2 3 2 5 3 3" xfId="14942" xr:uid="{DCF10077-9382-4841-81E5-C149EB85C32A}"/>
    <cellStyle name="Normal 8 2 2 3 2 5 4" xfId="19159" xr:uid="{CEC6606C-6E92-431A-B3FD-6D9EEEA577E1}"/>
    <cellStyle name="Normal 8 2 2 3 2 5 5" xfId="10725" xr:uid="{0BA583EA-5982-44E4-A592-4D5BA7CE911E}"/>
    <cellStyle name="Normal 8 2 2 3 2 6" xfId="2633" xr:uid="{00000000-0005-0000-0000-0000571C0000}"/>
    <cellStyle name="Normal 8 2 2 3 2 6 2" xfId="6917" xr:uid="{00000000-0005-0000-0000-0000581C0000}"/>
    <cellStyle name="Normal 8 2 2 3 2 6 2 2" xfId="23789" xr:uid="{A6A2FA8E-3C05-46AB-BB7B-2BDED09B5F31}"/>
    <cellStyle name="Normal 8 2 2 3 2 6 2 3" xfId="15355" xr:uid="{160DE245-DC14-4707-AB2C-5D19CF2B6ECF}"/>
    <cellStyle name="Normal 8 2 2 3 2 6 3" xfId="19572" xr:uid="{47EFEB54-86E7-4FE8-A381-6561D449FCB9}"/>
    <cellStyle name="Normal 8 2 2 3 2 6 4" xfId="11138" xr:uid="{F0124783-BA01-43EB-8EDC-362DB3B58EB9}"/>
    <cellStyle name="Normal 8 2 2 3 2 7" xfId="4852" xr:uid="{00000000-0005-0000-0000-0000591C0000}"/>
    <cellStyle name="Normal 8 2 2 3 2 7 2" xfId="21724" xr:uid="{D81AFF27-39E9-48AF-8418-1DF6744A69B7}"/>
    <cellStyle name="Normal 8 2 2 3 2 7 3" xfId="13290" xr:uid="{B06DD493-0C83-4AF4-9351-983024E21682}"/>
    <cellStyle name="Normal 8 2 2 3 2 8" xfId="17507" xr:uid="{5ADAF241-5191-41A0-A5C8-B77A27993A25}"/>
    <cellStyle name="Normal 8 2 2 3 2 9" xfId="9073" xr:uid="{4BA6ACDA-64AF-46EB-97B5-CA8C339F6411}"/>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24281" xr:uid="{2E3A928F-4FB8-4C39-B873-90D69F21E0F5}"/>
    <cellStyle name="Normal 8 2 2 3 3 2 2 3" xfId="15847" xr:uid="{F338C43E-2E0E-4F0B-A719-8071EF900A4E}"/>
    <cellStyle name="Normal 8 2 2 3 3 2 3" xfId="20064" xr:uid="{1DB40F9E-4041-4EA7-82A2-2356EA4CCCF5}"/>
    <cellStyle name="Normal 8 2 2 3 3 2 4" xfId="11630" xr:uid="{4E4EB207-68A4-49E5-B140-9DCB8C335864}"/>
    <cellStyle name="Normal 8 2 2 3 3 3" xfId="5264" xr:uid="{00000000-0005-0000-0000-00005D1C0000}"/>
    <cellStyle name="Normal 8 2 2 3 3 3 2" xfId="22136" xr:uid="{A9B60ABC-ED7B-4A0E-9F64-777C2D85AEFD}"/>
    <cellStyle name="Normal 8 2 2 3 3 3 3" xfId="13702" xr:uid="{EDDE79B3-DFC7-4FEA-A9ED-6E204281AA28}"/>
    <cellStyle name="Normal 8 2 2 3 3 4" xfId="17919" xr:uid="{ED14668C-21B3-4397-A0D7-BE3BFB383D6A}"/>
    <cellStyle name="Normal 8 2 2 3 3 5" xfId="9485" xr:uid="{CB8DE5EA-01AF-4EA7-AD92-2FA508B438C3}"/>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24694" xr:uid="{ABF74D1B-424A-47B0-9BF8-3CFC3D1D663D}"/>
    <cellStyle name="Normal 8 2 2 3 4 2 2 3" xfId="16260" xr:uid="{96256791-68FB-4BBE-AD68-475D8BE6B02E}"/>
    <cellStyle name="Normal 8 2 2 3 4 2 3" xfId="20477" xr:uid="{83DCD51C-97C8-4885-A6E7-2B553E27DBF6}"/>
    <cellStyle name="Normal 8 2 2 3 4 2 4" xfId="12043" xr:uid="{595158F6-5397-4AE3-9652-36B90381B8BA}"/>
    <cellStyle name="Normal 8 2 2 3 4 3" xfId="5677" xr:uid="{00000000-0005-0000-0000-0000611C0000}"/>
    <cellStyle name="Normal 8 2 2 3 4 3 2" xfId="22549" xr:uid="{9485C0EF-F3D6-48D1-A404-8FE0539CDA2C}"/>
    <cellStyle name="Normal 8 2 2 3 4 3 3" xfId="14115" xr:uid="{24C41950-03CF-4B4C-B8C2-8D381DE1CF34}"/>
    <cellStyle name="Normal 8 2 2 3 4 4" xfId="18332" xr:uid="{384CAE48-2E42-4C90-ACC4-265E37F3BB25}"/>
    <cellStyle name="Normal 8 2 2 3 4 5" xfId="9898" xr:uid="{23FAC39C-C751-4D0A-9AD2-5A93C7E10905}"/>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25107" xr:uid="{97401ACC-EF39-4701-90BF-91B12E02E01E}"/>
    <cellStyle name="Normal 8 2 2 3 5 2 2 3" xfId="16673" xr:uid="{FB5E84EA-2C17-411E-A12A-078AE3C923A3}"/>
    <cellStyle name="Normal 8 2 2 3 5 2 3" xfId="20890" xr:uid="{1C97BC79-84EE-4593-813C-3FC2A3B8731A}"/>
    <cellStyle name="Normal 8 2 2 3 5 2 4" xfId="12456" xr:uid="{7C15ADC4-B735-4342-A343-D6D6C02493D0}"/>
    <cellStyle name="Normal 8 2 2 3 5 3" xfId="6090" xr:uid="{00000000-0005-0000-0000-0000651C0000}"/>
    <cellStyle name="Normal 8 2 2 3 5 3 2" xfId="22962" xr:uid="{4A9B0B96-2092-4B6C-934A-BCBBA9756A75}"/>
    <cellStyle name="Normal 8 2 2 3 5 3 3" xfId="14528" xr:uid="{A8C7AD45-78AB-46FD-8A58-5AF6A8F1EF7C}"/>
    <cellStyle name="Normal 8 2 2 3 5 4" xfId="18745" xr:uid="{5B672313-5B29-41EA-8DD5-9EE9608A1EA9}"/>
    <cellStyle name="Normal 8 2 2 3 5 5" xfId="10311" xr:uid="{EC96BCD3-4949-45A2-8605-22BCA0A9B7B6}"/>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25520" xr:uid="{2C880E97-6621-4FBB-9C14-6B975F1B45E7}"/>
    <cellStyle name="Normal 8 2 2 3 6 2 2 3" xfId="17086" xr:uid="{606AB019-1A92-475E-A0A9-A18BD7E09266}"/>
    <cellStyle name="Normal 8 2 2 3 6 2 3" xfId="21303" xr:uid="{6EA22BE5-24C9-49C1-B36C-3233C4C699CB}"/>
    <cellStyle name="Normal 8 2 2 3 6 2 4" xfId="12869" xr:uid="{136536DC-171F-4E4B-89C8-2EE460247164}"/>
    <cellStyle name="Normal 8 2 2 3 6 3" xfId="6503" xr:uid="{00000000-0005-0000-0000-0000691C0000}"/>
    <cellStyle name="Normal 8 2 2 3 6 3 2" xfId="23375" xr:uid="{B60B5AD3-87CC-4F6E-AEE2-187C8B9637F7}"/>
    <cellStyle name="Normal 8 2 2 3 6 3 3" xfId="14941" xr:uid="{A7D8091A-36CC-47E9-A60C-985173535942}"/>
    <cellStyle name="Normal 8 2 2 3 6 4" xfId="19158" xr:uid="{1ABDCB6D-E332-4AA0-86EA-04127C3F77A2}"/>
    <cellStyle name="Normal 8 2 2 3 6 5" xfId="10724" xr:uid="{C8BC276D-6CBC-438E-B8A1-993A6E59B0E3}"/>
    <cellStyle name="Normal 8 2 2 3 7" xfId="2632" xr:uid="{00000000-0005-0000-0000-00006A1C0000}"/>
    <cellStyle name="Normal 8 2 2 3 7 2" xfId="6916" xr:uid="{00000000-0005-0000-0000-00006B1C0000}"/>
    <cellStyle name="Normal 8 2 2 3 7 2 2" xfId="23788" xr:uid="{D78E8A5E-2779-4D6B-BF6D-58ED76D4CA5D}"/>
    <cellStyle name="Normal 8 2 2 3 7 2 3" xfId="15354" xr:uid="{C6CB65FD-CA10-42BC-A73A-F60A083E5642}"/>
    <cellStyle name="Normal 8 2 2 3 7 3" xfId="19571" xr:uid="{6EB5141E-5720-40F3-9A13-7079525CBF65}"/>
    <cellStyle name="Normal 8 2 2 3 7 4" xfId="11137" xr:uid="{89645F8B-3F6F-4A11-86CF-BD125D26B45C}"/>
    <cellStyle name="Normal 8 2 2 3 8" xfId="4851" xr:uid="{00000000-0005-0000-0000-00006C1C0000}"/>
    <cellStyle name="Normal 8 2 2 3 8 2" xfId="21723" xr:uid="{056C0EFA-FEE4-45BF-A777-4BFC88BD0396}"/>
    <cellStyle name="Normal 8 2 2 3 8 3" xfId="13289" xr:uid="{4F2CA9C6-AD7A-4B4D-B2E5-E9A4951E0721}"/>
    <cellStyle name="Normal 8 2 2 3 9" xfId="17506" xr:uid="{4B25F503-65EA-4BA6-A8D0-BD49B15E9116}"/>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24283" xr:uid="{03704169-69A4-41D8-9A87-128522236330}"/>
    <cellStyle name="Normal 8 2 2 4 2 2 2 3" xfId="15849" xr:uid="{D1C7E76C-0D21-48DC-99F1-A70608B7CD26}"/>
    <cellStyle name="Normal 8 2 2 4 2 2 3" xfId="20066" xr:uid="{2D80A110-C2DE-4394-801D-103CE223AEA8}"/>
    <cellStyle name="Normal 8 2 2 4 2 2 4" xfId="11632" xr:uid="{20808F98-2354-4913-83CD-CF3859A2C457}"/>
    <cellStyle name="Normal 8 2 2 4 2 3" xfId="5266" xr:uid="{00000000-0005-0000-0000-0000711C0000}"/>
    <cellStyle name="Normal 8 2 2 4 2 3 2" xfId="22138" xr:uid="{991969A7-0A97-4169-9044-3D95F8181F27}"/>
    <cellStyle name="Normal 8 2 2 4 2 3 3" xfId="13704" xr:uid="{C67B386B-DFEF-4674-A1DD-9AC2859D3A6C}"/>
    <cellStyle name="Normal 8 2 2 4 2 4" xfId="17921" xr:uid="{1E1E9198-C57D-4687-B375-91F94C5B163F}"/>
    <cellStyle name="Normal 8 2 2 4 2 5" xfId="9487" xr:uid="{45146EA3-4AB6-482F-B06A-03809B527501}"/>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24696" xr:uid="{707BF295-60DD-4363-AF28-51B9FE7198E0}"/>
    <cellStyle name="Normal 8 2 2 4 3 2 2 3" xfId="16262" xr:uid="{B7C75524-0D43-4798-87DE-CC4890A0DA86}"/>
    <cellStyle name="Normal 8 2 2 4 3 2 3" xfId="20479" xr:uid="{283A7A9B-33D3-40CA-A43E-5CBC91D45391}"/>
    <cellStyle name="Normal 8 2 2 4 3 2 4" xfId="12045" xr:uid="{0775AFB4-9637-45C6-8EDD-2C9F1772D40B}"/>
    <cellStyle name="Normal 8 2 2 4 3 3" xfId="5679" xr:uid="{00000000-0005-0000-0000-0000751C0000}"/>
    <cellStyle name="Normal 8 2 2 4 3 3 2" xfId="22551" xr:uid="{B2667955-55CD-48BA-9B76-C0D251626735}"/>
    <cellStyle name="Normal 8 2 2 4 3 3 3" xfId="14117" xr:uid="{3BE8C37B-54C2-4D47-B5B6-17FBFC0C0EF4}"/>
    <cellStyle name="Normal 8 2 2 4 3 4" xfId="18334" xr:uid="{42C26D9A-01D7-47F5-A0B6-289BEE571157}"/>
    <cellStyle name="Normal 8 2 2 4 3 5" xfId="9900" xr:uid="{1E092370-942D-40FE-92CF-06DC8BA193CA}"/>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25109" xr:uid="{82259F09-BA36-421C-A53E-6480AA9E04DC}"/>
    <cellStyle name="Normal 8 2 2 4 4 2 2 3" xfId="16675" xr:uid="{25D3B4CC-C9A9-48DB-92F1-9EFA69A4524C}"/>
    <cellStyle name="Normal 8 2 2 4 4 2 3" xfId="20892" xr:uid="{A73E6D6A-DC82-40B8-8D12-BB9A9ED8BDD4}"/>
    <cellStyle name="Normal 8 2 2 4 4 2 4" xfId="12458" xr:uid="{6EBE98C8-6CD9-48DB-B74D-C82A9F97B703}"/>
    <cellStyle name="Normal 8 2 2 4 4 3" xfId="6092" xr:uid="{00000000-0005-0000-0000-0000791C0000}"/>
    <cellStyle name="Normal 8 2 2 4 4 3 2" xfId="22964" xr:uid="{0B0C28A4-8A8A-4146-BFA9-76E5C4C2C812}"/>
    <cellStyle name="Normal 8 2 2 4 4 3 3" xfId="14530" xr:uid="{AA4E92F1-D50E-4A15-B43D-ACF1F941054C}"/>
    <cellStyle name="Normal 8 2 2 4 4 4" xfId="18747" xr:uid="{B58B07CC-4768-4DEE-B9CC-E217B9D26D6E}"/>
    <cellStyle name="Normal 8 2 2 4 4 5" xfId="10313" xr:uid="{401D3441-464D-4D1F-A441-5F49F69506BC}"/>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25522" xr:uid="{AD484E48-32CA-49B2-B950-8693B7A87330}"/>
    <cellStyle name="Normal 8 2 2 4 5 2 2 3" xfId="17088" xr:uid="{09B82CF6-6893-483E-A0D7-2EA56F99E56D}"/>
    <cellStyle name="Normal 8 2 2 4 5 2 3" xfId="21305" xr:uid="{3231692F-464E-4893-8A32-C8775FB96A7A}"/>
    <cellStyle name="Normal 8 2 2 4 5 2 4" xfId="12871" xr:uid="{625601D4-AEA8-4F42-934F-30E925C53777}"/>
    <cellStyle name="Normal 8 2 2 4 5 3" xfId="6505" xr:uid="{00000000-0005-0000-0000-00007D1C0000}"/>
    <cellStyle name="Normal 8 2 2 4 5 3 2" xfId="23377" xr:uid="{18821AC0-E77F-41D2-B0ED-91CFD7949F18}"/>
    <cellStyle name="Normal 8 2 2 4 5 3 3" xfId="14943" xr:uid="{F21A134D-FAE4-4909-8081-3E499B75A501}"/>
    <cellStyle name="Normal 8 2 2 4 5 4" xfId="19160" xr:uid="{95E39414-4875-45FF-96EE-E4E93705E2AF}"/>
    <cellStyle name="Normal 8 2 2 4 5 5" xfId="10726" xr:uid="{F448C6D4-E723-4F7D-97AC-684364E97B50}"/>
    <cellStyle name="Normal 8 2 2 4 6" xfId="2634" xr:uid="{00000000-0005-0000-0000-00007E1C0000}"/>
    <cellStyle name="Normal 8 2 2 4 6 2" xfId="6918" xr:uid="{00000000-0005-0000-0000-00007F1C0000}"/>
    <cellStyle name="Normal 8 2 2 4 6 2 2" xfId="23790" xr:uid="{5B0979E1-F859-4741-85AE-33DC114FA554}"/>
    <cellStyle name="Normal 8 2 2 4 6 2 3" xfId="15356" xr:uid="{91A32149-0BB2-4B22-8C99-8AA0883818AF}"/>
    <cellStyle name="Normal 8 2 2 4 6 3" xfId="19573" xr:uid="{09B2849C-BD50-4D31-9563-B9772CEC1197}"/>
    <cellStyle name="Normal 8 2 2 4 6 4" xfId="11139" xr:uid="{E5828B82-71C4-4CD7-86F1-408B59FF9EE5}"/>
    <cellStyle name="Normal 8 2 2 4 7" xfId="4853" xr:uid="{00000000-0005-0000-0000-0000801C0000}"/>
    <cellStyle name="Normal 8 2 2 4 7 2" xfId="21725" xr:uid="{9D1CFE62-D94E-4A2E-832D-6E64A362E740}"/>
    <cellStyle name="Normal 8 2 2 4 7 3" xfId="13291" xr:uid="{630CA990-49E8-4104-B71E-EF6F04882364}"/>
    <cellStyle name="Normal 8 2 2 4 8" xfId="17508" xr:uid="{AA7B7E42-BCF4-4EE9-940C-CE68D3BA6159}"/>
    <cellStyle name="Normal 8 2 2 4 9" xfId="9074" xr:uid="{BE137693-9FBD-4F45-82EF-E16468A75DB1}"/>
    <cellStyle name="Normal 8 2 2 5" xfId="947" xr:uid="{00000000-0005-0000-0000-0000811C0000}"/>
    <cellStyle name="Normal 8 2 2 5 2" xfId="3181" xr:uid="{00000000-0005-0000-0000-0000821C0000}"/>
    <cellStyle name="Normal 8 2 2 5 2 2" xfId="7404" xr:uid="{00000000-0005-0000-0000-0000831C0000}"/>
    <cellStyle name="Normal 8 2 2 5 2 2 2" xfId="24276" xr:uid="{E2D3A737-BA16-4241-BC9E-2FC88BD63BC7}"/>
    <cellStyle name="Normal 8 2 2 5 2 2 3" xfId="15842" xr:uid="{C1744B43-1FFD-46ED-A007-7A269E41BFB2}"/>
    <cellStyle name="Normal 8 2 2 5 2 3" xfId="20059" xr:uid="{79C29295-AA39-4A28-AF58-97ED79224281}"/>
    <cellStyle name="Normal 8 2 2 5 2 4" xfId="11625" xr:uid="{36699A2C-DF02-4704-A515-83974593B7F2}"/>
    <cellStyle name="Normal 8 2 2 5 3" xfId="5259" xr:uid="{00000000-0005-0000-0000-0000841C0000}"/>
    <cellStyle name="Normal 8 2 2 5 3 2" xfId="22131" xr:uid="{71EF1233-1982-4EBA-8571-EA35722792CD}"/>
    <cellStyle name="Normal 8 2 2 5 3 3" xfId="13697" xr:uid="{CE6D1A1D-75CF-4EE2-BE09-0AB525FD2B9B}"/>
    <cellStyle name="Normal 8 2 2 5 4" xfId="17914" xr:uid="{70DF24AC-A44A-41EC-B7FB-F54142B0409B}"/>
    <cellStyle name="Normal 8 2 2 5 5" xfId="9480" xr:uid="{1C2ECAC8-12F2-4251-B4B1-D4251D6E9087}"/>
    <cellStyle name="Normal 8 2 2 6" xfId="1364" xr:uid="{00000000-0005-0000-0000-0000851C0000}"/>
    <cellStyle name="Normal 8 2 2 6 2" xfId="3594" xr:uid="{00000000-0005-0000-0000-0000861C0000}"/>
    <cellStyle name="Normal 8 2 2 6 2 2" xfId="7817" xr:uid="{00000000-0005-0000-0000-0000871C0000}"/>
    <cellStyle name="Normal 8 2 2 6 2 2 2" xfId="24689" xr:uid="{76A14316-45B5-4632-9D0C-7F34D60DEAD9}"/>
    <cellStyle name="Normal 8 2 2 6 2 2 3" xfId="16255" xr:uid="{AEDE7637-B4E0-4E99-B3D4-67D79F3ECC36}"/>
    <cellStyle name="Normal 8 2 2 6 2 3" xfId="20472" xr:uid="{1ACCB3DD-B40D-49CA-A166-57557B405635}"/>
    <cellStyle name="Normal 8 2 2 6 2 4" xfId="12038" xr:uid="{B3C3840D-9CD6-4ADD-85FD-B5621D00F853}"/>
    <cellStyle name="Normal 8 2 2 6 3" xfId="5672" xr:uid="{00000000-0005-0000-0000-0000881C0000}"/>
    <cellStyle name="Normal 8 2 2 6 3 2" xfId="22544" xr:uid="{DE4E3155-611D-4584-A3EA-27D21DAF0D24}"/>
    <cellStyle name="Normal 8 2 2 6 3 3" xfId="14110" xr:uid="{CB2FF01B-B1B5-4113-B370-CECF9A4D11B3}"/>
    <cellStyle name="Normal 8 2 2 6 4" xfId="18327" xr:uid="{7CA57179-2EB2-43F2-8E60-D69B88364AE3}"/>
    <cellStyle name="Normal 8 2 2 6 5" xfId="9893" xr:uid="{AB4A03DA-9607-45F4-AAE9-C8D275148E08}"/>
    <cellStyle name="Normal 8 2 2 7" xfId="1777" xr:uid="{00000000-0005-0000-0000-0000891C0000}"/>
    <cellStyle name="Normal 8 2 2 7 2" xfId="4007" xr:uid="{00000000-0005-0000-0000-00008A1C0000}"/>
    <cellStyle name="Normal 8 2 2 7 2 2" xfId="8230" xr:uid="{00000000-0005-0000-0000-00008B1C0000}"/>
    <cellStyle name="Normal 8 2 2 7 2 2 2" xfId="25102" xr:uid="{506489D0-6410-442D-8D21-C9457B7F9326}"/>
    <cellStyle name="Normal 8 2 2 7 2 2 3" xfId="16668" xr:uid="{926D2AAE-8FF6-4FE7-8D3C-59C52F860865}"/>
    <cellStyle name="Normal 8 2 2 7 2 3" xfId="20885" xr:uid="{C00B3AEB-ABA1-4DB2-AB24-7A57C46CE709}"/>
    <cellStyle name="Normal 8 2 2 7 2 4" xfId="12451" xr:uid="{FDC31EBE-12DE-472E-AEE4-163592EA040C}"/>
    <cellStyle name="Normal 8 2 2 7 3" xfId="6085" xr:uid="{00000000-0005-0000-0000-00008C1C0000}"/>
    <cellStyle name="Normal 8 2 2 7 3 2" xfId="22957" xr:uid="{805D94D0-461F-44DC-A890-AF78C6460D74}"/>
    <cellStyle name="Normal 8 2 2 7 3 3" xfId="14523" xr:uid="{BFDFE658-362B-46AE-8156-5D8722EF216F}"/>
    <cellStyle name="Normal 8 2 2 7 4" xfId="18740" xr:uid="{45A93691-439A-4992-AB6F-E3EDCE6B9A67}"/>
    <cellStyle name="Normal 8 2 2 7 5" xfId="10306" xr:uid="{F679D6A3-768F-41B6-AE8E-AAC811530313}"/>
    <cellStyle name="Normal 8 2 2 8" xfId="2191" xr:uid="{00000000-0005-0000-0000-00008D1C0000}"/>
    <cellStyle name="Normal 8 2 2 8 2" xfId="4420" xr:uid="{00000000-0005-0000-0000-00008E1C0000}"/>
    <cellStyle name="Normal 8 2 2 8 2 2" xfId="8643" xr:uid="{00000000-0005-0000-0000-00008F1C0000}"/>
    <cellStyle name="Normal 8 2 2 8 2 2 2" xfId="25515" xr:uid="{FFFF50F9-D3AA-4605-8655-734949EC7A0A}"/>
    <cellStyle name="Normal 8 2 2 8 2 2 3" xfId="17081" xr:uid="{2EE5209B-AAAF-4718-AD24-FD0E9799843B}"/>
    <cellStyle name="Normal 8 2 2 8 2 3" xfId="21298" xr:uid="{3E618736-FE47-400A-8901-69E27B37E4A2}"/>
    <cellStyle name="Normal 8 2 2 8 2 4" xfId="12864" xr:uid="{8EE443FB-C912-43C8-ACA4-09C3F75CC913}"/>
    <cellStyle name="Normal 8 2 2 8 3" xfId="6498" xr:uid="{00000000-0005-0000-0000-0000901C0000}"/>
    <cellStyle name="Normal 8 2 2 8 3 2" xfId="23370" xr:uid="{A99B14A1-DB2D-4C4A-A462-F46A5AEF1BAB}"/>
    <cellStyle name="Normal 8 2 2 8 3 3" xfId="14936" xr:uid="{AC3D017B-4D6C-4584-91A0-317755CC67FD}"/>
    <cellStyle name="Normal 8 2 2 8 4" xfId="19153" xr:uid="{5D41B5DE-B88C-440D-BEBA-1582CAEC0B9F}"/>
    <cellStyle name="Normal 8 2 2 8 5" xfId="10719" xr:uid="{8F28C383-CF18-469D-9F9B-077FD8B3DD7D}"/>
    <cellStyle name="Normal 8 2 2 9" xfId="2627" xr:uid="{00000000-0005-0000-0000-0000911C0000}"/>
    <cellStyle name="Normal 8 2 2 9 2" xfId="6911" xr:uid="{00000000-0005-0000-0000-0000921C0000}"/>
    <cellStyle name="Normal 8 2 2 9 2 2" xfId="23783" xr:uid="{DD884DB2-AE37-4736-A57D-880B9460032D}"/>
    <cellStyle name="Normal 8 2 2 9 2 3" xfId="15349" xr:uid="{A4CB7CA1-E91B-4659-BC2F-5CC5CFFDDCF3}"/>
    <cellStyle name="Normal 8 2 2 9 3" xfId="19566" xr:uid="{F2729910-DF9D-4675-AB69-F23AF68FAA94}"/>
    <cellStyle name="Normal 8 2 2 9 4" xfId="11132" xr:uid="{460A4683-E179-40A5-B214-5C2E40C8C44A}"/>
    <cellStyle name="Normal 8 2 3" xfId="488" xr:uid="{00000000-0005-0000-0000-0000931C0000}"/>
    <cellStyle name="Normal 8 2 3 10" xfId="17509" xr:uid="{E0C53232-BDD2-4715-BFAE-AA6B04C5B098}"/>
    <cellStyle name="Normal 8 2 3 11" xfId="9075" xr:uid="{315A5A8B-B623-42B6-BF99-51891984635E}"/>
    <cellStyle name="Normal 8 2 3 2" xfId="489" xr:uid="{00000000-0005-0000-0000-0000941C0000}"/>
    <cellStyle name="Normal 8 2 3 2 10" xfId="9076" xr:uid="{313F1790-B158-429C-A9E0-F9FDD9B3CFF1}"/>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24286" xr:uid="{4E754ED9-8D43-4956-A177-1A2BCA8B515D}"/>
    <cellStyle name="Normal 8 2 3 2 2 2 2 2 3" xfId="15852" xr:uid="{DC16E84A-BF95-406D-967B-5BD052AC2272}"/>
    <cellStyle name="Normal 8 2 3 2 2 2 2 3" xfId="20069" xr:uid="{8CAFC4DF-B043-4618-A782-C3F054074FED}"/>
    <cellStyle name="Normal 8 2 3 2 2 2 2 4" xfId="11635" xr:uid="{CB947207-50F2-4A72-85C8-2B69AF6F5EC5}"/>
    <cellStyle name="Normal 8 2 3 2 2 2 3" xfId="5269" xr:uid="{00000000-0005-0000-0000-0000991C0000}"/>
    <cellStyle name="Normal 8 2 3 2 2 2 3 2" xfId="22141" xr:uid="{876915C1-1727-4F89-A9FA-0718A4679F33}"/>
    <cellStyle name="Normal 8 2 3 2 2 2 3 3" xfId="13707" xr:uid="{46837458-9B8C-4A07-96CD-5A9C91C37FB7}"/>
    <cellStyle name="Normal 8 2 3 2 2 2 4" xfId="17924" xr:uid="{79B29E99-7DD9-4A4E-AF39-4FFD0A52E4D4}"/>
    <cellStyle name="Normal 8 2 3 2 2 2 5" xfId="9490" xr:uid="{25269E2B-F8DC-48B8-AFB8-40F85D907CA9}"/>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24699" xr:uid="{E6618810-3A99-49DA-B4A7-3779327CBC2E}"/>
    <cellStyle name="Normal 8 2 3 2 2 3 2 2 3" xfId="16265" xr:uid="{32B35FBC-D272-4ACF-81E7-D97192193473}"/>
    <cellStyle name="Normal 8 2 3 2 2 3 2 3" xfId="20482" xr:uid="{64A2273D-3C7E-4776-956E-4F645C2C8553}"/>
    <cellStyle name="Normal 8 2 3 2 2 3 2 4" xfId="12048" xr:uid="{4E38F5D9-2194-4FD2-AD67-4F853227B194}"/>
    <cellStyle name="Normal 8 2 3 2 2 3 3" xfId="5682" xr:uid="{00000000-0005-0000-0000-00009D1C0000}"/>
    <cellStyle name="Normal 8 2 3 2 2 3 3 2" xfId="22554" xr:uid="{82F68A04-7EEC-47AC-AF9B-E78114919394}"/>
    <cellStyle name="Normal 8 2 3 2 2 3 3 3" xfId="14120" xr:uid="{209245D5-6ADC-4224-84E9-1D23922FCAA7}"/>
    <cellStyle name="Normal 8 2 3 2 2 3 4" xfId="18337" xr:uid="{436D1681-61B8-4559-BC37-F5918B3D7700}"/>
    <cellStyle name="Normal 8 2 3 2 2 3 5" xfId="9903" xr:uid="{70527A27-31D2-4175-A054-04C85157EBFC}"/>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25112" xr:uid="{B1AE74B0-B1C7-48DB-B02E-156D73C3605D}"/>
    <cellStyle name="Normal 8 2 3 2 2 4 2 2 3" xfId="16678" xr:uid="{8ACB4B57-1A23-4D37-B965-B9284A07E897}"/>
    <cellStyle name="Normal 8 2 3 2 2 4 2 3" xfId="20895" xr:uid="{E9308CFD-70D5-4748-BC1A-9F1EB53F6008}"/>
    <cellStyle name="Normal 8 2 3 2 2 4 2 4" xfId="12461" xr:uid="{80461335-4F5C-43E5-B6E6-F1872654F93A}"/>
    <cellStyle name="Normal 8 2 3 2 2 4 3" xfId="6095" xr:uid="{00000000-0005-0000-0000-0000A11C0000}"/>
    <cellStyle name="Normal 8 2 3 2 2 4 3 2" xfId="22967" xr:uid="{D1757AFF-185A-4568-9646-9D9231E7C4C0}"/>
    <cellStyle name="Normal 8 2 3 2 2 4 3 3" xfId="14533" xr:uid="{479B9649-CBE2-457E-8C92-7EF9228BD61E}"/>
    <cellStyle name="Normal 8 2 3 2 2 4 4" xfId="18750" xr:uid="{C0CD1C1A-A5E0-4BE8-B0D7-E9DF62C92707}"/>
    <cellStyle name="Normal 8 2 3 2 2 4 5" xfId="10316" xr:uid="{0776C3E8-C2B3-48A6-A5D4-13C5D5F14527}"/>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25525" xr:uid="{75EBD626-F972-4831-9262-3BE59C8FB468}"/>
    <cellStyle name="Normal 8 2 3 2 2 5 2 2 3" xfId="17091" xr:uid="{1C4A8EB6-E5ED-4A12-87B6-856CA7DD8130}"/>
    <cellStyle name="Normal 8 2 3 2 2 5 2 3" xfId="21308" xr:uid="{A90BF83A-9068-4D56-9FD4-027C1050A28D}"/>
    <cellStyle name="Normal 8 2 3 2 2 5 2 4" xfId="12874" xr:uid="{C0E9C7BF-4397-45F6-AC22-B5F9A9D788FB}"/>
    <cellStyle name="Normal 8 2 3 2 2 5 3" xfId="6508" xr:uid="{00000000-0005-0000-0000-0000A51C0000}"/>
    <cellStyle name="Normal 8 2 3 2 2 5 3 2" xfId="23380" xr:uid="{3F8659C2-A37F-4327-BB3C-2E4914BCBB30}"/>
    <cellStyle name="Normal 8 2 3 2 2 5 3 3" xfId="14946" xr:uid="{57652CF9-C5E8-45B4-822A-52FD451B93F9}"/>
    <cellStyle name="Normal 8 2 3 2 2 5 4" xfId="19163" xr:uid="{9B263505-78D8-48CB-8739-EBA127F80D26}"/>
    <cellStyle name="Normal 8 2 3 2 2 5 5" xfId="10729" xr:uid="{8DD723DA-02B6-4FF8-B444-59E733C6C148}"/>
    <cellStyle name="Normal 8 2 3 2 2 6" xfId="2637" xr:uid="{00000000-0005-0000-0000-0000A61C0000}"/>
    <cellStyle name="Normal 8 2 3 2 2 6 2" xfId="6921" xr:uid="{00000000-0005-0000-0000-0000A71C0000}"/>
    <cellStyle name="Normal 8 2 3 2 2 6 2 2" xfId="23793" xr:uid="{C00CB88D-E5CA-4F8E-8E02-2FD2FA0B7EFF}"/>
    <cellStyle name="Normal 8 2 3 2 2 6 2 3" xfId="15359" xr:uid="{BA807AB4-8B26-4943-A74B-EC7747458AD1}"/>
    <cellStyle name="Normal 8 2 3 2 2 6 3" xfId="19576" xr:uid="{A832082B-AABC-4067-925E-560ADC836EC3}"/>
    <cellStyle name="Normal 8 2 3 2 2 6 4" xfId="11142" xr:uid="{7B238311-4002-4B7B-BB06-3FBD17D9E0C1}"/>
    <cellStyle name="Normal 8 2 3 2 2 7" xfId="4856" xr:uid="{00000000-0005-0000-0000-0000A81C0000}"/>
    <cellStyle name="Normal 8 2 3 2 2 7 2" xfId="21728" xr:uid="{591AD24B-2503-4E99-94B0-FB57ECF834B5}"/>
    <cellStyle name="Normal 8 2 3 2 2 7 3" xfId="13294" xr:uid="{7859DD4A-C240-4495-8BF6-5A2C96986525}"/>
    <cellStyle name="Normal 8 2 3 2 2 8" xfId="17511" xr:uid="{ED137E51-A99D-44D4-BC34-8A46ACD428C4}"/>
    <cellStyle name="Normal 8 2 3 2 2 9" xfId="9077" xr:uid="{A00E7AD3-722F-4B95-8412-5D9E0E777C18}"/>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24285" xr:uid="{384436DC-9B07-4CC5-A1F8-06817918B999}"/>
    <cellStyle name="Normal 8 2 3 2 3 2 2 3" xfId="15851" xr:uid="{457FF4DA-093C-4720-A6D8-ABE69A4A823C}"/>
    <cellStyle name="Normal 8 2 3 2 3 2 3" xfId="20068" xr:uid="{6084F07B-3FF2-4941-AF4C-7A2386D3F0D2}"/>
    <cellStyle name="Normal 8 2 3 2 3 2 4" xfId="11634" xr:uid="{14EE6517-FA06-4779-9D69-E284F63F1C3B}"/>
    <cellStyle name="Normal 8 2 3 2 3 3" xfId="5268" xr:uid="{00000000-0005-0000-0000-0000AC1C0000}"/>
    <cellStyle name="Normal 8 2 3 2 3 3 2" xfId="22140" xr:uid="{873A7652-F4FE-41A3-82D7-523E3DC30535}"/>
    <cellStyle name="Normal 8 2 3 2 3 3 3" xfId="13706" xr:uid="{CDA7CAE4-4F15-4751-8DAA-7F1DD6D685C3}"/>
    <cellStyle name="Normal 8 2 3 2 3 4" xfId="17923" xr:uid="{8E2E8CD3-8413-40BB-9E17-CE10E81CC028}"/>
    <cellStyle name="Normal 8 2 3 2 3 5" xfId="9489" xr:uid="{D4ABD3D3-4B67-4D91-87E2-28948BC4D5F0}"/>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24698" xr:uid="{9B0BC740-39BF-4FD2-952C-A62A2887835C}"/>
    <cellStyle name="Normal 8 2 3 2 4 2 2 3" xfId="16264" xr:uid="{40BD1E37-1259-41BA-8470-3017D14D6A24}"/>
    <cellStyle name="Normal 8 2 3 2 4 2 3" xfId="20481" xr:uid="{0FC5DD0C-1FBF-4AEF-9E59-B67F1204135C}"/>
    <cellStyle name="Normal 8 2 3 2 4 2 4" xfId="12047" xr:uid="{1EF87165-5DFB-44D4-8415-0D742A22BF65}"/>
    <cellStyle name="Normal 8 2 3 2 4 3" xfId="5681" xr:uid="{00000000-0005-0000-0000-0000B01C0000}"/>
    <cellStyle name="Normal 8 2 3 2 4 3 2" xfId="22553" xr:uid="{09028939-6236-477D-930E-7F4C3EA54FDE}"/>
    <cellStyle name="Normal 8 2 3 2 4 3 3" xfId="14119" xr:uid="{759222DD-B96F-4CDC-A5A1-52350BC21246}"/>
    <cellStyle name="Normal 8 2 3 2 4 4" xfId="18336" xr:uid="{4D11547B-BC64-4069-ACFA-4FD605FC9437}"/>
    <cellStyle name="Normal 8 2 3 2 4 5" xfId="9902" xr:uid="{55C38CA1-20EA-4A7F-8C47-B03EC33BF766}"/>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25111" xr:uid="{67BD30E6-A2E9-4758-AB3E-0305AD2AD399}"/>
    <cellStyle name="Normal 8 2 3 2 5 2 2 3" xfId="16677" xr:uid="{09B9C9CD-0466-485C-83A0-AE8CE24507EA}"/>
    <cellStyle name="Normal 8 2 3 2 5 2 3" xfId="20894" xr:uid="{8E67E689-0B72-47E6-9C9E-EAA8A5EA9F42}"/>
    <cellStyle name="Normal 8 2 3 2 5 2 4" xfId="12460" xr:uid="{20C1C389-BEAC-4B35-B5D4-58EC157D2D25}"/>
    <cellStyle name="Normal 8 2 3 2 5 3" xfId="6094" xr:uid="{00000000-0005-0000-0000-0000B41C0000}"/>
    <cellStyle name="Normal 8 2 3 2 5 3 2" xfId="22966" xr:uid="{814A4E2E-8500-496D-A5A9-340E6CA7EA21}"/>
    <cellStyle name="Normal 8 2 3 2 5 3 3" xfId="14532" xr:uid="{E4829794-B0F4-43A7-9114-7350A34EE12C}"/>
    <cellStyle name="Normal 8 2 3 2 5 4" xfId="18749" xr:uid="{9FFB1DBB-CC91-4970-B83A-9CA41218B66F}"/>
    <cellStyle name="Normal 8 2 3 2 5 5" xfId="10315" xr:uid="{70C94B5D-EB77-40CE-96B9-337189889157}"/>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25524" xr:uid="{D4F92F37-F76B-4551-AA2A-92D257D96789}"/>
    <cellStyle name="Normal 8 2 3 2 6 2 2 3" xfId="17090" xr:uid="{A0DFB61B-FF0B-4CDF-A58E-240942399F38}"/>
    <cellStyle name="Normal 8 2 3 2 6 2 3" xfId="21307" xr:uid="{D125BC36-84DD-4025-B2F6-D78E6DFD4CD7}"/>
    <cellStyle name="Normal 8 2 3 2 6 2 4" xfId="12873" xr:uid="{560E177D-2F53-49BE-936E-8788896FF2B7}"/>
    <cellStyle name="Normal 8 2 3 2 6 3" xfId="6507" xr:uid="{00000000-0005-0000-0000-0000B81C0000}"/>
    <cellStyle name="Normal 8 2 3 2 6 3 2" xfId="23379" xr:uid="{DF281EDE-5006-4929-A5D6-D7652AC1DA5F}"/>
    <cellStyle name="Normal 8 2 3 2 6 3 3" xfId="14945" xr:uid="{6850DB50-DF51-44F8-BDD9-95D3BE87E77B}"/>
    <cellStyle name="Normal 8 2 3 2 6 4" xfId="19162" xr:uid="{8DC258E0-3766-4F33-9946-4F88A3D22F76}"/>
    <cellStyle name="Normal 8 2 3 2 6 5" xfId="10728" xr:uid="{F40642AD-5124-4E2B-B57B-E685F78F56F8}"/>
    <cellStyle name="Normal 8 2 3 2 7" xfId="2636" xr:uid="{00000000-0005-0000-0000-0000B91C0000}"/>
    <cellStyle name="Normal 8 2 3 2 7 2" xfId="6920" xr:uid="{00000000-0005-0000-0000-0000BA1C0000}"/>
    <cellStyle name="Normal 8 2 3 2 7 2 2" xfId="23792" xr:uid="{39F6C3A2-3390-47B1-A75A-9BEA5722A734}"/>
    <cellStyle name="Normal 8 2 3 2 7 2 3" xfId="15358" xr:uid="{9ED41ED8-FC0D-42CE-8845-AA39F4BD6A63}"/>
    <cellStyle name="Normal 8 2 3 2 7 3" xfId="19575" xr:uid="{4731526F-C45F-47F0-84AE-23E28EF38B8B}"/>
    <cellStyle name="Normal 8 2 3 2 7 4" xfId="11141" xr:uid="{E29A889B-874D-4624-89C9-5E6568DDA956}"/>
    <cellStyle name="Normal 8 2 3 2 8" xfId="4855" xr:uid="{00000000-0005-0000-0000-0000BB1C0000}"/>
    <cellStyle name="Normal 8 2 3 2 8 2" xfId="21727" xr:uid="{B4EEB6A5-4F06-4923-A3C5-2DC5DC74DAAC}"/>
    <cellStyle name="Normal 8 2 3 2 8 3" xfId="13293" xr:uid="{4B961E38-FBFD-4BCF-83C4-F44F8345DA0F}"/>
    <cellStyle name="Normal 8 2 3 2 9" xfId="17510" xr:uid="{3CB51CFA-F975-49DF-9207-363598629B22}"/>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24287" xr:uid="{7520FC32-7759-46C1-BA68-CA67B84E9A0C}"/>
    <cellStyle name="Normal 8 2 3 3 2 2 2 3" xfId="15853" xr:uid="{1EB5EC96-CC85-4B31-A856-178B4E2C1699}"/>
    <cellStyle name="Normal 8 2 3 3 2 2 3" xfId="20070" xr:uid="{688486AA-4D36-4DBE-90E9-996DE35CC150}"/>
    <cellStyle name="Normal 8 2 3 3 2 2 4" xfId="11636" xr:uid="{AC969E70-51C5-4D47-83AF-D2D5A9863FB0}"/>
    <cellStyle name="Normal 8 2 3 3 2 3" xfId="5270" xr:uid="{00000000-0005-0000-0000-0000C01C0000}"/>
    <cellStyle name="Normal 8 2 3 3 2 3 2" xfId="22142" xr:uid="{D91CE566-1161-411A-88A3-3536409962B2}"/>
    <cellStyle name="Normal 8 2 3 3 2 3 3" xfId="13708" xr:uid="{2BEEA951-F9D5-4D15-ABC6-941F341518C4}"/>
    <cellStyle name="Normal 8 2 3 3 2 4" xfId="17925" xr:uid="{D4FF9E73-0F4D-42BD-839B-B5B82C15E279}"/>
    <cellStyle name="Normal 8 2 3 3 2 5" xfId="9491" xr:uid="{B6C81CD1-9C2D-4EC2-AE9B-2FCC500C35A8}"/>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24700" xr:uid="{84CFCBAC-F494-4318-80B7-A93241504584}"/>
    <cellStyle name="Normal 8 2 3 3 3 2 2 3" xfId="16266" xr:uid="{F2C7D507-3485-4E1E-8A6A-CBAAB111C02F}"/>
    <cellStyle name="Normal 8 2 3 3 3 2 3" xfId="20483" xr:uid="{CD3DEA2A-F6FA-4189-B613-9FA0D02B91E3}"/>
    <cellStyle name="Normal 8 2 3 3 3 2 4" xfId="12049" xr:uid="{F03F0BE1-5990-4722-8771-8672E032D267}"/>
    <cellStyle name="Normal 8 2 3 3 3 3" xfId="5683" xr:uid="{00000000-0005-0000-0000-0000C41C0000}"/>
    <cellStyle name="Normal 8 2 3 3 3 3 2" xfId="22555" xr:uid="{FEB650C4-577E-4269-802E-3E7C94B948BE}"/>
    <cellStyle name="Normal 8 2 3 3 3 3 3" xfId="14121" xr:uid="{C1F964A5-EE69-4389-A5CD-0751064DBB28}"/>
    <cellStyle name="Normal 8 2 3 3 3 4" xfId="18338" xr:uid="{725924FE-09AE-4474-A54F-17920CEC705A}"/>
    <cellStyle name="Normal 8 2 3 3 3 5" xfId="9904" xr:uid="{4D99A2AC-172D-4D1C-8816-13222FE97A3E}"/>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25113" xr:uid="{9A0B5C46-4A4D-4477-8E3D-839573B8FF90}"/>
    <cellStyle name="Normal 8 2 3 3 4 2 2 3" xfId="16679" xr:uid="{06D293CB-548C-467C-BBE5-94F7040BAFE2}"/>
    <cellStyle name="Normal 8 2 3 3 4 2 3" xfId="20896" xr:uid="{9A562689-5BD4-4B28-ABB2-6B3CB0AE7DA0}"/>
    <cellStyle name="Normal 8 2 3 3 4 2 4" xfId="12462" xr:uid="{702BBAEE-69A2-4BE8-9531-D9307DD02392}"/>
    <cellStyle name="Normal 8 2 3 3 4 3" xfId="6096" xr:uid="{00000000-0005-0000-0000-0000C81C0000}"/>
    <cellStyle name="Normal 8 2 3 3 4 3 2" xfId="22968" xr:uid="{B2050326-6048-460A-9DFD-5A1502C7B06C}"/>
    <cellStyle name="Normal 8 2 3 3 4 3 3" xfId="14534" xr:uid="{5E54D5AF-8241-469E-B133-89AC6EFC769B}"/>
    <cellStyle name="Normal 8 2 3 3 4 4" xfId="18751" xr:uid="{7E9EC68C-FE45-49B4-86B6-38641CB94F76}"/>
    <cellStyle name="Normal 8 2 3 3 4 5" xfId="10317" xr:uid="{7020274A-F6CA-4613-8FF8-7FEDA5B7C053}"/>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25526" xr:uid="{5D4CB134-E669-4FF5-9D16-367A4DAAB804}"/>
    <cellStyle name="Normal 8 2 3 3 5 2 2 3" xfId="17092" xr:uid="{8F9AE8CD-44D6-4F81-B7F9-8D71C4209A20}"/>
    <cellStyle name="Normal 8 2 3 3 5 2 3" xfId="21309" xr:uid="{8F5764D9-9999-44BA-B081-B90F3CE66DA1}"/>
    <cellStyle name="Normal 8 2 3 3 5 2 4" xfId="12875" xr:uid="{04B0970A-B0DA-4AD7-9BCD-98FAFCEE2963}"/>
    <cellStyle name="Normal 8 2 3 3 5 3" xfId="6509" xr:uid="{00000000-0005-0000-0000-0000CC1C0000}"/>
    <cellStyle name="Normal 8 2 3 3 5 3 2" xfId="23381" xr:uid="{3503B31D-39D0-41B0-97D2-7440398FB281}"/>
    <cellStyle name="Normal 8 2 3 3 5 3 3" xfId="14947" xr:uid="{64F80BEA-C386-4825-B481-3C860D7C3EA3}"/>
    <cellStyle name="Normal 8 2 3 3 5 4" xfId="19164" xr:uid="{38A23863-8EFA-4E60-9F57-B8EF36ECDD60}"/>
    <cellStyle name="Normal 8 2 3 3 5 5" xfId="10730" xr:uid="{19A6B844-A283-4237-A6C3-6999CD09958C}"/>
    <cellStyle name="Normal 8 2 3 3 6" xfId="2638" xr:uid="{00000000-0005-0000-0000-0000CD1C0000}"/>
    <cellStyle name="Normal 8 2 3 3 6 2" xfId="6922" xr:uid="{00000000-0005-0000-0000-0000CE1C0000}"/>
    <cellStyle name="Normal 8 2 3 3 6 2 2" xfId="23794" xr:uid="{F33D61F5-BDA7-4AE0-8A99-C308D595A52C}"/>
    <cellStyle name="Normal 8 2 3 3 6 2 3" xfId="15360" xr:uid="{BA443A37-BB71-4AB0-A960-FB0238ACA45C}"/>
    <cellStyle name="Normal 8 2 3 3 6 3" xfId="19577" xr:uid="{2E0AAF05-98F5-40F5-AB57-018E898B7E63}"/>
    <cellStyle name="Normal 8 2 3 3 6 4" xfId="11143" xr:uid="{7172F9C5-9371-46D6-A5FB-4CE0DBAA559C}"/>
    <cellStyle name="Normal 8 2 3 3 7" xfId="4857" xr:uid="{00000000-0005-0000-0000-0000CF1C0000}"/>
    <cellStyle name="Normal 8 2 3 3 7 2" xfId="21729" xr:uid="{12F44772-7EAC-4021-887E-70CA6DF279E3}"/>
    <cellStyle name="Normal 8 2 3 3 7 3" xfId="13295" xr:uid="{A50CFE53-47D0-430F-B31B-12A25DAAC74C}"/>
    <cellStyle name="Normal 8 2 3 3 8" xfId="17512" xr:uid="{DFA0839B-0028-46EB-AEA4-189FEA015E72}"/>
    <cellStyle name="Normal 8 2 3 3 9" xfId="9078" xr:uid="{AA069A1E-2B12-4261-9F60-EEA43E4DE4A6}"/>
    <cellStyle name="Normal 8 2 3 4" xfId="955" xr:uid="{00000000-0005-0000-0000-0000D01C0000}"/>
    <cellStyle name="Normal 8 2 3 4 2" xfId="3189" xr:uid="{00000000-0005-0000-0000-0000D11C0000}"/>
    <cellStyle name="Normal 8 2 3 4 2 2" xfId="7412" xr:uid="{00000000-0005-0000-0000-0000D21C0000}"/>
    <cellStyle name="Normal 8 2 3 4 2 2 2" xfId="24284" xr:uid="{3EE3441C-1D3F-4CE6-8A3D-C7C9CD168381}"/>
    <cellStyle name="Normal 8 2 3 4 2 2 3" xfId="15850" xr:uid="{23C1EC42-9C6F-4D67-8BB3-4EECB902B067}"/>
    <cellStyle name="Normal 8 2 3 4 2 3" xfId="20067" xr:uid="{EB89EB08-9797-4E51-94D0-4B719B537DB5}"/>
    <cellStyle name="Normal 8 2 3 4 2 4" xfId="11633" xr:uid="{C1017BA1-AA7B-4F7C-8F98-A6069D9D2C68}"/>
    <cellStyle name="Normal 8 2 3 4 3" xfId="5267" xr:uid="{00000000-0005-0000-0000-0000D31C0000}"/>
    <cellStyle name="Normal 8 2 3 4 3 2" xfId="22139" xr:uid="{E786F678-F2D2-421E-B4D3-05372FC7F42F}"/>
    <cellStyle name="Normal 8 2 3 4 3 3" xfId="13705" xr:uid="{7764F2A8-4FFA-4319-8FF9-99AF5CD1E2AA}"/>
    <cellStyle name="Normal 8 2 3 4 4" xfId="17922" xr:uid="{FD19DC36-B949-41F4-A911-F0D2D5758AE7}"/>
    <cellStyle name="Normal 8 2 3 4 5" xfId="9488" xr:uid="{84694C67-C6E4-4654-8A21-C1238042839C}"/>
    <cellStyle name="Normal 8 2 3 5" xfId="1372" xr:uid="{00000000-0005-0000-0000-0000D41C0000}"/>
    <cellStyle name="Normal 8 2 3 5 2" xfId="3602" xr:uid="{00000000-0005-0000-0000-0000D51C0000}"/>
    <cellStyle name="Normal 8 2 3 5 2 2" xfId="7825" xr:uid="{00000000-0005-0000-0000-0000D61C0000}"/>
    <cellStyle name="Normal 8 2 3 5 2 2 2" xfId="24697" xr:uid="{398FF821-986B-4361-911A-08FBDEFD77CF}"/>
    <cellStyle name="Normal 8 2 3 5 2 2 3" xfId="16263" xr:uid="{FF51CD5B-F945-418E-A84F-DBB40D0BA34D}"/>
    <cellStyle name="Normal 8 2 3 5 2 3" xfId="20480" xr:uid="{BC03053F-F0DF-48CC-8704-BE95A8A87157}"/>
    <cellStyle name="Normal 8 2 3 5 2 4" xfId="12046" xr:uid="{CF854A96-2B54-483D-8876-C2E86EAA3951}"/>
    <cellStyle name="Normal 8 2 3 5 3" xfId="5680" xr:uid="{00000000-0005-0000-0000-0000D71C0000}"/>
    <cellStyle name="Normal 8 2 3 5 3 2" xfId="22552" xr:uid="{2F9CC6A9-219B-4D8C-8A30-4845056A32A0}"/>
    <cellStyle name="Normal 8 2 3 5 3 3" xfId="14118" xr:uid="{F92C9F6E-D0FC-4ABD-B619-26EDE27AF069}"/>
    <cellStyle name="Normal 8 2 3 5 4" xfId="18335" xr:uid="{F3A780E6-7686-47C4-8F17-B04A768A152F}"/>
    <cellStyle name="Normal 8 2 3 5 5" xfId="9901" xr:uid="{03FD17E7-6B83-462E-91CF-07AB57A67672}"/>
    <cellStyle name="Normal 8 2 3 6" xfId="1785" xr:uid="{00000000-0005-0000-0000-0000D81C0000}"/>
    <cellStyle name="Normal 8 2 3 6 2" xfId="4015" xr:uid="{00000000-0005-0000-0000-0000D91C0000}"/>
    <cellStyle name="Normal 8 2 3 6 2 2" xfId="8238" xr:uid="{00000000-0005-0000-0000-0000DA1C0000}"/>
    <cellStyle name="Normal 8 2 3 6 2 2 2" xfId="25110" xr:uid="{70AA2D2A-56BE-4A17-AD70-41F76C53156D}"/>
    <cellStyle name="Normal 8 2 3 6 2 2 3" xfId="16676" xr:uid="{F6A20638-DF83-440C-9F20-9B2D2888870E}"/>
    <cellStyle name="Normal 8 2 3 6 2 3" xfId="20893" xr:uid="{ED289002-D217-4101-ABDB-8A554322E9AB}"/>
    <cellStyle name="Normal 8 2 3 6 2 4" xfId="12459" xr:uid="{E19D2C47-0B75-4DDD-86BD-94EECE51D376}"/>
    <cellStyle name="Normal 8 2 3 6 3" xfId="6093" xr:uid="{00000000-0005-0000-0000-0000DB1C0000}"/>
    <cellStyle name="Normal 8 2 3 6 3 2" xfId="22965" xr:uid="{AD8CEF82-F72F-4DC0-B33C-9C0CB6F2C620}"/>
    <cellStyle name="Normal 8 2 3 6 3 3" xfId="14531" xr:uid="{0D5C7FEE-5FBA-41E6-A3A2-3313CF7A25C2}"/>
    <cellStyle name="Normal 8 2 3 6 4" xfId="18748" xr:uid="{48FEBA4F-1780-4A98-A586-B47F823D8688}"/>
    <cellStyle name="Normal 8 2 3 6 5" xfId="10314" xr:uid="{7C6E77FB-E7AF-4FE7-B011-F91403AFF1DA}"/>
    <cellStyle name="Normal 8 2 3 7" xfId="2199" xr:uid="{00000000-0005-0000-0000-0000DC1C0000}"/>
    <cellStyle name="Normal 8 2 3 7 2" xfId="4428" xr:uid="{00000000-0005-0000-0000-0000DD1C0000}"/>
    <cellStyle name="Normal 8 2 3 7 2 2" xfId="8651" xr:uid="{00000000-0005-0000-0000-0000DE1C0000}"/>
    <cellStyle name="Normal 8 2 3 7 2 2 2" xfId="25523" xr:uid="{A7A696F9-FC61-4D28-A2D2-4DCE93738458}"/>
    <cellStyle name="Normal 8 2 3 7 2 2 3" xfId="17089" xr:uid="{6444CA14-77DC-44E7-8AB5-EF85EA97095E}"/>
    <cellStyle name="Normal 8 2 3 7 2 3" xfId="21306" xr:uid="{0F276157-5850-4D38-A5D8-3DDB6A5D0C95}"/>
    <cellStyle name="Normal 8 2 3 7 2 4" xfId="12872" xr:uid="{E1DB416E-1086-4D38-9CBD-24E895AF27AC}"/>
    <cellStyle name="Normal 8 2 3 7 3" xfId="6506" xr:uid="{00000000-0005-0000-0000-0000DF1C0000}"/>
    <cellStyle name="Normal 8 2 3 7 3 2" xfId="23378" xr:uid="{779257E4-ED0A-4485-BC61-08734210ED5B}"/>
    <cellStyle name="Normal 8 2 3 7 3 3" xfId="14944" xr:uid="{20E7D133-2570-425A-84E5-1B3BC98018B0}"/>
    <cellStyle name="Normal 8 2 3 7 4" xfId="19161" xr:uid="{1FE95A39-582F-43CF-BB49-FE7CEB3EF46D}"/>
    <cellStyle name="Normal 8 2 3 7 5" xfId="10727" xr:uid="{2FB7B1C6-8215-4BCC-B41C-EC85B4B8A570}"/>
    <cellStyle name="Normal 8 2 3 8" xfId="2635" xr:uid="{00000000-0005-0000-0000-0000E01C0000}"/>
    <cellStyle name="Normal 8 2 3 8 2" xfId="6919" xr:uid="{00000000-0005-0000-0000-0000E11C0000}"/>
    <cellStyle name="Normal 8 2 3 8 2 2" xfId="23791" xr:uid="{960F037B-3C0E-46CC-9929-EF1C01053D29}"/>
    <cellStyle name="Normal 8 2 3 8 2 3" xfId="15357" xr:uid="{65FF2817-4DE6-4B08-BB1D-35628A9CCC54}"/>
    <cellStyle name="Normal 8 2 3 8 3" xfId="19574" xr:uid="{F29EDA5D-07FE-4128-946C-3B0D9E292BFF}"/>
    <cellStyle name="Normal 8 2 3 8 4" xfId="11140" xr:uid="{364D3AB3-4979-4DBA-88D5-CB1EBDEDDAA8}"/>
    <cellStyle name="Normal 8 2 3 9" xfId="4854" xr:uid="{00000000-0005-0000-0000-0000E21C0000}"/>
    <cellStyle name="Normal 8 2 3 9 2" xfId="21726" xr:uid="{596AAD93-95FE-4659-B427-0604B8CA5466}"/>
    <cellStyle name="Normal 8 2 3 9 3" xfId="13292" xr:uid="{C05B2254-02E1-4C8F-935A-BD797DD4A123}"/>
    <cellStyle name="Normal 8 2 4" xfId="492" xr:uid="{00000000-0005-0000-0000-0000E31C0000}"/>
    <cellStyle name="Normal 8 2 4 10" xfId="9079" xr:uid="{A18EE465-AC57-4F38-830C-9A5BAAD30DD8}"/>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24289" xr:uid="{89ED4F10-FBB5-411E-A9CE-F899D2FEA142}"/>
    <cellStyle name="Normal 8 2 4 2 2 2 2 3" xfId="15855" xr:uid="{2DC741A5-A2BC-49B6-B0B0-C88891C0542A}"/>
    <cellStyle name="Normal 8 2 4 2 2 2 3" xfId="20072" xr:uid="{CF9E9531-6816-412D-B7C7-693C4A355E18}"/>
    <cellStyle name="Normal 8 2 4 2 2 2 4" xfId="11638" xr:uid="{EBE14766-F28F-4857-ADF7-592877E1284D}"/>
    <cellStyle name="Normal 8 2 4 2 2 3" xfId="5272" xr:uid="{00000000-0005-0000-0000-0000E81C0000}"/>
    <cellStyle name="Normal 8 2 4 2 2 3 2" xfId="22144" xr:uid="{F03B015E-E644-4BEB-8418-81D41E9572A9}"/>
    <cellStyle name="Normal 8 2 4 2 2 3 3" xfId="13710" xr:uid="{A41B6D30-FDEC-4814-9F41-13EEC2AFB482}"/>
    <cellStyle name="Normal 8 2 4 2 2 4" xfId="17927" xr:uid="{2EFD830D-7B40-47D0-AE46-5540EA81013E}"/>
    <cellStyle name="Normal 8 2 4 2 2 5" xfId="9493" xr:uid="{C1FB8A4F-E2DD-49E8-92B7-242DCE0F1C6F}"/>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24702" xr:uid="{63EF9BB3-8D7F-4396-9CBD-C2A129687361}"/>
    <cellStyle name="Normal 8 2 4 2 3 2 2 3" xfId="16268" xr:uid="{3B93582C-D1C6-4BAF-80D7-ABFC002B1C00}"/>
    <cellStyle name="Normal 8 2 4 2 3 2 3" xfId="20485" xr:uid="{C3C45F57-2FF8-43F9-BE7D-127942F2C516}"/>
    <cellStyle name="Normal 8 2 4 2 3 2 4" xfId="12051" xr:uid="{0CE0021D-CB46-4D3F-BF0E-36AAAEA2D165}"/>
    <cellStyle name="Normal 8 2 4 2 3 3" xfId="5685" xr:uid="{00000000-0005-0000-0000-0000EC1C0000}"/>
    <cellStyle name="Normal 8 2 4 2 3 3 2" xfId="22557" xr:uid="{47858344-98C1-4118-8E4F-A1B19CC0CFB0}"/>
    <cellStyle name="Normal 8 2 4 2 3 3 3" xfId="14123" xr:uid="{25EAE53B-2A6E-4889-B35D-509DE2C4A1D6}"/>
    <cellStyle name="Normal 8 2 4 2 3 4" xfId="18340" xr:uid="{917BE0E4-9816-4C7A-8ECF-02B4C706F20E}"/>
    <cellStyle name="Normal 8 2 4 2 3 5" xfId="9906" xr:uid="{C33AA9BB-35B4-45B9-A168-5A4F7622B7E5}"/>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25115" xr:uid="{D9FA2F42-8866-447C-977B-4380088BE77D}"/>
    <cellStyle name="Normal 8 2 4 2 4 2 2 3" xfId="16681" xr:uid="{3AB63E5C-60B8-41E3-96D8-9D71B7DAFD01}"/>
    <cellStyle name="Normal 8 2 4 2 4 2 3" xfId="20898" xr:uid="{2B653C9B-D0C5-4D10-AE0F-C6BA7F039290}"/>
    <cellStyle name="Normal 8 2 4 2 4 2 4" xfId="12464" xr:uid="{24A4EDF7-DD2E-45B4-A984-AD7918F77CF1}"/>
    <cellStyle name="Normal 8 2 4 2 4 3" xfId="6098" xr:uid="{00000000-0005-0000-0000-0000F01C0000}"/>
    <cellStyle name="Normal 8 2 4 2 4 3 2" xfId="22970" xr:uid="{9D4F4696-2EDE-4C9A-B012-63A900D99DFD}"/>
    <cellStyle name="Normal 8 2 4 2 4 3 3" xfId="14536" xr:uid="{9E8BDEC1-49D0-449A-989A-F87A894DB362}"/>
    <cellStyle name="Normal 8 2 4 2 4 4" xfId="18753" xr:uid="{CD7842D7-74D6-4999-B7D0-E73BB8566A3F}"/>
    <cellStyle name="Normal 8 2 4 2 4 5" xfId="10319" xr:uid="{89DCE58E-DAD2-4DEE-9A7B-CD697849537E}"/>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25528" xr:uid="{B8D934AA-A74E-467E-B6EF-449CC30EC329}"/>
    <cellStyle name="Normal 8 2 4 2 5 2 2 3" xfId="17094" xr:uid="{F4ADCFF0-4CF4-45C6-A406-E0371186A2BC}"/>
    <cellStyle name="Normal 8 2 4 2 5 2 3" xfId="21311" xr:uid="{D3E65150-6E94-486C-A102-9E52B65599D3}"/>
    <cellStyle name="Normal 8 2 4 2 5 2 4" xfId="12877" xr:uid="{4A34FC8C-B737-4E5F-A35E-74916586AF12}"/>
    <cellStyle name="Normal 8 2 4 2 5 3" xfId="6511" xr:uid="{00000000-0005-0000-0000-0000F41C0000}"/>
    <cellStyle name="Normal 8 2 4 2 5 3 2" xfId="23383" xr:uid="{09E1F92C-3FE6-472B-808F-5921ED52E22D}"/>
    <cellStyle name="Normal 8 2 4 2 5 3 3" xfId="14949" xr:uid="{3F8957C5-D970-4B91-916B-7EAE89410993}"/>
    <cellStyle name="Normal 8 2 4 2 5 4" xfId="19166" xr:uid="{4662677E-8233-4D22-8787-086DA6661C82}"/>
    <cellStyle name="Normal 8 2 4 2 5 5" xfId="10732" xr:uid="{CAA74191-AC59-4E92-9F3B-C8D2CA50E7A2}"/>
    <cellStyle name="Normal 8 2 4 2 6" xfId="2640" xr:uid="{00000000-0005-0000-0000-0000F51C0000}"/>
    <cellStyle name="Normal 8 2 4 2 6 2" xfId="6924" xr:uid="{00000000-0005-0000-0000-0000F61C0000}"/>
    <cellStyle name="Normal 8 2 4 2 6 2 2" xfId="23796" xr:uid="{10627C9E-AD58-4399-BF3B-F31475D4F67D}"/>
    <cellStyle name="Normal 8 2 4 2 6 2 3" xfId="15362" xr:uid="{8E1AC6BC-E522-4DE5-8E90-4B6FFDD995E9}"/>
    <cellStyle name="Normal 8 2 4 2 6 3" xfId="19579" xr:uid="{63CB9C67-AEC8-4707-8F1F-1CFCE05BBD67}"/>
    <cellStyle name="Normal 8 2 4 2 6 4" xfId="11145" xr:uid="{E4D7C667-0D5C-4193-98F3-05912F589C08}"/>
    <cellStyle name="Normal 8 2 4 2 7" xfId="4859" xr:uid="{00000000-0005-0000-0000-0000F71C0000}"/>
    <cellStyle name="Normal 8 2 4 2 7 2" xfId="21731" xr:uid="{94892F58-A9FC-462A-997C-A7155D5572A7}"/>
    <cellStyle name="Normal 8 2 4 2 7 3" xfId="13297" xr:uid="{F2B2C5FD-5633-44E7-AFE7-39E42610A102}"/>
    <cellStyle name="Normal 8 2 4 2 8" xfId="17514" xr:uid="{2C3046B1-A422-493A-9CF1-3E27DC9AE4D8}"/>
    <cellStyle name="Normal 8 2 4 2 9" xfId="9080" xr:uid="{F0498EDA-504F-4ADA-A89A-BF9F856529F7}"/>
    <cellStyle name="Normal 8 2 4 3" xfId="959" xr:uid="{00000000-0005-0000-0000-0000F81C0000}"/>
    <cellStyle name="Normal 8 2 4 3 2" xfId="3193" xr:uid="{00000000-0005-0000-0000-0000F91C0000}"/>
    <cellStyle name="Normal 8 2 4 3 2 2" xfId="7416" xr:uid="{00000000-0005-0000-0000-0000FA1C0000}"/>
    <cellStyle name="Normal 8 2 4 3 2 2 2" xfId="24288" xr:uid="{652BABEE-4E63-4EF8-98AB-F9F54BA168F8}"/>
    <cellStyle name="Normal 8 2 4 3 2 2 3" xfId="15854" xr:uid="{B3917C1C-5567-4505-837E-438C866B5678}"/>
    <cellStyle name="Normal 8 2 4 3 2 3" xfId="20071" xr:uid="{27BC5063-F256-4CC0-A073-B0C86EF6EBC4}"/>
    <cellStyle name="Normal 8 2 4 3 2 4" xfId="11637" xr:uid="{E443C5B0-EB04-4E9F-BC01-470235D2FE4B}"/>
    <cellStyle name="Normal 8 2 4 3 3" xfId="5271" xr:uid="{00000000-0005-0000-0000-0000FB1C0000}"/>
    <cellStyle name="Normal 8 2 4 3 3 2" xfId="22143" xr:uid="{E6BD3D91-242D-43B3-BE63-053DD889667B}"/>
    <cellStyle name="Normal 8 2 4 3 3 3" xfId="13709" xr:uid="{F827EDB7-540A-49A9-AA52-608CD35B4A14}"/>
    <cellStyle name="Normal 8 2 4 3 4" xfId="17926" xr:uid="{7CC4CCD7-B203-4ED6-AFB5-44BE58719AC0}"/>
    <cellStyle name="Normal 8 2 4 3 5" xfId="9492" xr:uid="{E857F6F7-6001-47BF-9B77-54F06AD01E6D}"/>
    <cellStyle name="Normal 8 2 4 4" xfId="1376" xr:uid="{00000000-0005-0000-0000-0000FC1C0000}"/>
    <cellStyle name="Normal 8 2 4 4 2" xfId="3606" xr:uid="{00000000-0005-0000-0000-0000FD1C0000}"/>
    <cellStyle name="Normal 8 2 4 4 2 2" xfId="7829" xr:uid="{00000000-0005-0000-0000-0000FE1C0000}"/>
    <cellStyle name="Normal 8 2 4 4 2 2 2" xfId="24701" xr:uid="{FF1FDDB9-7313-4CAF-B31B-D6C8935BBE98}"/>
    <cellStyle name="Normal 8 2 4 4 2 2 3" xfId="16267" xr:uid="{1F792B51-C737-4B6F-BF5A-107B8DB107E8}"/>
    <cellStyle name="Normal 8 2 4 4 2 3" xfId="20484" xr:uid="{1FD58394-E86C-47E5-BC02-AF73D35ADFB5}"/>
    <cellStyle name="Normal 8 2 4 4 2 4" xfId="12050" xr:uid="{095B96A8-C829-474B-8154-A32B3624DA3F}"/>
    <cellStyle name="Normal 8 2 4 4 3" xfId="5684" xr:uid="{00000000-0005-0000-0000-0000FF1C0000}"/>
    <cellStyle name="Normal 8 2 4 4 3 2" xfId="22556" xr:uid="{B900BB68-11B0-4EFF-AD2A-2EE08EEE8D4C}"/>
    <cellStyle name="Normal 8 2 4 4 3 3" xfId="14122" xr:uid="{A28C9717-A226-4C35-A7FA-A6B10BE6C99F}"/>
    <cellStyle name="Normal 8 2 4 4 4" xfId="18339" xr:uid="{C7EC5809-1848-4583-8351-0A7405FAEB45}"/>
    <cellStyle name="Normal 8 2 4 4 5" xfId="9905" xr:uid="{317DBD99-96E5-4D5C-9DAD-EECEEDEBE47F}"/>
    <cellStyle name="Normal 8 2 4 5" xfId="1789" xr:uid="{00000000-0005-0000-0000-0000001D0000}"/>
    <cellStyle name="Normal 8 2 4 5 2" xfId="4019" xr:uid="{00000000-0005-0000-0000-0000011D0000}"/>
    <cellStyle name="Normal 8 2 4 5 2 2" xfId="8242" xr:uid="{00000000-0005-0000-0000-0000021D0000}"/>
    <cellStyle name="Normal 8 2 4 5 2 2 2" xfId="25114" xr:uid="{A285F7CA-729C-45BF-9055-C62C231C6A7E}"/>
    <cellStyle name="Normal 8 2 4 5 2 2 3" xfId="16680" xr:uid="{5AFFDED6-43CE-43C3-BF40-729C353F95BB}"/>
    <cellStyle name="Normal 8 2 4 5 2 3" xfId="20897" xr:uid="{4EE9DFE8-70B0-4298-A969-352B9DBC2C51}"/>
    <cellStyle name="Normal 8 2 4 5 2 4" xfId="12463" xr:uid="{A482EAA9-E280-4D24-9A24-AC746D6314E9}"/>
    <cellStyle name="Normal 8 2 4 5 3" xfId="6097" xr:uid="{00000000-0005-0000-0000-0000031D0000}"/>
    <cellStyle name="Normal 8 2 4 5 3 2" xfId="22969" xr:uid="{8CEEA5F8-CB33-46B8-B11F-BE266CF39E2A}"/>
    <cellStyle name="Normal 8 2 4 5 3 3" xfId="14535" xr:uid="{D8924589-4874-4A49-A38A-CD146CA6AB2F}"/>
    <cellStyle name="Normal 8 2 4 5 4" xfId="18752" xr:uid="{306BEA84-0D92-4D1F-8E7D-05F0E1048558}"/>
    <cellStyle name="Normal 8 2 4 5 5" xfId="10318" xr:uid="{C1289252-E953-43B5-A395-8A564C2D20CF}"/>
    <cellStyle name="Normal 8 2 4 6" xfId="2203" xr:uid="{00000000-0005-0000-0000-0000041D0000}"/>
    <cellStyle name="Normal 8 2 4 6 2" xfId="4432" xr:uid="{00000000-0005-0000-0000-0000051D0000}"/>
    <cellStyle name="Normal 8 2 4 6 2 2" xfId="8655" xr:uid="{00000000-0005-0000-0000-0000061D0000}"/>
    <cellStyle name="Normal 8 2 4 6 2 2 2" xfId="25527" xr:uid="{7F5AED43-24A4-4197-99A4-E0C677F8115B}"/>
    <cellStyle name="Normal 8 2 4 6 2 2 3" xfId="17093" xr:uid="{97580DF1-5122-4F16-B32A-CDB77F4C41F2}"/>
    <cellStyle name="Normal 8 2 4 6 2 3" xfId="21310" xr:uid="{DA571250-CA3C-45FA-A4F9-2EF878DBD66B}"/>
    <cellStyle name="Normal 8 2 4 6 2 4" xfId="12876" xr:uid="{CCC39852-771E-47A4-A76F-492CFC36B4ED}"/>
    <cellStyle name="Normal 8 2 4 6 3" xfId="6510" xr:uid="{00000000-0005-0000-0000-0000071D0000}"/>
    <cellStyle name="Normal 8 2 4 6 3 2" xfId="23382" xr:uid="{271D1B5B-0F02-473D-A2B3-9B136A6723B0}"/>
    <cellStyle name="Normal 8 2 4 6 3 3" xfId="14948" xr:uid="{5B8E9752-94A7-4CA3-861B-81DFB4AC224B}"/>
    <cellStyle name="Normal 8 2 4 6 4" xfId="19165" xr:uid="{7074B902-D890-4AD0-AD89-D5DBFDF15B84}"/>
    <cellStyle name="Normal 8 2 4 6 5" xfId="10731" xr:uid="{5B9E9E94-27F9-4826-8AEA-2977FB9AC87E}"/>
    <cellStyle name="Normal 8 2 4 7" xfId="2639" xr:uid="{00000000-0005-0000-0000-0000081D0000}"/>
    <cellStyle name="Normal 8 2 4 7 2" xfId="6923" xr:uid="{00000000-0005-0000-0000-0000091D0000}"/>
    <cellStyle name="Normal 8 2 4 7 2 2" xfId="23795" xr:uid="{2F2C66EF-2CDC-46D5-A40A-8272506EA6BF}"/>
    <cellStyle name="Normal 8 2 4 7 2 3" xfId="15361" xr:uid="{E814CE45-4247-4524-BCED-BD90C8E29854}"/>
    <cellStyle name="Normal 8 2 4 7 3" xfId="19578" xr:uid="{231855C4-3418-448E-8E38-57903B2651CE}"/>
    <cellStyle name="Normal 8 2 4 7 4" xfId="11144" xr:uid="{077E74C9-0124-4307-88C6-49726A4AF736}"/>
    <cellStyle name="Normal 8 2 4 8" xfId="4858" xr:uid="{00000000-0005-0000-0000-00000A1D0000}"/>
    <cellStyle name="Normal 8 2 4 8 2" xfId="21730" xr:uid="{2374CCEB-613D-467D-A397-71265D010D8F}"/>
    <cellStyle name="Normal 8 2 4 8 3" xfId="13296" xr:uid="{B86EBC6D-085A-45C9-8385-1423052DDB4D}"/>
    <cellStyle name="Normal 8 2 4 9" xfId="17513" xr:uid="{A20C8A6A-D72C-4FB9-99B4-E1E66BE8D469}"/>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24290" xr:uid="{DA578296-5E09-4661-8946-56A791F8078B}"/>
    <cellStyle name="Normal 8 2 5 2 2 2 3" xfId="15856" xr:uid="{53475F53-1809-48D5-A530-E5A5CA349174}"/>
    <cellStyle name="Normal 8 2 5 2 2 3" xfId="20073" xr:uid="{58162801-E7AA-494C-B853-36A897157C31}"/>
    <cellStyle name="Normal 8 2 5 2 2 4" xfId="11639" xr:uid="{A202466A-E931-4321-B444-B5087853FCD3}"/>
    <cellStyle name="Normal 8 2 5 2 3" xfId="5273" xr:uid="{00000000-0005-0000-0000-00000F1D0000}"/>
    <cellStyle name="Normal 8 2 5 2 3 2" xfId="22145" xr:uid="{EABB24AC-64AF-43AA-95AA-1817EC5F6BC5}"/>
    <cellStyle name="Normal 8 2 5 2 3 3" xfId="13711" xr:uid="{C042269C-625C-4351-AE7A-418990362CD3}"/>
    <cellStyle name="Normal 8 2 5 2 4" xfId="17928" xr:uid="{C62AE6DB-CEEA-4DDD-A665-3C3F8234B6E3}"/>
    <cellStyle name="Normal 8 2 5 2 5" xfId="9494" xr:uid="{D05D3F1A-A160-48D5-8014-ABE9FA49B136}"/>
    <cellStyle name="Normal 8 2 5 3" xfId="1378" xr:uid="{00000000-0005-0000-0000-0000101D0000}"/>
    <cellStyle name="Normal 8 2 5 3 2" xfId="3608" xr:uid="{00000000-0005-0000-0000-0000111D0000}"/>
    <cellStyle name="Normal 8 2 5 3 2 2" xfId="7831" xr:uid="{00000000-0005-0000-0000-0000121D0000}"/>
    <cellStyle name="Normal 8 2 5 3 2 2 2" xfId="24703" xr:uid="{249567B7-036C-4BB6-9A10-291586A07765}"/>
    <cellStyle name="Normal 8 2 5 3 2 2 3" xfId="16269" xr:uid="{8079F94F-021E-4E46-8BDA-6555480DDEF0}"/>
    <cellStyle name="Normal 8 2 5 3 2 3" xfId="20486" xr:uid="{5D5ADA69-30DF-474E-9F5B-5F4C7890B0C0}"/>
    <cellStyle name="Normal 8 2 5 3 2 4" xfId="12052" xr:uid="{3015566E-90C1-4109-BB00-88715AFC9967}"/>
    <cellStyle name="Normal 8 2 5 3 3" xfId="5686" xr:uid="{00000000-0005-0000-0000-0000131D0000}"/>
    <cellStyle name="Normal 8 2 5 3 3 2" xfId="22558" xr:uid="{C41131C5-7165-425C-B46B-8C14DE1F0D7D}"/>
    <cellStyle name="Normal 8 2 5 3 3 3" xfId="14124" xr:uid="{1ED9B280-6666-42AC-8AF7-6EFE23CF21B6}"/>
    <cellStyle name="Normal 8 2 5 3 4" xfId="18341" xr:uid="{4E8E5385-FC90-44D3-A098-A4A60CEF4DF9}"/>
    <cellStyle name="Normal 8 2 5 3 5" xfId="9907" xr:uid="{06FE2BFD-07D6-48D5-AD2B-CC83019F5DBD}"/>
    <cellStyle name="Normal 8 2 5 4" xfId="1791" xr:uid="{00000000-0005-0000-0000-0000141D0000}"/>
    <cellStyle name="Normal 8 2 5 4 2" xfId="4021" xr:uid="{00000000-0005-0000-0000-0000151D0000}"/>
    <cellStyle name="Normal 8 2 5 4 2 2" xfId="8244" xr:uid="{00000000-0005-0000-0000-0000161D0000}"/>
    <cellStyle name="Normal 8 2 5 4 2 2 2" xfId="25116" xr:uid="{444D6DAF-E8A9-4A1D-A616-42F8B3EF7E11}"/>
    <cellStyle name="Normal 8 2 5 4 2 2 3" xfId="16682" xr:uid="{171D8F47-4DA6-46CF-8B8D-D2B1320026F1}"/>
    <cellStyle name="Normal 8 2 5 4 2 3" xfId="20899" xr:uid="{A3526871-2E54-42A5-B225-A9DA01B202CC}"/>
    <cellStyle name="Normal 8 2 5 4 2 4" xfId="12465" xr:uid="{58A0D649-E2D6-4BCC-9CC9-830C349BE95B}"/>
    <cellStyle name="Normal 8 2 5 4 3" xfId="6099" xr:uid="{00000000-0005-0000-0000-0000171D0000}"/>
    <cellStyle name="Normal 8 2 5 4 3 2" xfId="22971" xr:uid="{C9C7DF9E-070C-4E93-8812-1E321641CAB8}"/>
    <cellStyle name="Normal 8 2 5 4 3 3" xfId="14537" xr:uid="{96272FE2-C638-4D7D-8541-965DBCE6D345}"/>
    <cellStyle name="Normal 8 2 5 4 4" xfId="18754" xr:uid="{CDAE9765-8377-4A35-A2B5-C06ADBB69BB2}"/>
    <cellStyle name="Normal 8 2 5 4 5" xfId="10320" xr:uid="{C00F66B3-1B31-4246-B258-960E81EC659A}"/>
    <cellStyle name="Normal 8 2 5 5" xfId="2205" xr:uid="{00000000-0005-0000-0000-0000181D0000}"/>
    <cellStyle name="Normal 8 2 5 5 2" xfId="4434" xr:uid="{00000000-0005-0000-0000-0000191D0000}"/>
    <cellStyle name="Normal 8 2 5 5 2 2" xfId="8657" xr:uid="{00000000-0005-0000-0000-00001A1D0000}"/>
    <cellStyle name="Normal 8 2 5 5 2 2 2" xfId="25529" xr:uid="{6B124A2B-1CCF-4E15-A69A-8986C6AEE59F}"/>
    <cellStyle name="Normal 8 2 5 5 2 2 3" xfId="17095" xr:uid="{0E9AE76C-BB57-49F0-97E7-36EAD035BD2F}"/>
    <cellStyle name="Normal 8 2 5 5 2 3" xfId="21312" xr:uid="{CE411305-15C5-4536-A7CF-24DD23B322EF}"/>
    <cellStyle name="Normal 8 2 5 5 2 4" xfId="12878" xr:uid="{A6A63216-33B5-4547-9E9A-9E11313727BF}"/>
    <cellStyle name="Normal 8 2 5 5 3" xfId="6512" xr:uid="{00000000-0005-0000-0000-00001B1D0000}"/>
    <cellStyle name="Normal 8 2 5 5 3 2" xfId="23384" xr:uid="{09E5D4C2-4A6C-48EB-84CC-95ED6945D44D}"/>
    <cellStyle name="Normal 8 2 5 5 3 3" xfId="14950" xr:uid="{54E8309A-D9F0-4561-9968-0F51A8B4EE38}"/>
    <cellStyle name="Normal 8 2 5 5 4" xfId="19167" xr:uid="{A035F2C2-E5C6-451C-8918-53D24B7999FD}"/>
    <cellStyle name="Normal 8 2 5 5 5" xfId="10733" xr:uid="{4D98C37F-4A18-438F-983C-4347C3EB4D95}"/>
    <cellStyle name="Normal 8 2 5 6" xfId="2641" xr:uid="{00000000-0005-0000-0000-00001C1D0000}"/>
    <cellStyle name="Normal 8 2 5 6 2" xfId="6925" xr:uid="{00000000-0005-0000-0000-00001D1D0000}"/>
    <cellStyle name="Normal 8 2 5 6 2 2" xfId="23797" xr:uid="{5F17C957-B1DC-488B-8D40-3CCD9062BF66}"/>
    <cellStyle name="Normal 8 2 5 6 2 3" xfId="15363" xr:uid="{07B541A5-E2E8-49C7-AC07-20F6E7B5BCEE}"/>
    <cellStyle name="Normal 8 2 5 6 3" xfId="19580" xr:uid="{6508B684-D216-483F-99D6-E4F2B5B61EE5}"/>
    <cellStyle name="Normal 8 2 5 6 4" xfId="11146" xr:uid="{17DBE232-4845-4AD5-BCDC-28D80B869DA6}"/>
    <cellStyle name="Normal 8 2 5 7" xfId="4860" xr:uid="{00000000-0005-0000-0000-00001E1D0000}"/>
    <cellStyle name="Normal 8 2 5 7 2" xfId="21732" xr:uid="{0E3958AC-2D67-4F98-99D1-C7472B1D836E}"/>
    <cellStyle name="Normal 8 2 5 7 3" xfId="13298" xr:uid="{8D40D998-0EFD-48FB-8D1F-D6AD458B5FF7}"/>
    <cellStyle name="Normal 8 2 5 8" xfId="17515" xr:uid="{DB652402-3FD5-45A8-A897-65004C9B8976}"/>
    <cellStyle name="Normal 8 2 5 9" xfId="9081" xr:uid="{6EC4DB16-32AC-4839-870A-C9DF6E5854D4}"/>
    <cellStyle name="Normal 8 2 6" xfId="946" xr:uid="{00000000-0005-0000-0000-00001F1D0000}"/>
    <cellStyle name="Normal 8 2 6 2" xfId="3180" xr:uid="{00000000-0005-0000-0000-0000201D0000}"/>
    <cellStyle name="Normal 8 2 6 2 2" xfId="7403" xr:uid="{00000000-0005-0000-0000-0000211D0000}"/>
    <cellStyle name="Normal 8 2 6 2 2 2" xfId="24275" xr:uid="{AE189FB6-3546-45F4-A1D1-18027EF7BF95}"/>
    <cellStyle name="Normal 8 2 6 2 2 3" xfId="15841" xr:uid="{1268F019-AD62-4BC1-80D3-631C72C5C72C}"/>
    <cellStyle name="Normal 8 2 6 2 3" xfId="20058" xr:uid="{E7B99ADE-BD2C-4DFF-86B4-195930B833B1}"/>
    <cellStyle name="Normal 8 2 6 2 4" xfId="11624" xr:uid="{B9AC0CD6-B932-4A61-A190-67290C688EF5}"/>
    <cellStyle name="Normal 8 2 6 3" xfId="5258" xr:uid="{00000000-0005-0000-0000-0000221D0000}"/>
    <cellStyle name="Normal 8 2 6 3 2" xfId="22130" xr:uid="{B80C51EC-A3D1-42D5-8CD1-818E444A893D}"/>
    <cellStyle name="Normal 8 2 6 3 3" xfId="13696" xr:uid="{083E56B5-A627-46FD-8476-5011073CFB08}"/>
    <cellStyle name="Normal 8 2 6 4" xfId="17913" xr:uid="{1E6548DE-459D-46D1-8A2E-30A9B9D5C6D4}"/>
    <cellStyle name="Normal 8 2 6 5" xfId="9479" xr:uid="{2C78F083-6800-444E-BA6A-AD30DC51FA8A}"/>
    <cellStyle name="Normal 8 2 7" xfId="1363" xr:uid="{00000000-0005-0000-0000-0000231D0000}"/>
    <cellStyle name="Normal 8 2 7 2" xfId="3593" xr:uid="{00000000-0005-0000-0000-0000241D0000}"/>
    <cellStyle name="Normal 8 2 7 2 2" xfId="7816" xr:uid="{00000000-0005-0000-0000-0000251D0000}"/>
    <cellStyle name="Normal 8 2 7 2 2 2" xfId="24688" xr:uid="{3DCF4C0A-7555-46DB-B6D9-65D8B19A135E}"/>
    <cellStyle name="Normal 8 2 7 2 2 3" xfId="16254" xr:uid="{D8EB8441-D1A9-4C9B-8E20-2060B2C27D9E}"/>
    <cellStyle name="Normal 8 2 7 2 3" xfId="20471" xr:uid="{1541EF6B-A234-45D6-8F7C-2A1B498C8645}"/>
    <cellStyle name="Normal 8 2 7 2 4" xfId="12037" xr:uid="{F2128BE3-2B4C-471B-B7FC-FA3F8FD2A25E}"/>
    <cellStyle name="Normal 8 2 7 3" xfId="5671" xr:uid="{00000000-0005-0000-0000-0000261D0000}"/>
    <cellStyle name="Normal 8 2 7 3 2" xfId="22543" xr:uid="{CF807413-BA96-4B6A-95C6-C2A4146F8D6E}"/>
    <cellStyle name="Normal 8 2 7 3 3" xfId="14109" xr:uid="{5499B5DD-0EE3-4F59-B25B-46B34AB8198C}"/>
    <cellStyle name="Normal 8 2 7 4" xfId="18326" xr:uid="{4B3961A5-B30C-4DD4-85A8-DE17EA510761}"/>
    <cellStyle name="Normal 8 2 7 5" xfId="9892" xr:uid="{630E644F-9772-4BD2-9A32-62C505299134}"/>
    <cellStyle name="Normal 8 2 8" xfId="1776" xr:uid="{00000000-0005-0000-0000-0000271D0000}"/>
    <cellStyle name="Normal 8 2 8 2" xfId="4006" xr:uid="{00000000-0005-0000-0000-0000281D0000}"/>
    <cellStyle name="Normal 8 2 8 2 2" xfId="8229" xr:uid="{00000000-0005-0000-0000-0000291D0000}"/>
    <cellStyle name="Normal 8 2 8 2 2 2" xfId="25101" xr:uid="{F1E926EE-6A2F-4D86-8E5C-5EFA4AC1BE03}"/>
    <cellStyle name="Normal 8 2 8 2 2 3" xfId="16667" xr:uid="{497CAF10-3E6B-44B2-8918-45E5F9C65A71}"/>
    <cellStyle name="Normal 8 2 8 2 3" xfId="20884" xr:uid="{F798F371-F90C-4C50-84D6-7FBE3C750237}"/>
    <cellStyle name="Normal 8 2 8 2 4" xfId="12450" xr:uid="{1BB13AC9-2F18-44A0-AFDA-18764E154F25}"/>
    <cellStyle name="Normal 8 2 8 3" xfId="6084" xr:uid="{00000000-0005-0000-0000-00002A1D0000}"/>
    <cellStyle name="Normal 8 2 8 3 2" xfId="22956" xr:uid="{AC67768C-1C8C-44AC-B7CF-44CFB351121B}"/>
    <cellStyle name="Normal 8 2 8 3 3" xfId="14522" xr:uid="{CBBF6A24-59E1-47D3-A65E-13D4771BE2F4}"/>
    <cellStyle name="Normal 8 2 8 4" xfId="18739" xr:uid="{20EDFA86-DA4E-4A55-BFF4-F115D41A80A5}"/>
    <cellStyle name="Normal 8 2 8 5" xfId="10305" xr:uid="{0340F57F-7F4B-43FC-A683-D0B62199DE5F}"/>
    <cellStyle name="Normal 8 2 9" xfId="2190" xr:uid="{00000000-0005-0000-0000-00002B1D0000}"/>
    <cellStyle name="Normal 8 2 9 2" xfId="4419" xr:uid="{00000000-0005-0000-0000-00002C1D0000}"/>
    <cellStyle name="Normal 8 2 9 2 2" xfId="8642" xr:uid="{00000000-0005-0000-0000-00002D1D0000}"/>
    <cellStyle name="Normal 8 2 9 2 2 2" xfId="25514" xr:uid="{98161D12-27D0-421A-ACBD-6854753E975C}"/>
    <cellStyle name="Normal 8 2 9 2 2 3" xfId="17080" xr:uid="{38AEF323-3A2B-4484-8A74-2DF58A7C160E}"/>
    <cellStyle name="Normal 8 2 9 2 3" xfId="21297" xr:uid="{163C0D95-DFF1-416B-B8AF-E4B82336C287}"/>
    <cellStyle name="Normal 8 2 9 2 4" xfId="12863" xr:uid="{FFB32ADF-4464-4F7F-B59A-384842FEBB94}"/>
    <cellStyle name="Normal 8 2 9 3" xfId="6497" xr:uid="{00000000-0005-0000-0000-00002E1D0000}"/>
    <cellStyle name="Normal 8 2 9 3 2" xfId="23369" xr:uid="{0FBACC5F-3579-4A7B-85F6-91FD6C418854}"/>
    <cellStyle name="Normal 8 2 9 3 3" xfId="14935" xr:uid="{2D2E622F-A749-4359-AD97-C88C77E99BA5}"/>
    <cellStyle name="Normal 8 2 9 4" xfId="19152" xr:uid="{8C4CA518-D163-48B3-93AC-AB4D906FC066}"/>
    <cellStyle name="Normal 8 2 9 5" xfId="10718" xr:uid="{22359E17-9928-4F37-9F54-BCA05A5392E5}"/>
    <cellStyle name="Normal 8 3" xfId="495" xr:uid="{00000000-0005-0000-0000-00002F1D0000}"/>
    <cellStyle name="Normal 8 3 10" xfId="4861" xr:uid="{00000000-0005-0000-0000-0000301D0000}"/>
    <cellStyle name="Normal 8 3 10 2" xfId="21733" xr:uid="{49DEDF99-979E-451B-A991-42110F25307B}"/>
    <cellStyle name="Normal 8 3 10 3" xfId="13299" xr:uid="{AA614CB9-D110-48E1-B96D-CECC0ACFBA67}"/>
    <cellStyle name="Normal 8 3 11" xfId="17516" xr:uid="{C122B1E1-7B6E-4F62-B06B-5EB1D992ABB8}"/>
    <cellStyle name="Normal 8 3 12" xfId="9082" xr:uid="{7018AD50-C139-47F7-83ED-7225DD1166B9}"/>
    <cellStyle name="Normal 8 3 2" xfId="496" xr:uid="{00000000-0005-0000-0000-0000311D0000}"/>
    <cellStyle name="Normal 8 3 2 10" xfId="17517" xr:uid="{0005918D-4E53-4335-9229-2186A5303618}"/>
    <cellStyle name="Normal 8 3 2 11" xfId="9083" xr:uid="{FBC74B42-7455-4FA6-885C-D503FE483EBC}"/>
    <cellStyle name="Normal 8 3 2 2" xfId="497" xr:uid="{00000000-0005-0000-0000-0000321D0000}"/>
    <cellStyle name="Normal 8 3 2 2 10" xfId="9084" xr:uid="{78BD242F-4452-405F-A63F-D099F1493054}"/>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24294" xr:uid="{164C24F7-666C-4F14-9C14-4736F3A71153}"/>
    <cellStyle name="Normal 8 3 2 2 2 2 2 2 3" xfId="15860" xr:uid="{87BDE677-7C6F-41D3-8CE8-2840584ACE33}"/>
    <cellStyle name="Normal 8 3 2 2 2 2 2 3" xfId="20077" xr:uid="{59E66FD4-5DFA-421C-9FF4-AC4B403DAB17}"/>
    <cellStyle name="Normal 8 3 2 2 2 2 2 4" xfId="11643" xr:uid="{B4290C4F-4A1A-4098-B30D-3032C1415410}"/>
    <cellStyle name="Normal 8 3 2 2 2 2 3" xfId="5277" xr:uid="{00000000-0005-0000-0000-0000371D0000}"/>
    <cellStyle name="Normal 8 3 2 2 2 2 3 2" xfId="22149" xr:uid="{99853494-BBED-45A9-9603-5D0A09E31288}"/>
    <cellStyle name="Normal 8 3 2 2 2 2 3 3" xfId="13715" xr:uid="{93E14DFE-3719-4B28-A2FA-C4AA58DF06A0}"/>
    <cellStyle name="Normal 8 3 2 2 2 2 4" xfId="17932" xr:uid="{03DF6A46-4232-49DC-905F-2F5DF86BB8FE}"/>
    <cellStyle name="Normal 8 3 2 2 2 2 5" xfId="9498" xr:uid="{25CC63C6-EFAB-4131-B29B-720E25304902}"/>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24707" xr:uid="{6905984B-0E76-403B-A191-51183657786A}"/>
    <cellStyle name="Normal 8 3 2 2 2 3 2 2 3" xfId="16273" xr:uid="{1BFBC05E-00F1-4A04-B24F-6F9C2228C488}"/>
    <cellStyle name="Normal 8 3 2 2 2 3 2 3" xfId="20490" xr:uid="{2512BB4E-6337-4D6A-9F6F-10DC256565FE}"/>
    <cellStyle name="Normal 8 3 2 2 2 3 2 4" xfId="12056" xr:uid="{7964AC1A-3BD4-4A28-8DA4-2DA24734B14A}"/>
    <cellStyle name="Normal 8 3 2 2 2 3 3" xfId="5690" xr:uid="{00000000-0005-0000-0000-00003B1D0000}"/>
    <cellStyle name="Normal 8 3 2 2 2 3 3 2" xfId="22562" xr:uid="{4FA8F999-8E27-4BD0-BA20-38CE49009875}"/>
    <cellStyle name="Normal 8 3 2 2 2 3 3 3" xfId="14128" xr:uid="{4E8226FB-9AEF-4861-A3C1-38C0F8EE3DEF}"/>
    <cellStyle name="Normal 8 3 2 2 2 3 4" xfId="18345" xr:uid="{5A48F069-9EC1-4F2B-88C9-DC45DF223945}"/>
    <cellStyle name="Normal 8 3 2 2 2 3 5" xfId="9911" xr:uid="{5D2E771F-6ED6-4CD4-96BC-DF79E34787C2}"/>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25120" xr:uid="{991A7522-847B-434A-8615-89C1109C84EA}"/>
    <cellStyle name="Normal 8 3 2 2 2 4 2 2 3" xfId="16686" xr:uid="{E2902411-1B54-4462-B39B-FAC9FA63EDA8}"/>
    <cellStyle name="Normal 8 3 2 2 2 4 2 3" xfId="20903" xr:uid="{B65CED51-C843-4715-B3DF-A524095D3F3D}"/>
    <cellStyle name="Normal 8 3 2 2 2 4 2 4" xfId="12469" xr:uid="{477095F1-0825-49EF-9609-17418CC658B8}"/>
    <cellStyle name="Normal 8 3 2 2 2 4 3" xfId="6103" xr:uid="{00000000-0005-0000-0000-00003F1D0000}"/>
    <cellStyle name="Normal 8 3 2 2 2 4 3 2" xfId="22975" xr:uid="{24A8B2F0-A40C-44DE-B0E8-A1F4D6AA2ECB}"/>
    <cellStyle name="Normal 8 3 2 2 2 4 3 3" xfId="14541" xr:uid="{FFE35858-79A0-415A-912C-D03560A3A97E}"/>
    <cellStyle name="Normal 8 3 2 2 2 4 4" xfId="18758" xr:uid="{FE5A8191-42D8-47B3-A0C6-47B50A2B5351}"/>
    <cellStyle name="Normal 8 3 2 2 2 4 5" xfId="10324" xr:uid="{E8B5A833-811F-4B9E-B881-144223965B63}"/>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25533" xr:uid="{5B1CE85D-29DC-418A-9AE1-0286CC042438}"/>
    <cellStyle name="Normal 8 3 2 2 2 5 2 2 3" xfId="17099" xr:uid="{8F6182FA-8420-478B-883D-043B915BA3F9}"/>
    <cellStyle name="Normal 8 3 2 2 2 5 2 3" xfId="21316" xr:uid="{0132D907-E5FE-4566-ABE2-8AED569A135E}"/>
    <cellStyle name="Normal 8 3 2 2 2 5 2 4" xfId="12882" xr:uid="{C7AD582A-E540-41F2-A666-F4F3E59E20DA}"/>
    <cellStyle name="Normal 8 3 2 2 2 5 3" xfId="6516" xr:uid="{00000000-0005-0000-0000-0000431D0000}"/>
    <cellStyle name="Normal 8 3 2 2 2 5 3 2" xfId="23388" xr:uid="{2DE6D611-4829-4CA1-948C-203393420C6E}"/>
    <cellStyle name="Normal 8 3 2 2 2 5 3 3" xfId="14954" xr:uid="{ECC8C2DB-0233-476A-9413-3C5948942799}"/>
    <cellStyle name="Normal 8 3 2 2 2 5 4" xfId="19171" xr:uid="{F0B54628-0C0C-4F7F-9B61-82DDDE634BE5}"/>
    <cellStyle name="Normal 8 3 2 2 2 5 5" xfId="10737" xr:uid="{42823BCB-0EAD-4FE7-BCB9-447FC11C999F}"/>
    <cellStyle name="Normal 8 3 2 2 2 6" xfId="2645" xr:uid="{00000000-0005-0000-0000-0000441D0000}"/>
    <cellStyle name="Normal 8 3 2 2 2 6 2" xfId="6929" xr:uid="{00000000-0005-0000-0000-0000451D0000}"/>
    <cellStyle name="Normal 8 3 2 2 2 6 2 2" xfId="23801" xr:uid="{306D5515-2921-416A-A456-CF6E3517995D}"/>
    <cellStyle name="Normal 8 3 2 2 2 6 2 3" xfId="15367" xr:uid="{126A7D18-5E95-4AF5-9DA1-BC72652F2565}"/>
    <cellStyle name="Normal 8 3 2 2 2 6 3" xfId="19584" xr:uid="{5A325CDE-FCF2-4D84-B604-C5165D5A67BA}"/>
    <cellStyle name="Normal 8 3 2 2 2 6 4" xfId="11150" xr:uid="{7940467C-D378-4920-92D5-3591E909BDFA}"/>
    <cellStyle name="Normal 8 3 2 2 2 7" xfId="4864" xr:uid="{00000000-0005-0000-0000-0000461D0000}"/>
    <cellStyle name="Normal 8 3 2 2 2 7 2" xfId="21736" xr:uid="{ACE9A274-8913-4B40-AE2A-23D23FCBE31A}"/>
    <cellStyle name="Normal 8 3 2 2 2 7 3" xfId="13302" xr:uid="{63F1DC6A-CDA2-49F0-A55E-91447BBA01D7}"/>
    <cellStyle name="Normal 8 3 2 2 2 8" xfId="17519" xr:uid="{F5013CA4-19EB-48C1-826D-02BE144AAD94}"/>
    <cellStyle name="Normal 8 3 2 2 2 9" xfId="9085" xr:uid="{A9687DBA-A29A-492E-826C-31C4E190DD49}"/>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24293" xr:uid="{BA24B465-C35C-44BB-88FF-60AFB460F55E}"/>
    <cellStyle name="Normal 8 3 2 2 3 2 2 3" xfId="15859" xr:uid="{D00D6D79-76B3-4ADD-BC0A-8822ECF3582E}"/>
    <cellStyle name="Normal 8 3 2 2 3 2 3" xfId="20076" xr:uid="{B355C891-3F73-4CB1-9713-7DBCCFFDDF1E}"/>
    <cellStyle name="Normal 8 3 2 2 3 2 4" xfId="11642" xr:uid="{2D31B626-35EA-4657-9795-18C4B2129608}"/>
    <cellStyle name="Normal 8 3 2 2 3 3" xfId="5276" xr:uid="{00000000-0005-0000-0000-00004A1D0000}"/>
    <cellStyle name="Normal 8 3 2 2 3 3 2" xfId="22148" xr:uid="{631E0A22-961D-4D46-8050-5CCBECF19996}"/>
    <cellStyle name="Normal 8 3 2 2 3 3 3" xfId="13714" xr:uid="{5FF97946-DB0B-44B1-8DDD-5B9DD670BD09}"/>
    <cellStyle name="Normal 8 3 2 2 3 4" xfId="17931" xr:uid="{5FB946E1-2965-4F34-B176-DE0955D2BBE6}"/>
    <cellStyle name="Normal 8 3 2 2 3 5" xfId="9497" xr:uid="{EE2B30D9-BECD-4DAB-BA35-BFC9F6009A20}"/>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24706" xr:uid="{92011205-2B15-4316-8910-818094C80160}"/>
    <cellStyle name="Normal 8 3 2 2 4 2 2 3" xfId="16272" xr:uid="{55BCA680-203C-4D1B-9BB3-1FAE96EE099E}"/>
    <cellStyle name="Normal 8 3 2 2 4 2 3" xfId="20489" xr:uid="{6E7DFE04-9978-4E5E-A728-CEC5CD10CFD4}"/>
    <cellStyle name="Normal 8 3 2 2 4 2 4" xfId="12055" xr:uid="{DF7ADAF9-662B-4470-95CF-60A163AA6E45}"/>
    <cellStyle name="Normal 8 3 2 2 4 3" xfId="5689" xr:uid="{00000000-0005-0000-0000-00004E1D0000}"/>
    <cellStyle name="Normal 8 3 2 2 4 3 2" xfId="22561" xr:uid="{2FF0FE32-CE86-43D6-92E0-D9D37C78DCB1}"/>
    <cellStyle name="Normal 8 3 2 2 4 3 3" xfId="14127" xr:uid="{2219AFD7-C8C7-43C9-8530-82593FC9E8C6}"/>
    <cellStyle name="Normal 8 3 2 2 4 4" xfId="18344" xr:uid="{6691B678-A7C8-425A-BCE2-2C704229C875}"/>
    <cellStyle name="Normal 8 3 2 2 4 5" xfId="9910" xr:uid="{71D977FC-E9E2-4602-AB45-CCE565AF2A00}"/>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25119" xr:uid="{D4E25E14-AD0B-471E-9356-19EF9EF974B0}"/>
    <cellStyle name="Normal 8 3 2 2 5 2 2 3" xfId="16685" xr:uid="{CBBBAC95-31B4-46C0-9AA0-1BEC12158324}"/>
    <cellStyle name="Normal 8 3 2 2 5 2 3" xfId="20902" xr:uid="{AC63CB4C-9D21-47DB-82BA-F193078582F0}"/>
    <cellStyle name="Normal 8 3 2 2 5 2 4" xfId="12468" xr:uid="{5D8B4D7B-174E-4A9C-8FF7-418BFB7BAA52}"/>
    <cellStyle name="Normal 8 3 2 2 5 3" xfId="6102" xr:uid="{00000000-0005-0000-0000-0000521D0000}"/>
    <cellStyle name="Normal 8 3 2 2 5 3 2" xfId="22974" xr:uid="{E034A9E9-6FA3-449B-B77B-F00622C9CB49}"/>
    <cellStyle name="Normal 8 3 2 2 5 3 3" xfId="14540" xr:uid="{64C9F432-F56F-4725-83EC-F7B83E07FC7A}"/>
    <cellStyle name="Normal 8 3 2 2 5 4" xfId="18757" xr:uid="{41FAFB96-F74E-447C-9738-37998494C765}"/>
    <cellStyle name="Normal 8 3 2 2 5 5" xfId="10323" xr:uid="{4E86366F-1A2E-4538-B4AB-27A70ACF5525}"/>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25532" xr:uid="{A6B71798-17C4-45AB-B494-A2140518A2E2}"/>
    <cellStyle name="Normal 8 3 2 2 6 2 2 3" xfId="17098" xr:uid="{8B4C04D5-5051-4524-BC1A-E4EEF81B6F73}"/>
    <cellStyle name="Normal 8 3 2 2 6 2 3" xfId="21315" xr:uid="{4A292591-3484-4023-8018-0D9F042BBF02}"/>
    <cellStyle name="Normal 8 3 2 2 6 2 4" xfId="12881" xr:uid="{C6F823AB-5CCC-4F34-8F4C-2B84BE35D9CA}"/>
    <cellStyle name="Normal 8 3 2 2 6 3" xfId="6515" xr:uid="{00000000-0005-0000-0000-0000561D0000}"/>
    <cellStyle name="Normal 8 3 2 2 6 3 2" xfId="23387" xr:uid="{B0E9ECE0-AC47-4675-BF33-E7EA99431824}"/>
    <cellStyle name="Normal 8 3 2 2 6 3 3" xfId="14953" xr:uid="{1C0EF1ED-EC47-438F-8039-F5447DA17444}"/>
    <cellStyle name="Normal 8 3 2 2 6 4" xfId="19170" xr:uid="{802D820D-BA26-45CF-9D0E-579C0596C304}"/>
    <cellStyle name="Normal 8 3 2 2 6 5" xfId="10736" xr:uid="{9D8AE4A9-6FC3-492E-A4DD-7D00AAEA89C7}"/>
    <cellStyle name="Normal 8 3 2 2 7" xfId="2644" xr:uid="{00000000-0005-0000-0000-0000571D0000}"/>
    <cellStyle name="Normal 8 3 2 2 7 2" xfId="6928" xr:uid="{00000000-0005-0000-0000-0000581D0000}"/>
    <cellStyle name="Normal 8 3 2 2 7 2 2" xfId="23800" xr:uid="{6A01DE49-17B4-4BA5-A748-9DDD8A12CA55}"/>
    <cellStyle name="Normal 8 3 2 2 7 2 3" xfId="15366" xr:uid="{0C964E19-548D-4449-B378-274ABEF704FB}"/>
    <cellStyle name="Normal 8 3 2 2 7 3" xfId="19583" xr:uid="{2583FF11-3D93-4DAA-B2A1-8A164F88B852}"/>
    <cellStyle name="Normal 8 3 2 2 7 4" xfId="11149" xr:uid="{66351D1D-3628-4BCA-9988-407F9A1DC825}"/>
    <cellStyle name="Normal 8 3 2 2 8" xfId="4863" xr:uid="{00000000-0005-0000-0000-0000591D0000}"/>
    <cellStyle name="Normal 8 3 2 2 8 2" xfId="21735" xr:uid="{AE025E58-BEB5-4C90-B892-47B4B68142CF}"/>
    <cellStyle name="Normal 8 3 2 2 8 3" xfId="13301" xr:uid="{1783BB80-FED7-469D-AC80-300F2A798076}"/>
    <cellStyle name="Normal 8 3 2 2 9" xfId="17518" xr:uid="{878B244B-B5F0-4573-8705-A8A5B56AEA71}"/>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24295" xr:uid="{E6CA8C9A-81E9-4A39-8CF7-8FE45AEFFB66}"/>
    <cellStyle name="Normal 8 3 2 3 2 2 2 3" xfId="15861" xr:uid="{51C75043-B395-4455-A75F-0EE801C16871}"/>
    <cellStyle name="Normal 8 3 2 3 2 2 3" xfId="20078" xr:uid="{7B7DF863-ABC1-4E16-9475-9F117A1E19CB}"/>
    <cellStyle name="Normal 8 3 2 3 2 2 4" xfId="11644" xr:uid="{7915FD37-5A1E-45A1-BFEE-097955170B3F}"/>
    <cellStyle name="Normal 8 3 2 3 2 3" xfId="5278" xr:uid="{00000000-0005-0000-0000-00005E1D0000}"/>
    <cellStyle name="Normal 8 3 2 3 2 3 2" xfId="22150" xr:uid="{57FF9447-4880-4190-B4DA-91065A25302E}"/>
    <cellStyle name="Normal 8 3 2 3 2 3 3" xfId="13716" xr:uid="{760473E9-7FCB-494F-BE26-3A0625A5A45E}"/>
    <cellStyle name="Normal 8 3 2 3 2 4" xfId="17933" xr:uid="{4A46309C-ACAD-475C-BEB3-4084FBB2720D}"/>
    <cellStyle name="Normal 8 3 2 3 2 5" xfId="9499" xr:uid="{84886B45-924D-42EC-A760-EBD89E22EAEB}"/>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24708" xr:uid="{26BE03BE-2F44-43F5-A2FA-8E0D24978210}"/>
    <cellStyle name="Normal 8 3 2 3 3 2 2 3" xfId="16274" xr:uid="{993C0C28-2380-4321-990C-D8E38A171F4A}"/>
    <cellStyle name="Normal 8 3 2 3 3 2 3" xfId="20491" xr:uid="{7EEBEFCA-8BCC-433C-A9C7-08DAF44B16A4}"/>
    <cellStyle name="Normal 8 3 2 3 3 2 4" xfId="12057" xr:uid="{E3A751DA-E7E4-4DA1-B7E0-5D8EF0C20A56}"/>
    <cellStyle name="Normal 8 3 2 3 3 3" xfId="5691" xr:uid="{00000000-0005-0000-0000-0000621D0000}"/>
    <cellStyle name="Normal 8 3 2 3 3 3 2" xfId="22563" xr:uid="{73F85FC9-308C-4F53-9D91-3CCDBE9DB7E5}"/>
    <cellStyle name="Normal 8 3 2 3 3 3 3" xfId="14129" xr:uid="{7FB74173-E735-4F2C-8725-E4956DF1F2BF}"/>
    <cellStyle name="Normal 8 3 2 3 3 4" xfId="18346" xr:uid="{91C280C4-6F37-440D-800B-A6F3FDE16AAD}"/>
    <cellStyle name="Normal 8 3 2 3 3 5" xfId="9912" xr:uid="{CCD5724D-1E35-4D71-B71C-1658DE584767}"/>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25121" xr:uid="{8C35F70B-29AD-4DD6-B2AB-9873BC3AB3AD}"/>
    <cellStyle name="Normal 8 3 2 3 4 2 2 3" xfId="16687" xr:uid="{14DB65F1-1938-4BBD-8A23-8AF90FAA1875}"/>
    <cellStyle name="Normal 8 3 2 3 4 2 3" xfId="20904" xr:uid="{8DF19EC6-732A-464C-866D-EBF626D96948}"/>
    <cellStyle name="Normal 8 3 2 3 4 2 4" xfId="12470" xr:uid="{62FBD834-D3FF-46D9-9684-D44FF0AF52FD}"/>
    <cellStyle name="Normal 8 3 2 3 4 3" xfId="6104" xr:uid="{00000000-0005-0000-0000-0000661D0000}"/>
    <cellStyle name="Normal 8 3 2 3 4 3 2" xfId="22976" xr:uid="{BF846D29-6832-4257-BFE6-6C033DD38B73}"/>
    <cellStyle name="Normal 8 3 2 3 4 3 3" xfId="14542" xr:uid="{6B0F56A7-676A-4C76-964A-615A3293C57D}"/>
    <cellStyle name="Normal 8 3 2 3 4 4" xfId="18759" xr:uid="{7616CFD2-3D01-4575-9027-F2A0BD192B51}"/>
    <cellStyle name="Normal 8 3 2 3 4 5" xfId="10325" xr:uid="{62CA3735-8825-4D4F-A3BB-E895644CEA57}"/>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25534" xr:uid="{E4118857-DB1B-4F2C-BEA9-69EA9567DFEC}"/>
    <cellStyle name="Normal 8 3 2 3 5 2 2 3" xfId="17100" xr:uid="{532ECBEC-4255-44DE-A8F7-0708F11E1BDF}"/>
    <cellStyle name="Normal 8 3 2 3 5 2 3" xfId="21317" xr:uid="{DE6031B6-4E3C-48A3-9868-0EB98419BD1D}"/>
    <cellStyle name="Normal 8 3 2 3 5 2 4" xfId="12883" xr:uid="{30F6DF75-BF13-4357-B24B-1151492F6DEE}"/>
    <cellStyle name="Normal 8 3 2 3 5 3" xfId="6517" xr:uid="{00000000-0005-0000-0000-00006A1D0000}"/>
    <cellStyle name="Normal 8 3 2 3 5 3 2" xfId="23389" xr:uid="{A09E23A8-A497-4AA8-B110-F0D2D003AAA8}"/>
    <cellStyle name="Normal 8 3 2 3 5 3 3" xfId="14955" xr:uid="{C6006515-5965-4D6E-9851-399D25D93ABA}"/>
    <cellStyle name="Normal 8 3 2 3 5 4" xfId="19172" xr:uid="{BC0D7A95-196B-4A9B-9C10-A970937B7E9B}"/>
    <cellStyle name="Normal 8 3 2 3 5 5" xfId="10738" xr:uid="{14361B16-CEAE-4E33-936D-3F70C64A71D5}"/>
    <cellStyle name="Normal 8 3 2 3 6" xfId="2646" xr:uid="{00000000-0005-0000-0000-00006B1D0000}"/>
    <cellStyle name="Normal 8 3 2 3 6 2" xfId="6930" xr:uid="{00000000-0005-0000-0000-00006C1D0000}"/>
    <cellStyle name="Normal 8 3 2 3 6 2 2" xfId="23802" xr:uid="{12AC4BDF-5C7F-418F-9B1E-B405EDE5D7C0}"/>
    <cellStyle name="Normal 8 3 2 3 6 2 3" xfId="15368" xr:uid="{065693F2-7353-4210-B0FD-DF665C4BBC63}"/>
    <cellStyle name="Normal 8 3 2 3 6 3" xfId="19585" xr:uid="{0456FFCF-19AE-411C-AC5B-87D326273E53}"/>
    <cellStyle name="Normal 8 3 2 3 6 4" xfId="11151" xr:uid="{C7C1A511-2E1E-4B14-9CA2-21593914A608}"/>
    <cellStyle name="Normal 8 3 2 3 7" xfId="4865" xr:uid="{00000000-0005-0000-0000-00006D1D0000}"/>
    <cellStyle name="Normal 8 3 2 3 7 2" xfId="21737" xr:uid="{2EE74D23-3E49-481F-9307-3D61331FA212}"/>
    <cellStyle name="Normal 8 3 2 3 7 3" xfId="13303" xr:uid="{4FE2BA8C-3B1A-4CBC-9FC3-DBC21E82B67D}"/>
    <cellStyle name="Normal 8 3 2 3 8" xfId="17520" xr:uid="{7F46B9B6-E003-42FC-9971-B6182832A8AD}"/>
    <cellStyle name="Normal 8 3 2 3 9" xfId="9086" xr:uid="{E8E8988C-6B7E-4D6F-B546-20DAD4F24D50}"/>
    <cellStyle name="Normal 8 3 2 4" xfId="963" xr:uid="{00000000-0005-0000-0000-00006E1D0000}"/>
    <cellStyle name="Normal 8 3 2 4 2" xfId="3197" xr:uid="{00000000-0005-0000-0000-00006F1D0000}"/>
    <cellStyle name="Normal 8 3 2 4 2 2" xfId="7420" xr:uid="{00000000-0005-0000-0000-0000701D0000}"/>
    <cellStyle name="Normal 8 3 2 4 2 2 2" xfId="24292" xr:uid="{BD9A994D-E8D8-41E4-B2A1-74DC2FF0DEFA}"/>
    <cellStyle name="Normal 8 3 2 4 2 2 3" xfId="15858" xr:uid="{B6D6CB3E-CFA6-4474-BE2D-CA9FA0AE999A}"/>
    <cellStyle name="Normal 8 3 2 4 2 3" xfId="20075" xr:uid="{DEC9AEC4-FEBA-4DC1-855D-FECB2F8D28F2}"/>
    <cellStyle name="Normal 8 3 2 4 2 4" xfId="11641" xr:uid="{A99DF5C4-6209-4DE7-802F-575FA314096C}"/>
    <cellStyle name="Normal 8 3 2 4 3" xfId="5275" xr:uid="{00000000-0005-0000-0000-0000711D0000}"/>
    <cellStyle name="Normal 8 3 2 4 3 2" xfId="22147" xr:uid="{7E18DACA-0854-4C22-B0EB-A48B7D498A4C}"/>
    <cellStyle name="Normal 8 3 2 4 3 3" xfId="13713" xr:uid="{94185238-76EA-4934-96AC-790E840A57EC}"/>
    <cellStyle name="Normal 8 3 2 4 4" xfId="17930" xr:uid="{4DF72E5C-87B6-44EC-82CC-1B8FA3276FFE}"/>
    <cellStyle name="Normal 8 3 2 4 5" xfId="9496" xr:uid="{1943B723-7041-42A1-A469-544E820FB9F8}"/>
    <cellStyle name="Normal 8 3 2 5" xfId="1380" xr:uid="{00000000-0005-0000-0000-0000721D0000}"/>
    <cellStyle name="Normal 8 3 2 5 2" xfId="3610" xr:uid="{00000000-0005-0000-0000-0000731D0000}"/>
    <cellStyle name="Normal 8 3 2 5 2 2" xfId="7833" xr:uid="{00000000-0005-0000-0000-0000741D0000}"/>
    <cellStyle name="Normal 8 3 2 5 2 2 2" xfId="24705" xr:uid="{21747390-8FBA-4FE5-8D61-66D39080E6CA}"/>
    <cellStyle name="Normal 8 3 2 5 2 2 3" xfId="16271" xr:uid="{72BAAE79-2D0B-4B90-862F-0C04C9DF1463}"/>
    <cellStyle name="Normal 8 3 2 5 2 3" xfId="20488" xr:uid="{1493C955-2B95-40E3-89AC-A52C3D6EDD17}"/>
    <cellStyle name="Normal 8 3 2 5 2 4" xfId="12054" xr:uid="{97943603-4803-4EA9-AB44-32937714038D}"/>
    <cellStyle name="Normal 8 3 2 5 3" xfId="5688" xr:uid="{00000000-0005-0000-0000-0000751D0000}"/>
    <cellStyle name="Normal 8 3 2 5 3 2" xfId="22560" xr:uid="{C5A45F39-B227-46A8-84C3-C836632F8D13}"/>
    <cellStyle name="Normal 8 3 2 5 3 3" xfId="14126" xr:uid="{D76011BD-9F57-4FA8-B684-9E7F88B7D22F}"/>
    <cellStyle name="Normal 8 3 2 5 4" xfId="18343" xr:uid="{5C5A134F-D8FD-4CE1-BB43-C685F07DBF1F}"/>
    <cellStyle name="Normal 8 3 2 5 5" xfId="9909" xr:uid="{356BD49C-75EF-4061-BF0C-7749792CF218}"/>
    <cellStyle name="Normal 8 3 2 6" xfId="1793" xr:uid="{00000000-0005-0000-0000-0000761D0000}"/>
    <cellStyle name="Normal 8 3 2 6 2" xfId="4023" xr:uid="{00000000-0005-0000-0000-0000771D0000}"/>
    <cellStyle name="Normal 8 3 2 6 2 2" xfId="8246" xr:uid="{00000000-0005-0000-0000-0000781D0000}"/>
    <cellStyle name="Normal 8 3 2 6 2 2 2" xfId="25118" xr:uid="{4C154320-2CBB-43B9-B2EE-674FB1839F3A}"/>
    <cellStyle name="Normal 8 3 2 6 2 2 3" xfId="16684" xr:uid="{A0176E74-5EE5-466D-B0E8-5DF06988336C}"/>
    <cellStyle name="Normal 8 3 2 6 2 3" xfId="20901" xr:uid="{F6CF4DA1-2088-452E-98E0-096C3A7D3EC9}"/>
    <cellStyle name="Normal 8 3 2 6 2 4" xfId="12467" xr:uid="{C6273250-B7D6-435B-A667-653DCF76DC8C}"/>
    <cellStyle name="Normal 8 3 2 6 3" xfId="6101" xr:uid="{00000000-0005-0000-0000-0000791D0000}"/>
    <cellStyle name="Normal 8 3 2 6 3 2" xfId="22973" xr:uid="{E8646ACB-C705-4FB6-A89F-53525FA4D163}"/>
    <cellStyle name="Normal 8 3 2 6 3 3" xfId="14539" xr:uid="{66F42296-85B1-44E5-AC2E-4E361033A801}"/>
    <cellStyle name="Normal 8 3 2 6 4" xfId="18756" xr:uid="{B5743EE3-B4EA-44D5-B6D9-234F91A35E92}"/>
    <cellStyle name="Normal 8 3 2 6 5" xfId="10322" xr:uid="{831BAE1A-8B77-403E-8154-BA2994E412B9}"/>
    <cellStyle name="Normal 8 3 2 7" xfId="2207" xr:uid="{00000000-0005-0000-0000-00007A1D0000}"/>
    <cellStyle name="Normal 8 3 2 7 2" xfId="4436" xr:uid="{00000000-0005-0000-0000-00007B1D0000}"/>
    <cellStyle name="Normal 8 3 2 7 2 2" xfId="8659" xr:uid="{00000000-0005-0000-0000-00007C1D0000}"/>
    <cellStyle name="Normal 8 3 2 7 2 2 2" xfId="25531" xr:uid="{F3233C57-0D51-4507-97DF-576164E38976}"/>
    <cellStyle name="Normal 8 3 2 7 2 2 3" xfId="17097" xr:uid="{E606B2F6-B3BD-4A27-9A19-F8CB590471A3}"/>
    <cellStyle name="Normal 8 3 2 7 2 3" xfId="21314" xr:uid="{C885A727-D3A9-41C6-9D2B-94E4BF0C5D40}"/>
    <cellStyle name="Normal 8 3 2 7 2 4" xfId="12880" xr:uid="{A5A9A9FA-B3F8-437B-919B-D27CA873F145}"/>
    <cellStyle name="Normal 8 3 2 7 3" xfId="6514" xr:uid="{00000000-0005-0000-0000-00007D1D0000}"/>
    <cellStyle name="Normal 8 3 2 7 3 2" xfId="23386" xr:uid="{29BECBEC-5515-4A9F-8ED1-DD8CECE003AB}"/>
    <cellStyle name="Normal 8 3 2 7 3 3" xfId="14952" xr:uid="{79D135EE-2D0E-4DA3-9B03-053CA728575A}"/>
    <cellStyle name="Normal 8 3 2 7 4" xfId="19169" xr:uid="{A7D6921F-BBF1-4D19-895F-F8B6B5F27429}"/>
    <cellStyle name="Normal 8 3 2 7 5" xfId="10735" xr:uid="{A9A13AE9-1C9D-485B-92C7-AB9BF1885B1B}"/>
    <cellStyle name="Normal 8 3 2 8" xfId="2643" xr:uid="{00000000-0005-0000-0000-00007E1D0000}"/>
    <cellStyle name="Normal 8 3 2 8 2" xfId="6927" xr:uid="{00000000-0005-0000-0000-00007F1D0000}"/>
    <cellStyle name="Normal 8 3 2 8 2 2" xfId="23799" xr:uid="{2B67DA2B-1C62-4700-B1B7-3BFA79F8151B}"/>
    <cellStyle name="Normal 8 3 2 8 2 3" xfId="15365" xr:uid="{7669640B-D0AC-4ADC-A982-0C24145C3F44}"/>
    <cellStyle name="Normal 8 3 2 8 3" xfId="19582" xr:uid="{ED30DDFA-0504-43DE-911E-11C473DEBA51}"/>
    <cellStyle name="Normal 8 3 2 8 4" xfId="11148" xr:uid="{732BB471-2603-40E5-B5B3-E587E4D0E134}"/>
    <cellStyle name="Normal 8 3 2 9" xfId="4862" xr:uid="{00000000-0005-0000-0000-0000801D0000}"/>
    <cellStyle name="Normal 8 3 2 9 2" xfId="21734" xr:uid="{0242117E-9F61-4F71-8958-50AC96ED97E6}"/>
    <cellStyle name="Normal 8 3 2 9 3" xfId="13300" xr:uid="{F5EA7B60-6CFF-4223-AC3B-A5EFCBF1BADE}"/>
    <cellStyle name="Normal 8 3 3" xfId="500" xr:uid="{00000000-0005-0000-0000-0000811D0000}"/>
    <cellStyle name="Normal 8 3 3 10" xfId="9087" xr:uid="{75B830EE-A376-4B0B-A430-117F57C11812}"/>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24297" xr:uid="{4D8961ED-7D21-4963-A958-FDD193AF6F25}"/>
    <cellStyle name="Normal 8 3 3 2 2 2 2 3" xfId="15863" xr:uid="{DC47DCE1-0A2B-49B5-82E2-9C6CF54A72A8}"/>
    <cellStyle name="Normal 8 3 3 2 2 2 3" xfId="20080" xr:uid="{B0E72E6A-7E48-41F6-913C-53A67751BF35}"/>
    <cellStyle name="Normal 8 3 3 2 2 2 4" xfId="11646" xr:uid="{7853A10C-511B-42A6-9482-A4CD5732D2F2}"/>
    <cellStyle name="Normal 8 3 3 2 2 3" xfId="5280" xr:uid="{00000000-0005-0000-0000-0000861D0000}"/>
    <cellStyle name="Normal 8 3 3 2 2 3 2" xfId="22152" xr:uid="{FCE6AC72-B0E3-4E77-835B-2905823D93AC}"/>
    <cellStyle name="Normal 8 3 3 2 2 3 3" xfId="13718" xr:uid="{6B715C6E-0B66-4B00-BEB0-1C49229A3D84}"/>
    <cellStyle name="Normal 8 3 3 2 2 4" xfId="17935" xr:uid="{5A7E7DD6-B9B9-4B62-9E78-A740F07E632E}"/>
    <cellStyle name="Normal 8 3 3 2 2 5" xfId="9501" xr:uid="{E89E8A0D-DE72-4DD1-9503-47771D8D2426}"/>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24710" xr:uid="{85758DE3-3B97-4E4F-B151-BBBD8AAEB184}"/>
    <cellStyle name="Normal 8 3 3 2 3 2 2 3" xfId="16276" xr:uid="{757CC26A-5F9D-4F67-A9B5-5821C49C0444}"/>
    <cellStyle name="Normal 8 3 3 2 3 2 3" xfId="20493" xr:uid="{0836CB64-6CA8-467B-9F88-1606656E63EB}"/>
    <cellStyle name="Normal 8 3 3 2 3 2 4" xfId="12059" xr:uid="{4A6AF850-5E72-44BB-9595-21F56513F6E4}"/>
    <cellStyle name="Normal 8 3 3 2 3 3" xfId="5693" xr:uid="{00000000-0005-0000-0000-00008A1D0000}"/>
    <cellStyle name="Normal 8 3 3 2 3 3 2" xfId="22565" xr:uid="{C2CC9D61-192C-492E-9E76-DE4D18928350}"/>
    <cellStyle name="Normal 8 3 3 2 3 3 3" xfId="14131" xr:uid="{B149FC0D-AB6A-417B-B811-52211CB16912}"/>
    <cellStyle name="Normal 8 3 3 2 3 4" xfId="18348" xr:uid="{EBAD410E-18C9-4999-8001-BEA62F9D2DB6}"/>
    <cellStyle name="Normal 8 3 3 2 3 5" xfId="9914" xr:uid="{DF14785E-3912-436B-90D3-23188E6A355C}"/>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25123" xr:uid="{89C6A31A-1A7A-42F1-9A43-120588220797}"/>
    <cellStyle name="Normal 8 3 3 2 4 2 2 3" xfId="16689" xr:uid="{02402280-79DA-416F-A8DD-F73404E3CA01}"/>
    <cellStyle name="Normal 8 3 3 2 4 2 3" xfId="20906" xr:uid="{F709D297-8BC2-40C0-942C-83F3CCAD6D2B}"/>
    <cellStyle name="Normal 8 3 3 2 4 2 4" xfId="12472" xr:uid="{E2D115D3-5BA7-4B56-B6CC-291261C41CC9}"/>
    <cellStyle name="Normal 8 3 3 2 4 3" xfId="6106" xr:uid="{00000000-0005-0000-0000-00008E1D0000}"/>
    <cellStyle name="Normal 8 3 3 2 4 3 2" xfId="22978" xr:uid="{A5E4522D-8298-41E1-B32E-69A48AE06B75}"/>
    <cellStyle name="Normal 8 3 3 2 4 3 3" xfId="14544" xr:uid="{44CC3906-E1A7-4D5B-9501-BE55175697F8}"/>
    <cellStyle name="Normal 8 3 3 2 4 4" xfId="18761" xr:uid="{9D591D52-8158-4E5F-A1BB-D500E8CCE2AD}"/>
    <cellStyle name="Normal 8 3 3 2 4 5" xfId="10327" xr:uid="{CABC33C2-0932-4D82-B402-574F257E32A7}"/>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25536" xr:uid="{EDEDB63B-376A-4531-8979-DAA24457FCAC}"/>
    <cellStyle name="Normal 8 3 3 2 5 2 2 3" xfId="17102" xr:uid="{E30379AE-5D4F-4895-95DE-0146F854DCAF}"/>
    <cellStyle name="Normal 8 3 3 2 5 2 3" xfId="21319" xr:uid="{BC45B4DE-1F8A-466A-85A7-C654CA0C0B5F}"/>
    <cellStyle name="Normal 8 3 3 2 5 2 4" xfId="12885" xr:uid="{D9084CBD-285B-4F35-AC1B-25D0B6DD8FFF}"/>
    <cellStyle name="Normal 8 3 3 2 5 3" xfId="6519" xr:uid="{00000000-0005-0000-0000-0000921D0000}"/>
    <cellStyle name="Normal 8 3 3 2 5 3 2" xfId="23391" xr:uid="{9E7F4664-BC50-46B7-8F3A-68A4C6300F13}"/>
    <cellStyle name="Normal 8 3 3 2 5 3 3" xfId="14957" xr:uid="{72F58AA9-C25C-460C-846C-534E73253617}"/>
    <cellStyle name="Normal 8 3 3 2 5 4" xfId="19174" xr:uid="{AB0F813B-DDFA-4DC1-A1B6-8A6567ABFAD3}"/>
    <cellStyle name="Normal 8 3 3 2 5 5" xfId="10740" xr:uid="{80BF3665-31DA-4654-9A1E-C286574E5E88}"/>
    <cellStyle name="Normal 8 3 3 2 6" xfId="2648" xr:uid="{00000000-0005-0000-0000-0000931D0000}"/>
    <cellStyle name="Normal 8 3 3 2 6 2" xfId="6932" xr:uid="{00000000-0005-0000-0000-0000941D0000}"/>
    <cellStyle name="Normal 8 3 3 2 6 2 2" xfId="23804" xr:uid="{513EDAB5-8312-4E9C-B324-6C8602C30EF6}"/>
    <cellStyle name="Normal 8 3 3 2 6 2 3" xfId="15370" xr:uid="{D910960B-1C01-45E3-9593-630AF27F5A43}"/>
    <cellStyle name="Normal 8 3 3 2 6 3" xfId="19587" xr:uid="{A149C5D5-6F70-417E-8AEE-11C27683F8C1}"/>
    <cellStyle name="Normal 8 3 3 2 6 4" xfId="11153" xr:uid="{CF8E496C-64A7-4E38-90C1-A7AB9534168E}"/>
    <cellStyle name="Normal 8 3 3 2 7" xfId="4867" xr:uid="{00000000-0005-0000-0000-0000951D0000}"/>
    <cellStyle name="Normal 8 3 3 2 7 2" xfId="21739" xr:uid="{219E8A21-EBA6-408B-A339-E8FD24CDB551}"/>
    <cellStyle name="Normal 8 3 3 2 7 3" xfId="13305" xr:uid="{C94C90C2-320E-4F24-9102-233564B9E78D}"/>
    <cellStyle name="Normal 8 3 3 2 8" xfId="17522" xr:uid="{FA745B0F-D573-4319-A377-2057F01B81C4}"/>
    <cellStyle name="Normal 8 3 3 2 9" xfId="9088" xr:uid="{4289CB4B-E94A-4030-B1BE-C110B2F13408}"/>
    <cellStyle name="Normal 8 3 3 3" xfId="967" xr:uid="{00000000-0005-0000-0000-0000961D0000}"/>
    <cellStyle name="Normal 8 3 3 3 2" xfId="3201" xr:uid="{00000000-0005-0000-0000-0000971D0000}"/>
    <cellStyle name="Normal 8 3 3 3 2 2" xfId="7424" xr:uid="{00000000-0005-0000-0000-0000981D0000}"/>
    <cellStyle name="Normal 8 3 3 3 2 2 2" xfId="24296" xr:uid="{ADC40B78-E199-4BB5-A25B-5AB37AE1DE26}"/>
    <cellStyle name="Normal 8 3 3 3 2 2 3" xfId="15862" xr:uid="{C5353447-A178-4A72-A8AD-DC5DC3AA6E27}"/>
    <cellStyle name="Normal 8 3 3 3 2 3" xfId="20079" xr:uid="{726A2882-A6C9-4BCA-B8C3-786394C6111C}"/>
    <cellStyle name="Normal 8 3 3 3 2 4" xfId="11645" xr:uid="{2D687F7E-6038-4ED0-952C-5DFD4B8AE2DA}"/>
    <cellStyle name="Normal 8 3 3 3 3" xfId="5279" xr:uid="{00000000-0005-0000-0000-0000991D0000}"/>
    <cellStyle name="Normal 8 3 3 3 3 2" xfId="22151" xr:uid="{9CD2C855-A7E0-43CB-8771-0D3A4E01D59C}"/>
    <cellStyle name="Normal 8 3 3 3 3 3" xfId="13717" xr:uid="{82DB984B-941B-4026-9FB8-01B467CF7160}"/>
    <cellStyle name="Normal 8 3 3 3 4" xfId="17934" xr:uid="{A3039853-80EC-4656-806C-54A9F6CEEB96}"/>
    <cellStyle name="Normal 8 3 3 3 5" xfId="9500" xr:uid="{BD4D08AC-AA9E-4523-9E69-EBA5C2B3F8E0}"/>
    <cellStyle name="Normal 8 3 3 4" xfId="1384" xr:uid="{00000000-0005-0000-0000-00009A1D0000}"/>
    <cellStyle name="Normal 8 3 3 4 2" xfId="3614" xr:uid="{00000000-0005-0000-0000-00009B1D0000}"/>
    <cellStyle name="Normal 8 3 3 4 2 2" xfId="7837" xr:uid="{00000000-0005-0000-0000-00009C1D0000}"/>
    <cellStyle name="Normal 8 3 3 4 2 2 2" xfId="24709" xr:uid="{763EE81D-B135-4055-BF1E-5AB37A1F3806}"/>
    <cellStyle name="Normal 8 3 3 4 2 2 3" xfId="16275" xr:uid="{ECFD851F-4BFE-426B-AC02-7C282DA5B3F7}"/>
    <cellStyle name="Normal 8 3 3 4 2 3" xfId="20492" xr:uid="{D79AFA98-58BB-4FC2-BB2A-A2DC9782B6E4}"/>
    <cellStyle name="Normal 8 3 3 4 2 4" xfId="12058" xr:uid="{3D021406-D058-4004-8B51-160E23CD613C}"/>
    <cellStyle name="Normal 8 3 3 4 3" xfId="5692" xr:uid="{00000000-0005-0000-0000-00009D1D0000}"/>
    <cellStyle name="Normal 8 3 3 4 3 2" xfId="22564" xr:uid="{0DC2903E-C65A-429A-AE0A-766B9986FAE4}"/>
    <cellStyle name="Normal 8 3 3 4 3 3" xfId="14130" xr:uid="{7AC29AA6-3867-4738-A4F0-18601842B470}"/>
    <cellStyle name="Normal 8 3 3 4 4" xfId="18347" xr:uid="{C7B46E11-32C5-4C94-A946-4CEE5B608288}"/>
    <cellStyle name="Normal 8 3 3 4 5" xfId="9913" xr:uid="{72DE6632-6E8E-4DFB-8BA0-7142772C4A85}"/>
    <cellStyle name="Normal 8 3 3 5" xfId="1797" xr:uid="{00000000-0005-0000-0000-00009E1D0000}"/>
    <cellStyle name="Normal 8 3 3 5 2" xfId="4027" xr:uid="{00000000-0005-0000-0000-00009F1D0000}"/>
    <cellStyle name="Normal 8 3 3 5 2 2" xfId="8250" xr:uid="{00000000-0005-0000-0000-0000A01D0000}"/>
    <cellStyle name="Normal 8 3 3 5 2 2 2" xfId="25122" xr:uid="{C79AF1C8-F2D1-4BC6-A248-04FF7DA11684}"/>
    <cellStyle name="Normal 8 3 3 5 2 2 3" xfId="16688" xr:uid="{51A10C98-9E2D-4060-B17E-AF398E563235}"/>
    <cellStyle name="Normal 8 3 3 5 2 3" xfId="20905" xr:uid="{226C9711-7A89-4DC0-95E8-B9F5CA89076C}"/>
    <cellStyle name="Normal 8 3 3 5 2 4" xfId="12471" xr:uid="{EBF31D2F-2ED8-4BA1-B994-AE1ECD8EBA3F}"/>
    <cellStyle name="Normal 8 3 3 5 3" xfId="6105" xr:uid="{00000000-0005-0000-0000-0000A11D0000}"/>
    <cellStyle name="Normal 8 3 3 5 3 2" xfId="22977" xr:uid="{372CAC8C-B89A-4DD6-90EE-F4E1DF3D50D3}"/>
    <cellStyle name="Normal 8 3 3 5 3 3" xfId="14543" xr:uid="{CA2C6A8A-1542-44B4-BE8C-F30FED730404}"/>
    <cellStyle name="Normal 8 3 3 5 4" xfId="18760" xr:uid="{B45B9EB1-1F7C-4F6B-92FB-6DB0BC051457}"/>
    <cellStyle name="Normal 8 3 3 5 5" xfId="10326" xr:uid="{B9E8B4EE-2842-4334-B782-FEA03B3EB86E}"/>
    <cellStyle name="Normal 8 3 3 6" xfId="2211" xr:uid="{00000000-0005-0000-0000-0000A21D0000}"/>
    <cellStyle name="Normal 8 3 3 6 2" xfId="4440" xr:uid="{00000000-0005-0000-0000-0000A31D0000}"/>
    <cellStyle name="Normal 8 3 3 6 2 2" xfId="8663" xr:uid="{00000000-0005-0000-0000-0000A41D0000}"/>
    <cellStyle name="Normal 8 3 3 6 2 2 2" xfId="25535" xr:uid="{12F3A815-78AA-4949-8BF6-32D35D487AB9}"/>
    <cellStyle name="Normal 8 3 3 6 2 2 3" xfId="17101" xr:uid="{CF4BF85E-E333-4AF4-A96B-C0459CD6BEEC}"/>
    <cellStyle name="Normal 8 3 3 6 2 3" xfId="21318" xr:uid="{D28BD82E-CE96-4D16-B81D-09B33B2A470F}"/>
    <cellStyle name="Normal 8 3 3 6 2 4" xfId="12884" xr:uid="{99B8AB95-0FDD-4838-8825-98B6E3256E9B}"/>
    <cellStyle name="Normal 8 3 3 6 3" xfId="6518" xr:uid="{00000000-0005-0000-0000-0000A51D0000}"/>
    <cellStyle name="Normal 8 3 3 6 3 2" xfId="23390" xr:uid="{2C9FECDB-0A2B-41A4-95E0-0975A8B04BEA}"/>
    <cellStyle name="Normal 8 3 3 6 3 3" xfId="14956" xr:uid="{77182E0C-6D57-4119-ACBF-C08C502AC7E6}"/>
    <cellStyle name="Normal 8 3 3 6 4" xfId="19173" xr:uid="{1A5B4F5B-86E4-4786-86BD-1F7CC994C568}"/>
    <cellStyle name="Normal 8 3 3 6 5" xfId="10739" xr:uid="{AA99BAF5-25A5-4FDF-88D5-2A44863142C1}"/>
    <cellStyle name="Normal 8 3 3 7" xfId="2647" xr:uid="{00000000-0005-0000-0000-0000A61D0000}"/>
    <cellStyle name="Normal 8 3 3 7 2" xfId="6931" xr:uid="{00000000-0005-0000-0000-0000A71D0000}"/>
    <cellStyle name="Normal 8 3 3 7 2 2" xfId="23803" xr:uid="{BC4B0808-2BEA-4738-BF3F-A8B55C285F41}"/>
    <cellStyle name="Normal 8 3 3 7 2 3" xfId="15369" xr:uid="{DDF705C3-03E2-4112-8060-DAFA87D08056}"/>
    <cellStyle name="Normal 8 3 3 7 3" xfId="19586" xr:uid="{420203DD-776F-4447-B068-6307B6EE62A0}"/>
    <cellStyle name="Normal 8 3 3 7 4" xfId="11152" xr:uid="{2E060F32-FCDF-48A7-9117-67B0EE5C23CA}"/>
    <cellStyle name="Normal 8 3 3 8" xfId="4866" xr:uid="{00000000-0005-0000-0000-0000A81D0000}"/>
    <cellStyle name="Normal 8 3 3 8 2" xfId="21738" xr:uid="{02439B2B-4F60-4702-B557-CCC106D470DB}"/>
    <cellStyle name="Normal 8 3 3 8 3" xfId="13304" xr:uid="{3A1C06D4-2641-4620-91F2-0CC14DCE90E9}"/>
    <cellStyle name="Normal 8 3 3 9" xfId="17521" xr:uid="{8A315C80-9B42-4DA8-BF14-581CE4419AAF}"/>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24298" xr:uid="{240989E9-50F8-4CFE-BE95-9C1229D28B25}"/>
    <cellStyle name="Normal 8 3 4 2 2 2 3" xfId="15864" xr:uid="{5BCD734A-EE4F-4788-AAC2-D28E438C51F5}"/>
    <cellStyle name="Normal 8 3 4 2 2 3" xfId="20081" xr:uid="{20D725EB-8F2F-42DD-8A8E-DE3B87892EE0}"/>
    <cellStyle name="Normal 8 3 4 2 2 4" xfId="11647" xr:uid="{549CFF8B-F458-4219-94FA-20D5A3133918}"/>
    <cellStyle name="Normal 8 3 4 2 3" xfId="5281" xr:uid="{00000000-0005-0000-0000-0000AD1D0000}"/>
    <cellStyle name="Normal 8 3 4 2 3 2" xfId="22153" xr:uid="{5F42BBE3-5E0B-45DE-90C4-10241C40B647}"/>
    <cellStyle name="Normal 8 3 4 2 3 3" xfId="13719" xr:uid="{89AE14A5-99D7-4D3D-BFA0-3CC56C9D3F38}"/>
    <cellStyle name="Normal 8 3 4 2 4" xfId="17936" xr:uid="{06CE02F9-DAE4-44E7-97B8-951999811DF4}"/>
    <cellStyle name="Normal 8 3 4 2 5" xfId="9502" xr:uid="{BE5A3800-ABEE-48E7-BB93-0AE3181B8EB0}"/>
    <cellStyle name="Normal 8 3 4 3" xfId="1386" xr:uid="{00000000-0005-0000-0000-0000AE1D0000}"/>
    <cellStyle name="Normal 8 3 4 3 2" xfId="3616" xr:uid="{00000000-0005-0000-0000-0000AF1D0000}"/>
    <cellStyle name="Normal 8 3 4 3 2 2" xfId="7839" xr:uid="{00000000-0005-0000-0000-0000B01D0000}"/>
    <cellStyle name="Normal 8 3 4 3 2 2 2" xfId="24711" xr:uid="{C05AF898-74C6-48E7-9108-7DE82610DE23}"/>
    <cellStyle name="Normal 8 3 4 3 2 2 3" xfId="16277" xr:uid="{0ED180B4-129E-48F4-8D66-7FFC22C94CBD}"/>
    <cellStyle name="Normal 8 3 4 3 2 3" xfId="20494" xr:uid="{767B2E1B-5137-4E44-8D0B-B176E96C0171}"/>
    <cellStyle name="Normal 8 3 4 3 2 4" xfId="12060" xr:uid="{B8FE079C-1FAD-408B-880E-F77F1CD738BF}"/>
    <cellStyle name="Normal 8 3 4 3 3" xfId="5694" xr:uid="{00000000-0005-0000-0000-0000B11D0000}"/>
    <cellStyle name="Normal 8 3 4 3 3 2" xfId="22566" xr:uid="{1EBDC370-83B6-45F0-B1CA-29096E6B84CB}"/>
    <cellStyle name="Normal 8 3 4 3 3 3" xfId="14132" xr:uid="{85BC9805-9814-4F2C-B87A-7E427C425420}"/>
    <cellStyle name="Normal 8 3 4 3 4" xfId="18349" xr:uid="{1DE91885-8B3A-48D7-A2C7-7B401CAEE7A2}"/>
    <cellStyle name="Normal 8 3 4 3 5" xfId="9915" xr:uid="{75C04FE4-DE9D-40D5-BF51-1776C5356CD5}"/>
    <cellStyle name="Normal 8 3 4 4" xfId="1799" xr:uid="{00000000-0005-0000-0000-0000B21D0000}"/>
    <cellStyle name="Normal 8 3 4 4 2" xfId="4029" xr:uid="{00000000-0005-0000-0000-0000B31D0000}"/>
    <cellStyle name="Normal 8 3 4 4 2 2" xfId="8252" xr:uid="{00000000-0005-0000-0000-0000B41D0000}"/>
    <cellStyle name="Normal 8 3 4 4 2 2 2" xfId="25124" xr:uid="{6CD413D0-82E6-4850-837C-BBE17F8A10D6}"/>
    <cellStyle name="Normal 8 3 4 4 2 2 3" xfId="16690" xr:uid="{BCF28E63-6DF8-4720-9DD1-725DC7F37B6F}"/>
    <cellStyle name="Normal 8 3 4 4 2 3" xfId="20907" xr:uid="{773CC754-E18E-41D7-964A-FF4D82F1F719}"/>
    <cellStyle name="Normal 8 3 4 4 2 4" xfId="12473" xr:uid="{3A2ACDD2-014A-463C-97E9-D87937B16830}"/>
    <cellStyle name="Normal 8 3 4 4 3" xfId="6107" xr:uid="{00000000-0005-0000-0000-0000B51D0000}"/>
    <cellStyle name="Normal 8 3 4 4 3 2" xfId="22979" xr:uid="{F27EA84B-D5E5-4FCD-A619-5691171B29FD}"/>
    <cellStyle name="Normal 8 3 4 4 3 3" xfId="14545" xr:uid="{8D8BEE02-E55A-44CE-9E9B-2D9B6DFFD420}"/>
    <cellStyle name="Normal 8 3 4 4 4" xfId="18762" xr:uid="{84F570E0-E5BE-43B6-9C6D-19CB6615C094}"/>
    <cellStyle name="Normal 8 3 4 4 5" xfId="10328" xr:uid="{45D34FC6-D20F-4E85-9CFC-083192F61608}"/>
    <cellStyle name="Normal 8 3 4 5" xfId="2213" xr:uid="{00000000-0005-0000-0000-0000B61D0000}"/>
    <cellStyle name="Normal 8 3 4 5 2" xfId="4442" xr:uid="{00000000-0005-0000-0000-0000B71D0000}"/>
    <cellStyle name="Normal 8 3 4 5 2 2" xfId="8665" xr:uid="{00000000-0005-0000-0000-0000B81D0000}"/>
    <cellStyle name="Normal 8 3 4 5 2 2 2" xfId="25537" xr:uid="{A9D5612F-B371-440A-8B24-2C2769D52C8D}"/>
    <cellStyle name="Normal 8 3 4 5 2 2 3" xfId="17103" xr:uid="{41F9C2A3-E51B-4A59-9085-7FBBD1FE1618}"/>
    <cellStyle name="Normal 8 3 4 5 2 3" xfId="21320" xr:uid="{1F4EA17F-166E-4CD3-8D7A-B7278572FC4E}"/>
    <cellStyle name="Normal 8 3 4 5 2 4" xfId="12886" xr:uid="{86479871-9C01-40B1-903F-F7521DC84111}"/>
    <cellStyle name="Normal 8 3 4 5 3" xfId="6520" xr:uid="{00000000-0005-0000-0000-0000B91D0000}"/>
    <cellStyle name="Normal 8 3 4 5 3 2" xfId="23392" xr:uid="{B9CA4EED-ECF5-4711-ACD2-94D3EE679653}"/>
    <cellStyle name="Normal 8 3 4 5 3 3" xfId="14958" xr:uid="{2E420AAC-BD7D-4061-BAF6-FB606E1109FF}"/>
    <cellStyle name="Normal 8 3 4 5 4" xfId="19175" xr:uid="{B1DF6EBC-48D4-4223-8D76-1C8C0CDC323A}"/>
    <cellStyle name="Normal 8 3 4 5 5" xfId="10741" xr:uid="{80AF5CA1-BBDA-494A-98FE-5C8FDAB82C05}"/>
    <cellStyle name="Normal 8 3 4 6" xfId="2649" xr:uid="{00000000-0005-0000-0000-0000BA1D0000}"/>
    <cellStyle name="Normal 8 3 4 6 2" xfId="6933" xr:uid="{00000000-0005-0000-0000-0000BB1D0000}"/>
    <cellStyle name="Normal 8 3 4 6 2 2" xfId="23805" xr:uid="{A35E9233-DFE1-48DE-9241-EE8388EE08B1}"/>
    <cellStyle name="Normal 8 3 4 6 2 3" xfId="15371" xr:uid="{3A034D4F-9F9E-4587-9B1A-71853D7417DF}"/>
    <cellStyle name="Normal 8 3 4 6 3" xfId="19588" xr:uid="{7DAC9220-21F2-4A0B-888E-B0C86640D7EF}"/>
    <cellStyle name="Normal 8 3 4 6 4" xfId="11154" xr:uid="{4344D9AC-F122-40C3-B156-7EB7880B24D4}"/>
    <cellStyle name="Normal 8 3 4 7" xfId="4868" xr:uid="{00000000-0005-0000-0000-0000BC1D0000}"/>
    <cellStyle name="Normal 8 3 4 7 2" xfId="21740" xr:uid="{47C03E4B-C11E-4CE4-B8DA-C30BB4508B43}"/>
    <cellStyle name="Normal 8 3 4 7 3" xfId="13306" xr:uid="{3C28303C-3E62-4D8F-BFD8-FF6BC8F9FBDA}"/>
    <cellStyle name="Normal 8 3 4 8" xfId="17523" xr:uid="{F069E736-9E93-4599-9264-165EF9473E64}"/>
    <cellStyle name="Normal 8 3 4 9" xfId="9089" xr:uid="{51B12AA7-89DC-4FFC-905F-5E4620CDA62A}"/>
    <cellStyle name="Normal 8 3 5" xfId="962" xr:uid="{00000000-0005-0000-0000-0000BD1D0000}"/>
    <cellStyle name="Normal 8 3 5 2" xfId="3196" xr:uid="{00000000-0005-0000-0000-0000BE1D0000}"/>
    <cellStyle name="Normal 8 3 5 2 2" xfId="7419" xr:uid="{00000000-0005-0000-0000-0000BF1D0000}"/>
    <cellStyle name="Normal 8 3 5 2 2 2" xfId="24291" xr:uid="{B9A8C9FC-E088-46A7-8D65-38B08E0CF775}"/>
    <cellStyle name="Normal 8 3 5 2 2 3" xfId="15857" xr:uid="{2EA811F3-A502-43E1-B2FC-B04B4FE3585F}"/>
    <cellStyle name="Normal 8 3 5 2 3" xfId="20074" xr:uid="{EB28209C-6759-4081-BEB5-F959537A7875}"/>
    <cellStyle name="Normal 8 3 5 2 4" xfId="11640" xr:uid="{D31A9784-3AEC-4029-BE0D-E0BBC647EDD3}"/>
    <cellStyle name="Normal 8 3 5 3" xfId="5274" xr:uid="{00000000-0005-0000-0000-0000C01D0000}"/>
    <cellStyle name="Normal 8 3 5 3 2" xfId="22146" xr:uid="{6E3A44E0-6DCC-4822-A459-99703E42E9F5}"/>
    <cellStyle name="Normal 8 3 5 3 3" xfId="13712" xr:uid="{8557E90E-60DC-47E2-9F19-344B75F16325}"/>
    <cellStyle name="Normal 8 3 5 4" xfId="17929" xr:uid="{64F8A5FE-C545-4874-9140-7B3E25B5EA6A}"/>
    <cellStyle name="Normal 8 3 5 5" xfId="9495" xr:uid="{96DBD523-EE11-443C-A379-D718E6251FA9}"/>
    <cellStyle name="Normal 8 3 6" xfId="1379" xr:uid="{00000000-0005-0000-0000-0000C11D0000}"/>
    <cellStyle name="Normal 8 3 6 2" xfId="3609" xr:uid="{00000000-0005-0000-0000-0000C21D0000}"/>
    <cellStyle name="Normal 8 3 6 2 2" xfId="7832" xr:uid="{00000000-0005-0000-0000-0000C31D0000}"/>
    <cellStyle name="Normal 8 3 6 2 2 2" xfId="24704" xr:uid="{E2B85F41-E33F-4FA2-9437-39E0FB8CEEEE}"/>
    <cellStyle name="Normal 8 3 6 2 2 3" xfId="16270" xr:uid="{E7E8D0DB-BC64-4C2D-A25C-152E1EADA8FD}"/>
    <cellStyle name="Normal 8 3 6 2 3" xfId="20487" xr:uid="{21CDD7B3-E603-4BEE-85F7-AF89A6BE9AA2}"/>
    <cellStyle name="Normal 8 3 6 2 4" xfId="12053" xr:uid="{F407AAB4-FA54-46EC-BF7A-6795B322413B}"/>
    <cellStyle name="Normal 8 3 6 3" xfId="5687" xr:uid="{00000000-0005-0000-0000-0000C41D0000}"/>
    <cellStyle name="Normal 8 3 6 3 2" xfId="22559" xr:uid="{CE8DD733-72C0-410B-A554-002459E2D810}"/>
    <cellStyle name="Normal 8 3 6 3 3" xfId="14125" xr:uid="{83C5896E-0EF7-4E5D-81BE-740316EFF1A8}"/>
    <cellStyle name="Normal 8 3 6 4" xfId="18342" xr:uid="{D98DB52B-D51D-475B-8B2B-E2054804CCEC}"/>
    <cellStyle name="Normal 8 3 6 5" xfId="9908" xr:uid="{FBE45852-7D47-4CAB-8D3F-96201223D5B5}"/>
    <cellStyle name="Normal 8 3 7" xfId="1792" xr:uid="{00000000-0005-0000-0000-0000C51D0000}"/>
    <cellStyle name="Normal 8 3 7 2" xfId="4022" xr:uid="{00000000-0005-0000-0000-0000C61D0000}"/>
    <cellStyle name="Normal 8 3 7 2 2" xfId="8245" xr:uid="{00000000-0005-0000-0000-0000C71D0000}"/>
    <cellStyle name="Normal 8 3 7 2 2 2" xfId="25117" xr:uid="{99B6F6BD-118F-4940-B8FE-E56E5DC89AB6}"/>
    <cellStyle name="Normal 8 3 7 2 2 3" xfId="16683" xr:uid="{0FA22F0D-4553-42E5-B044-7A7D92D1C245}"/>
    <cellStyle name="Normal 8 3 7 2 3" xfId="20900" xr:uid="{926F7B33-9705-414C-B6B0-0522F973DDC8}"/>
    <cellStyle name="Normal 8 3 7 2 4" xfId="12466" xr:uid="{C198ECBF-A46B-4841-AC1A-8F4A4B84F19C}"/>
    <cellStyle name="Normal 8 3 7 3" xfId="6100" xr:uid="{00000000-0005-0000-0000-0000C81D0000}"/>
    <cellStyle name="Normal 8 3 7 3 2" xfId="22972" xr:uid="{D3168AD0-7A7A-4105-953E-180587A7D4F8}"/>
    <cellStyle name="Normal 8 3 7 3 3" xfId="14538" xr:uid="{69A00976-0D16-4D0A-AFD5-980611C4DECE}"/>
    <cellStyle name="Normal 8 3 7 4" xfId="18755" xr:uid="{C27E16CF-05A4-4B57-9613-684EC1481DEF}"/>
    <cellStyle name="Normal 8 3 7 5" xfId="10321" xr:uid="{77F5B7B2-2C45-406E-9FF9-1582AEE8270A}"/>
    <cellStyle name="Normal 8 3 8" xfId="2206" xr:uid="{00000000-0005-0000-0000-0000C91D0000}"/>
    <cellStyle name="Normal 8 3 8 2" xfId="4435" xr:uid="{00000000-0005-0000-0000-0000CA1D0000}"/>
    <cellStyle name="Normal 8 3 8 2 2" xfId="8658" xr:uid="{00000000-0005-0000-0000-0000CB1D0000}"/>
    <cellStyle name="Normal 8 3 8 2 2 2" xfId="25530" xr:uid="{F05FBD2A-8824-4170-A579-92C723077C3D}"/>
    <cellStyle name="Normal 8 3 8 2 2 3" xfId="17096" xr:uid="{4A9A96A3-4AB8-4A57-9324-AAEFBC703C22}"/>
    <cellStyle name="Normal 8 3 8 2 3" xfId="21313" xr:uid="{154BC40C-E76A-49EE-9BCE-F4C6FF64DAB4}"/>
    <cellStyle name="Normal 8 3 8 2 4" xfId="12879" xr:uid="{7A08C979-EC72-480B-915D-E3EE0EF3DDED}"/>
    <cellStyle name="Normal 8 3 8 3" xfId="6513" xr:uid="{00000000-0005-0000-0000-0000CC1D0000}"/>
    <cellStyle name="Normal 8 3 8 3 2" xfId="23385" xr:uid="{5F6BA4C0-9242-4273-BB3A-186BE7FF61C3}"/>
    <cellStyle name="Normal 8 3 8 3 3" xfId="14951" xr:uid="{9F80B837-1C90-4327-8E10-BE02EADBF220}"/>
    <cellStyle name="Normal 8 3 8 4" xfId="19168" xr:uid="{683441E5-29DD-4504-93D4-535E7F419FE5}"/>
    <cellStyle name="Normal 8 3 8 5" xfId="10734" xr:uid="{7F77F57B-2190-48DB-A37D-BD1C58ADF54E}"/>
    <cellStyle name="Normal 8 3 9" xfId="2642" xr:uid="{00000000-0005-0000-0000-0000CD1D0000}"/>
    <cellStyle name="Normal 8 3 9 2" xfId="6926" xr:uid="{00000000-0005-0000-0000-0000CE1D0000}"/>
    <cellStyle name="Normal 8 3 9 2 2" xfId="23798" xr:uid="{813C325D-FCD8-4AA6-96B4-1588C023DD23}"/>
    <cellStyle name="Normal 8 3 9 2 3" xfId="15364" xr:uid="{476D1B1E-B58C-4565-A312-1E480AAA6BF3}"/>
    <cellStyle name="Normal 8 3 9 3" xfId="19581" xr:uid="{525AA018-8FBA-4B92-A10B-EFDA13DEC851}"/>
    <cellStyle name="Normal 8 3 9 4" xfId="11147" xr:uid="{D01AD6FC-646B-4C6D-9CC9-3F4637E4B999}"/>
    <cellStyle name="Normal 8 4" xfId="503" xr:uid="{00000000-0005-0000-0000-0000CF1D0000}"/>
    <cellStyle name="Normal 8 4 10" xfId="17524" xr:uid="{1659DA32-DFEA-4410-86BA-42EDD29970DA}"/>
    <cellStyle name="Normal 8 4 11" xfId="9090" xr:uid="{FD42C166-FFC2-48C2-B7AF-2BE35E1E213E}"/>
    <cellStyle name="Normal 8 4 2" xfId="504" xr:uid="{00000000-0005-0000-0000-0000D01D0000}"/>
    <cellStyle name="Normal 8 4 2 10" xfId="9091" xr:uid="{9065D893-7CBD-49E2-9066-93CA92E9FEB2}"/>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24301" xr:uid="{4455A05B-16F3-4C9D-9AB9-202B0C844B64}"/>
    <cellStyle name="Normal 8 4 2 2 2 2 2 3" xfId="15867" xr:uid="{C4F4A6E1-BD6F-4667-88EB-29C1EE476491}"/>
    <cellStyle name="Normal 8 4 2 2 2 2 3" xfId="20084" xr:uid="{A1241BE8-961D-459A-8171-3D1F1014A8F6}"/>
    <cellStyle name="Normal 8 4 2 2 2 2 4" xfId="11650" xr:uid="{6830FACA-85D1-4CE3-9450-C89114E97265}"/>
    <cellStyle name="Normal 8 4 2 2 2 3" xfId="5284" xr:uid="{00000000-0005-0000-0000-0000D51D0000}"/>
    <cellStyle name="Normal 8 4 2 2 2 3 2" xfId="22156" xr:uid="{09CEC023-DA20-452A-808E-EB860AD91460}"/>
    <cellStyle name="Normal 8 4 2 2 2 3 3" xfId="13722" xr:uid="{EAE5757F-DE50-42F0-A883-471ED17A3EB0}"/>
    <cellStyle name="Normal 8 4 2 2 2 4" xfId="17939" xr:uid="{C7944E03-71D6-4C75-B16B-5BA370146068}"/>
    <cellStyle name="Normal 8 4 2 2 2 5" xfId="9505" xr:uid="{3FF47C48-5B75-4114-9A95-27B5830A98F8}"/>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24714" xr:uid="{003290D1-321A-4718-8669-B150C7837113}"/>
    <cellStyle name="Normal 8 4 2 2 3 2 2 3" xfId="16280" xr:uid="{A781FD4E-095F-4ADE-B729-91F20E413CA5}"/>
    <cellStyle name="Normal 8 4 2 2 3 2 3" xfId="20497" xr:uid="{D4359B8E-5BAA-4F88-9089-31CAF7C4E681}"/>
    <cellStyle name="Normal 8 4 2 2 3 2 4" xfId="12063" xr:uid="{60C86C47-F225-48F0-A748-3B477AD3B961}"/>
    <cellStyle name="Normal 8 4 2 2 3 3" xfId="5697" xr:uid="{00000000-0005-0000-0000-0000D91D0000}"/>
    <cellStyle name="Normal 8 4 2 2 3 3 2" xfId="22569" xr:uid="{80F93DB5-77C7-447E-98F5-121FF0814F2E}"/>
    <cellStyle name="Normal 8 4 2 2 3 3 3" xfId="14135" xr:uid="{47E4212A-A270-4A5B-B88C-7CCFBBCB9ADB}"/>
    <cellStyle name="Normal 8 4 2 2 3 4" xfId="18352" xr:uid="{B76C6A85-AC8E-42FF-8E79-215C1F7FF287}"/>
    <cellStyle name="Normal 8 4 2 2 3 5" xfId="9918" xr:uid="{16BD8BB4-150D-4C38-93B7-9563B679AF8C}"/>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25127" xr:uid="{F564F6F1-DBCB-4D38-8CAD-9097E91A2B68}"/>
    <cellStyle name="Normal 8 4 2 2 4 2 2 3" xfId="16693" xr:uid="{EB62D7F8-AB6C-4415-8920-C4A2E1FE628D}"/>
    <cellStyle name="Normal 8 4 2 2 4 2 3" xfId="20910" xr:uid="{C942964E-814B-4D93-BFE1-25AF43712722}"/>
    <cellStyle name="Normal 8 4 2 2 4 2 4" xfId="12476" xr:uid="{D4742133-DCA9-4A90-AB3C-B798A047FDBC}"/>
    <cellStyle name="Normal 8 4 2 2 4 3" xfId="6110" xr:uid="{00000000-0005-0000-0000-0000DD1D0000}"/>
    <cellStyle name="Normal 8 4 2 2 4 3 2" xfId="22982" xr:uid="{4654E14F-9AB4-4391-B6AC-9ED60EC0EAE3}"/>
    <cellStyle name="Normal 8 4 2 2 4 3 3" xfId="14548" xr:uid="{B58110C3-0A77-4FE4-AEAD-8F6D94E9E551}"/>
    <cellStyle name="Normal 8 4 2 2 4 4" xfId="18765" xr:uid="{1ACF26A4-6E74-4C11-B5DE-BED3D6F9F3C7}"/>
    <cellStyle name="Normal 8 4 2 2 4 5" xfId="10331" xr:uid="{7CABAF04-AD2D-4294-A182-36C5562DECC7}"/>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25540" xr:uid="{31BF1831-A55E-4F81-B1B3-A773E44A409A}"/>
    <cellStyle name="Normal 8 4 2 2 5 2 2 3" xfId="17106" xr:uid="{695E66CA-A950-462D-BD65-7E36163C144F}"/>
    <cellStyle name="Normal 8 4 2 2 5 2 3" xfId="21323" xr:uid="{0B4513A6-9AB5-460E-BA01-C7AE2A9F9E3A}"/>
    <cellStyle name="Normal 8 4 2 2 5 2 4" xfId="12889" xr:uid="{135C4584-D4C8-4E5F-A814-594CD33D1754}"/>
    <cellStyle name="Normal 8 4 2 2 5 3" xfId="6523" xr:uid="{00000000-0005-0000-0000-0000E11D0000}"/>
    <cellStyle name="Normal 8 4 2 2 5 3 2" xfId="23395" xr:uid="{DCAFB607-3096-44D1-A1AA-1895BA346E25}"/>
    <cellStyle name="Normal 8 4 2 2 5 3 3" xfId="14961" xr:uid="{6139D65A-76B5-422A-B5FC-3A326B149171}"/>
    <cellStyle name="Normal 8 4 2 2 5 4" xfId="19178" xr:uid="{24A75769-0ED1-4CA7-8CBF-14730CC6B0DC}"/>
    <cellStyle name="Normal 8 4 2 2 5 5" xfId="10744" xr:uid="{DDBC08C2-AA1C-4F35-AA9E-744945AFC909}"/>
    <cellStyle name="Normal 8 4 2 2 6" xfId="2652" xr:uid="{00000000-0005-0000-0000-0000E21D0000}"/>
    <cellStyle name="Normal 8 4 2 2 6 2" xfId="6936" xr:uid="{00000000-0005-0000-0000-0000E31D0000}"/>
    <cellStyle name="Normal 8 4 2 2 6 2 2" xfId="23808" xr:uid="{C314A5DC-60BB-45AA-9AA9-128B1D4B4472}"/>
    <cellStyle name="Normal 8 4 2 2 6 2 3" xfId="15374" xr:uid="{EFBA0934-FC63-41FD-A816-232C012C9643}"/>
    <cellStyle name="Normal 8 4 2 2 6 3" xfId="19591" xr:uid="{4F8018F2-1D0A-4FBD-AD5A-30257F8656B3}"/>
    <cellStyle name="Normal 8 4 2 2 6 4" xfId="11157" xr:uid="{AA51754E-3519-447F-86A9-31FFF6701EA9}"/>
    <cellStyle name="Normal 8 4 2 2 7" xfId="4871" xr:uid="{00000000-0005-0000-0000-0000E41D0000}"/>
    <cellStyle name="Normal 8 4 2 2 7 2" xfId="21743" xr:uid="{2A6CF74A-F4FA-438B-8004-F7E5064D745E}"/>
    <cellStyle name="Normal 8 4 2 2 7 3" xfId="13309" xr:uid="{6CDB3DBB-5766-46DF-9601-59C9A79AF029}"/>
    <cellStyle name="Normal 8 4 2 2 8" xfId="17526" xr:uid="{0A053721-A13B-442D-99FE-4908F43C1541}"/>
    <cellStyle name="Normal 8 4 2 2 9" xfId="9092" xr:uid="{DBCF46E1-CA6F-4A6A-8D59-B70FFBA8BF2B}"/>
    <cellStyle name="Normal 8 4 2 3" xfId="971" xr:uid="{00000000-0005-0000-0000-0000E51D0000}"/>
    <cellStyle name="Normal 8 4 2 3 2" xfId="3205" xr:uid="{00000000-0005-0000-0000-0000E61D0000}"/>
    <cellStyle name="Normal 8 4 2 3 2 2" xfId="7428" xr:uid="{00000000-0005-0000-0000-0000E71D0000}"/>
    <cellStyle name="Normal 8 4 2 3 2 2 2" xfId="24300" xr:uid="{61747408-97BB-444F-A465-2442AFFD0EBE}"/>
    <cellStyle name="Normal 8 4 2 3 2 2 3" xfId="15866" xr:uid="{11361DFD-89F8-4E61-9ACE-1B1DB915F1BE}"/>
    <cellStyle name="Normal 8 4 2 3 2 3" xfId="20083" xr:uid="{24CB3A55-59E0-4DDB-9B67-5401EF0CDC61}"/>
    <cellStyle name="Normal 8 4 2 3 2 4" xfId="11649" xr:uid="{1CC8C747-F83E-4C83-BCF8-7C852350F5D9}"/>
    <cellStyle name="Normal 8 4 2 3 3" xfId="5283" xr:uid="{00000000-0005-0000-0000-0000E81D0000}"/>
    <cellStyle name="Normal 8 4 2 3 3 2" xfId="22155" xr:uid="{7740155F-800D-40A0-88BB-3C3C99BB7C63}"/>
    <cellStyle name="Normal 8 4 2 3 3 3" xfId="13721" xr:uid="{BB87A363-3772-42AB-BE8D-2E2284B910DF}"/>
    <cellStyle name="Normal 8 4 2 3 4" xfId="17938" xr:uid="{E31FD1DD-13FD-4668-8155-D8E4797304DE}"/>
    <cellStyle name="Normal 8 4 2 3 5" xfId="9504" xr:uid="{DD64A3A2-53DD-44AE-9A4B-0272E08EFDB0}"/>
    <cellStyle name="Normal 8 4 2 4" xfId="1388" xr:uid="{00000000-0005-0000-0000-0000E91D0000}"/>
    <cellStyle name="Normal 8 4 2 4 2" xfId="3618" xr:uid="{00000000-0005-0000-0000-0000EA1D0000}"/>
    <cellStyle name="Normal 8 4 2 4 2 2" xfId="7841" xr:uid="{00000000-0005-0000-0000-0000EB1D0000}"/>
    <cellStyle name="Normal 8 4 2 4 2 2 2" xfId="24713" xr:uid="{112E2FC4-C966-4F6D-86E6-ACD1CC24AEA6}"/>
    <cellStyle name="Normal 8 4 2 4 2 2 3" xfId="16279" xr:uid="{E74FEA17-4F5E-45B7-8732-00E9E87B2AA7}"/>
    <cellStyle name="Normal 8 4 2 4 2 3" xfId="20496" xr:uid="{80B37357-DCD9-43A4-A0C0-160D430E9BFC}"/>
    <cellStyle name="Normal 8 4 2 4 2 4" xfId="12062" xr:uid="{FDAEC258-D087-4889-98E3-5849B7B0B860}"/>
    <cellStyle name="Normal 8 4 2 4 3" xfId="5696" xr:uid="{00000000-0005-0000-0000-0000EC1D0000}"/>
    <cellStyle name="Normal 8 4 2 4 3 2" xfId="22568" xr:uid="{6E677E00-206E-468B-B3CA-DE592B2DBE93}"/>
    <cellStyle name="Normal 8 4 2 4 3 3" xfId="14134" xr:uid="{4673F0DF-32EB-441E-B842-F23000CAAE2E}"/>
    <cellStyle name="Normal 8 4 2 4 4" xfId="18351" xr:uid="{4E100934-64DB-4641-BD7A-B64994092014}"/>
    <cellStyle name="Normal 8 4 2 4 5" xfId="9917" xr:uid="{C59F4A2B-63FA-4FAD-A8B2-171D025DF4D0}"/>
    <cellStyle name="Normal 8 4 2 5" xfId="1801" xr:uid="{00000000-0005-0000-0000-0000ED1D0000}"/>
    <cellStyle name="Normal 8 4 2 5 2" xfId="4031" xr:uid="{00000000-0005-0000-0000-0000EE1D0000}"/>
    <cellStyle name="Normal 8 4 2 5 2 2" xfId="8254" xr:uid="{00000000-0005-0000-0000-0000EF1D0000}"/>
    <cellStyle name="Normal 8 4 2 5 2 2 2" xfId="25126" xr:uid="{34DC0C01-1E26-4310-B363-76038DBA3DCE}"/>
    <cellStyle name="Normal 8 4 2 5 2 2 3" xfId="16692" xr:uid="{B76DD347-AAE6-4F28-BE82-0D375A18CA63}"/>
    <cellStyle name="Normal 8 4 2 5 2 3" xfId="20909" xr:uid="{068E3C0F-3FB0-40E7-9276-B41472B43A9E}"/>
    <cellStyle name="Normal 8 4 2 5 2 4" xfId="12475" xr:uid="{D9253004-33C1-4E29-99B1-DAE80DD30F04}"/>
    <cellStyle name="Normal 8 4 2 5 3" xfId="6109" xr:uid="{00000000-0005-0000-0000-0000F01D0000}"/>
    <cellStyle name="Normal 8 4 2 5 3 2" xfId="22981" xr:uid="{7F630B08-265B-4594-8A8A-95B4DD00BE23}"/>
    <cellStyle name="Normal 8 4 2 5 3 3" xfId="14547" xr:uid="{1B75C514-FF8A-46CD-BCF2-B8504F579C95}"/>
    <cellStyle name="Normal 8 4 2 5 4" xfId="18764" xr:uid="{AFE7B807-F1B1-4F53-84D0-F5BA37078B3F}"/>
    <cellStyle name="Normal 8 4 2 5 5" xfId="10330" xr:uid="{3D931FC9-6BA9-4A34-B7C4-B4481657F31D}"/>
    <cellStyle name="Normal 8 4 2 6" xfId="2215" xr:uid="{00000000-0005-0000-0000-0000F11D0000}"/>
    <cellStyle name="Normal 8 4 2 6 2" xfId="4444" xr:uid="{00000000-0005-0000-0000-0000F21D0000}"/>
    <cellStyle name="Normal 8 4 2 6 2 2" xfId="8667" xr:uid="{00000000-0005-0000-0000-0000F31D0000}"/>
    <cellStyle name="Normal 8 4 2 6 2 2 2" xfId="25539" xr:uid="{6B93FD5B-E0B9-453D-8EC0-64974B2BE1BD}"/>
    <cellStyle name="Normal 8 4 2 6 2 2 3" xfId="17105" xr:uid="{0EE954B1-CBAF-4674-A2FD-F55D2EFC74C9}"/>
    <cellStyle name="Normal 8 4 2 6 2 3" xfId="21322" xr:uid="{22A43056-E472-42FA-9ADA-F99C30D4633C}"/>
    <cellStyle name="Normal 8 4 2 6 2 4" xfId="12888" xr:uid="{A1E4C593-85C6-461A-A059-BE988158C567}"/>
    <cellStyle name="Normal 8 4 2 6 3" xfId="6522" xr:uid="{00000000-0005-0000-0000-0000F41D0000}"/>
    <cellStyle name="Normal 8 4 2 6 3 2" xfId="23394" xr:uid="{ABCCAF3F-0D20-4050-9CBA-295A1C78D25B}"/>
    <cellStyle name="Normal 8 4 2 6 3 3" xfId="14960" xr:uid="{61B231CB-AED0-4B7F-B19F-B5B4B43811A4}"/>
    <cellStyle name="Normal 8 4 2 6 4" xfId="19177" xr:uid="{7E60DD20-0038-43CE-8118-B05E5D320F62}"/>
    <cellStyle name="Normal 8 4 2 6 5" xfId="10743" xr:uid="{36E2370A-92D0-4F03-ABCA-F50A508FEB4E}"/>
    <cellStyle name="Normal 8 4 2 7" xfId="2651" xr:uid="{00000000-0005-0000-0000-0000F51D0000}"/>
    <cellStyle name="Normal 8 4 2 7 2" xfId="6935" xr:uid="{00000000-0005-0000-0000-0000F61D0000}"/>
    <cellStyle name="Normal 8 4 2 7 2 2" xfId="23807" xr:uid="{43F0742A-6F91-4FE0-913F-0F1F90469CC5}"/>
    <cellStyle name="Normal 8 4 2 7 2 3" xfId="15373" xr:uid="{C3739E87-2473-45EA-9B6D-215A1820DB48}"/>
    <cellStyle name="Normal 8 4 2 7 3" xfId="19590" xr:uid="{1E6B19DA-268A-4A2F-B97F-6D4F33B52603}"/>
    <cellStyle name="Normal 8 4 2 7 4" xfId="11156" xr:uid="{F8616DEE-80B2-4095-B0E9-A61D80353C05}"/>
    <cellStyle name="Normal 8 4 2 8" xfId="4870" xr:uid="{00000000-0005-0000-0000-0000F71D0000}"/>
    <cellStyle name="Normal 8 4 2 8 2" xfId="21742" xr:uid="{F9C208FA-69C8-4A16-9BEE-41B5462AC288}"/>
    <cellStyle name="Normal 8 4 2 8 3" xfId="13308" xr:uid="{AAFFD166-C261-42EC-A767-4FBFC3458383}"/>
    <cellStyle name="Normal 8 4 2 9" xfId="17525" xr:uid="{064B07B1-5B5B-44B2-BF92-958A4D78F5CA}"/>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24302" xr:uid="{B845208E-903F-4CD5-8249-5BFEDFA957F2}"/>
    <cellStyle name="Normal 8 4 3 2 2 2 3" xfId="15868" xr:uid="{34F27790-63D8-4C9A-954A-95791C37EAA5}"/>
    <cellStyle name="Normal 8 4 3 2 2 3" xfId="20085" xr:uid="{B675ABE8-A9CD-4C2A-88B7-523BE9113A76}"/>
    <cellStyle name="Normal 8 4 3 2 2 4" xfId="11651" xr:uid="{4F39AF3F-8C7A-40E8-82CD-03325DA7ABB6}"/>
    <cellStyle name="Normal 8 4 3 2 3" xfId="5285" xr:uid="{00000000-0005-0000-0000-0000FC1D0000}"/>
    <cellStyle name="Normal 8 4 3 2 3 2" xfId="22157" xr:uid="{16112D9D-8D88-4169-8A75-9FABAD3A13EC}"/>
    <cellStyle name="Normal 8 4 3 2 3 3" xfId="13723" xr:uid="{FC9D95F5-69AE-44E0-8DFB-7B050B8E066D}"/>
    <cellStyle name="Normal 8 4 3 2 4" xfId="17940" xr:uid="{6DB2A77E-19D5-417A-B6CB-900FF1106E82}"/>
    <cellStyle name="Normal 8 4 3 2 5" xfId="9506" xr:uid="{9DD33786-E626-4B38-90C9-3D8CE2D41B3E}"/>
    <cellStyle name="Normal 8 4 3 3" xfId="1390" xr:uid="{00000000-0005-0000-0000-0000FD1D0000}"/>
    <cellStyle name="Normal 8 4 3 3 2" xfId="3620" xr:uid="{00000000-0005-0000-0000-0000FE1D0000}"/>
    <cellStyle name="Normal 8 4 3 3 2 2" xfId="7843" xr:uid="{00000000-0005-0000-0000-0000FF1D0000}"/>
    <cellStyle name="Normal 8 4 3 3 2 2 2" xfId="24715" xr:uid="{1693E5B7-D855-4766-BC40-D511818123A5}"/>
    <cellStyle name="Normal 8 4 3 3 2 2 3" xfId="16281" xr:uid="{BEA27529-FC95-4830-BC65-993E5B86C6D9}"/>
    <cellStyle name="Normal 8 4 3 3 2 3" xfId="20498" xr:uid="{23B3C465-AE18-4A40-8B1C-BC916B33EE51}"/>
    <cellStyle name="Normal 8 4 3 3 2 4" xfId="12064" xr:uid="{B1A06B76-BDE2-434F-A18D-BE21AC987945}"/>
    <cellStyle name="Normal 8 4 3 3 3" xfId="5698" xr:uid="{00000000-0005-0000-0000-0000001E0000}"/>
    <cellStyle name="Normal 8 4 3 3 3 2" xfId="22570" xr:uid="{0CB5A667-5ED2-48CD-95C4-2490B0173072}"/>
    <cellStyle name="Normal 8 4 3 3 3 3" xfId="14136" xr:uid="{8CBB9750-DCFD-47A0-8026-C8FBED54E214}"/>
    <cellStyle name="Normal 8 4 3 3 4" xfId="18353" xr:uid="{0317D6C9-9F6D-4EF6-AA29-615E4315C010}"/>
    <cellStyle name="Normal 8 4 3 3 5" xfId="9919" xr:uid="{8A007B0F-9A83-4E55-A4E7-487567EEE401}"/>
    <cellStyle name="Normal 8 4 3 4" xfId="1803" xr:uid="{00000000-0005-0000-0000-0000011E0000}"/>
    <cellStyle name="Normal 8 4 3 4 2" xfId="4033" xr:uid="{00000000-0005-0000-0000-0000021E0000}"/>
    <cellStyle name="Normal 8 4 3 4 2 2" xfId="8256" xr:uid="{00000000-0005-0000-0000-0000031E0000}"/>
    <cellStyle name="Normal 8 4 3 4 2 2 2" xfId="25128" xr:uid="{2487B218-2C9A-4549-9626-5068577F3876}"/>
    <cellStyle name="Normal 8 4 3 4 2 2 3" xfId="16694" xr:uid="{B48FA1BB-2501-474A-8697-7CB4204BB151}"/>
    <cellStyle name="Normal 8 4 3 4 2 3" xfId="20911" xr:uid="{F64085F9-83AC-408D-BE20-6DD829273391}"/>
    <cellStyle name="Normal 8 4 3 4 2 4" xfId="12477" xr:uid="{B2B43D69-B031-482D-8118-64E85E3109BA}"/>
    <cellStyle name="Normal 8 4 3 4 3" xfId="6111" xr:uid="{00000000-0005-0000-0000-0000041E0000}"/>
    <cellStyle name="Normal 8 4 3 4 3 2" xfId="22983" xr:uid="{A978F21C-0E61-4DB1-B110-5F7BD9E80568}"/>
    <cellStyle name="Normal 8 4 3 4 3 3" xfId="14549" xr:uid="{4916C322-647D-4521-B9AF-D1048F8A55E4}"/>
    <cellStyle name="Normal 8 4 3 4 4" xfId="18766" xr:uid="{BC9A1C95-411D-4A2C-B767-D3B84428DED9}"/>
    <cellStyle name="Normal 8 4 3 4 5" xfId="10332" xr:uid="{83CF1519-CF03-45E7-80B9-73DF1AE7644F}"/>
    <cellStyle name="Normal 8 4 3 5" xfId="2217" xr:uid="{00000000-0005-0000-0000-0000051E0000}"/>
    <cellStyle name="Normal 8 4 3 5 2" xfId="4446" xr:uid="{00000000-0005-0000-0000-0000061E0000}"/>
    <cellStyle name="Normal 8 4 3 5 2 2" xfId="8669" xr:uid="{00000000-0005-0000-0000-0000071E0000}"/>
    <cellStyle name="Normal 8 4 3 5 2 2 2" xfId="25541" xr:uid="{15561CD5-1FC0-4830-8E20-DA91AC697920}"/>
    <cellStyle name="Normal 8 4 3 5 2 2 3" xfId="17107" xr:uid="{B9E147BD-917F-488A-9494-3E6BBC718F14}"/>
    <cellStyle name="Normal 8 4 3 5 2 3" xfId="21324" xr:uid="{B673B2EE-67AF-49F1-912E-39F01005834C}"/>
    <cellStyle name="Normal 8 4 3 5 2 4" xfId="12890" xr:uid="{458B2B80-ACC4-435A-B6BD-821B38BF27E4}"/>
    <cellStyle name="Normal 8 4 3 5 3" xfId="6524" xr:uid="{00000000-0005-0000-0000-0000081E0000}"/>
    <cellStyle name="Normal 8 4 3 5 3 2" xfId="23396" xr:uid="{13DB41F5-837A-469C-B238-939C82DF47EB}"/>
    <cellStyle name="Normal 8 4 3 5 3 3" xfId="14962" xr:uid="{08B18A42-3D4E-4513-9E97-15162C603D29}"/>
    <cellStyle name="Normal 8 4 3 5 4" xfId="19179" xr:uid="{D510BCC0-62AD-4617-BFB0-64BCC9ACF4B1}"/>
    <cellStyle name="Normal 8 4 3 5 5" xfId="10745" xr:uid="{AF56280F-19E1-4594-8884-9386BCE58956}"/>
    <cellStyle name="Normal 8 4 3 6" xfId="2653" xr:uid="{00000000-0005-0000-0000-0000091E0000}"/>
    <cellStyle name="Normal 8 4 3 6 2" xfId="6937" xr:uid="{00000000-0005-0000-0000-00000A1E0000}"/>
    <cellStyle name="Normal 8 4 3 6 2 2" xfId="23809" xr:uid="{2A4EDCEB-F22D-40F0-8647-C59049080D11}"/>
    <cellStyle name="Normal 8 4 3 6 2 3" xfId="15375" xr:uid="{2752AD30-2E5A-4B4B-BFCD-AB111C841302}"/>
    <cellStyle name="Normal 8 4 3 6 3" xfId="19592" xr:uid="{759D5417-A872-45C7-AB3C-AD62EE27EBA9}"/>
    <cellStyle name="Normal 8 4 3 6 4" xfId="11158" xr:uid="{1E6EFEEF-4E60-4F27-B818-211AE8689BDD}"/>
    <cellStyle name="Normal 8 4 3 7" xfId="4872" xr:uid="{00000000-0005-0000-0000-00000B1E0000}"/>
    <cellStyle name="Normal 8 4 3 7 2" xfId="21744" xr:uid="{994C30FB-B400-44F0-99B8-F00CE101805D}"/>
    <cellStyle name="Normal 8 4 3 7 3" xfId="13310" xr:uid="{B5610747-0F94-4ED7-8BE9-50B75E11CA45}"/>
    <cellStyle name="Normal 8 4 3 8" xfId="17527" xr:uid="{AAED8C4D-F9D3-423F-A02D-879B90E396A7}"/>
    <cellStyle name="Normal 8 4 3 9" xfId="9093" xr:uid="{B52C5F22-4875-4121-9EDA-F35B3129469C}"/>
    <cellStyle name="Normal 8 4 4" xfId="970" xr:uid="{00000000-0005-0000-0000-00000C1E0000}"/>
    <cellStyle name="Normal 8 4 4 2" xfId="3204" xr:uid="{00000000-0005-0000-0000-00000D1E0000}"/>
    <cellStyle name="Normal 8 4 4 2 2" xfId="7427" xr:uid="{00000000-0005-0000-0000-00000E1E0000}"/>
    <cellStyle name="Normal 8 4 4 2 2 2" xfId="24299" xr:uid="{8D91C1D5-7A4C-4E8D-A936-C29354B86943}"/>
    <cellStyle name="Normal 8 4 4 2 2 3" xfId="15865" xr:uid="{BAA86D54-4B38-4B04-A2B8-FA351640BDC3}"/>
    <cellStyle name="Normal 8 4 4 2 3" xfId="20082" xr:uid="{00501095-EF36-4F02-AEF2-6662A4161FF0}"/>
    <cellStyle name="Normal 8 4 4 2 4" xfId="11648" xr:uid="{2C2D0CB4-C799-4288-8034-07553913694B}"/>
    <cellStyle name="Normal 8 4 4 3" xfId="5282" xr:uid="{00000000-0005-0000-0000-00000F1E0000}"/>
    <cellStyle name="Normal 8 4 4 3 2" xfId="22154" xr:uid="{80963278-AE31-42C6-A2F0-D7D0F39535B2}"/>
    <cellStyle name="Normal 8 4 4 3 3" xfId="13720" xr:uid="{1D5C8503-4DF2-4CFA-8133-D07228AC282F}"/>
    <cellStyle name="Normal 8 4 4 4" xfId="17937" xr:uid="{34D02BA1-76FC-4FCA-BC3F-8FE3CA4636B7}"/>
    <cellStyle name="Normal 8 4 4 5" xfId="9503" xr:uid="{F13866EC-2CC1-4F54-87A5-0AE30ED34090}"/>
    <cellStyle name="Normal 8 4 5" xfId="1387" xr:uid="{00000000-0005-0000-0000-0000101E0000}"/>
    <cellStyle name="Normal 8 4 5 2" xfId="3617" xr:uid="{00000000-0005-0000-0000-0000111E0000}"/>
    <cellStyle name="Normal 8 4 5 2 2" xfId="7840" xr:uid="{00000000-0005-0000-0000-0000121E0000}"/>
    <cellStyle name="Normal 8 4 5 2 2 2" xfId="24712" xr:uid="{216BCEEA-77DB-4762-A718-60B8408917D5}"/>
    <cellStyle name="Normal 8 4 5 2 2 3" xfId="16278" xr:uid="{833649EA-BD05-40B8-A05C-2134DD1E303F}"/>
    <cellStyle name="Normal 8 4 5 2 3" xfId="20495" xr:uid="{CC4B6DA0-65CD-4838-882D-A0E98C05434E}"/>
    <cellStyle name="Normal 8 4 5 2 4" xfId="12061" xr:uid="{1FE64AF6-B721-4C2F-B419-818673BD3E82}"/>
    <cellStyle name="Normal 8 4 5 3" xfId="5695" xr:uid="{00000000-0005-0000-0000-0000131E0000}"/>
    <cellStyle name="Normal 8 4 5 3 2" xfId="22567" xr:uid="{6BBFF326-8BC8-4603-B103-68ED83228E7D}"/>
    <cellStyle name="Normal 8 4 5 3 3" xfId="14133" xr:uid="{20790A73-2A5A-406D-8D6C-A1A2965AD785}"/>
    <cellStyle name="Normal 8 4 5 4" xfId="18350" xr:uid="{4337AF8D-94BB-47F5-AC47-5769543CE6C8}"/>
    <cellStyle name="Normal 8 4 5 5" xfId="9916" xr:uid="{B4DCA208-EF11-4BC1-B026-A2DE279B0A31}"/>
    <cellStyle name="Normal 8 4 6" xfId="1800" xr:uid="{00000000-0005-0000-0000-0000141E0000}"/>
    <cellStyle name="Normal 8 4 6 2" xfId="4030" xr:uid="{00000000-0005-0000-0000-0000151E0000}"/>
    <cellStyle name="Normal 8 4 6 2 2" xfId="8253" xr:uid="{00000000-0005-0000-0000-0000161E0000}"/>
    <cellStyle name="Normal 8 4 6 2 2 2" xfId="25125" xr:uid="{91FA9FBA-ACF3-496C-89CD-6760ED12D95B}"/>
    <cellStyle name="Normal 8 4 6 2 2 3" xfId="16691" xr:uid="{7A55C796-1859-462B-B7DA-ED5A07903739}"/>
    <cellStyle name="Normal 8 4 6 2 3" xfId="20908" xr:uid="{59FE88A1-F949-40D7-9BA6-68EAA8F22878}"/>
    <cellStyle name="Normal 8 4 6 2 4" xfId="12474" xr:uid="{47314ECA-B114-4D69-B8F0-3F69E65A8D08}"/>
    <cellStyle name="Normal 8 4 6 3" xfId="6108" xr:uid="{00000000-0005-0000-0000-0000171E0000}"/>
    <cellStyle name="Normal 8 4 6 3 2" xfId="22980" xr:uid="{16C96052-1C56-454D-964A-EDD87D4E413B}"/>
    <cellStyle name="Normal 8 4 6 3 3" xfId="14546" xr:uid="{5AA3D041-D5ED-4564-9937-6BA6C4BD6977}"/>
    <cellStyle name="Normal 8 4 6 4" xfId="18763" xr:uid="{7B3830B5-9428-4296-95A0-9A63D829989E}"/>
    <cellStyle name="Normal 8 4 6 5" xfId="10329" xr:uid="{0DA6FC19-FDFD-4C81-9841-142897C72FC6}"/>
    <cellStyle name="Normal 8 4 7" xfId="2214" xr:uid="{00000000-0005-0000-0000-0000181E0000}"/>
    <cellStyle name="Normal 8 4 7 2" xfId="4443" xr:uid="{00000000-0005-0000-0000-0000191E0000}"/>
    <cellStyle name="Normal 8 4 7 2 2" xfId="8666" xr:uid="{00000000-0005-0000-0000-00001A1E0000}"/>
    <cellStyle name="Normal 8 4 7 2 2 2" xfId="25538" xr:uid="{C2D38E8F-3CFB-4EA7-9F10-3A8AE0E3DF0A}"/>
    <cellStyle name="Normal 8 4 7 2 2 3" xfId="17104" xr:uid="{515E9DBE-B7A4-45EA-BD69-D4175E2F8A58}"/>
    <cellStyle name="Normal 8 4 7 2 3" xfId="21321" xr:uid="{69E80E77-BDE3-4B6A-9F72-25792C26E3FD}"/>
    <cellStyle name="Normal 8 4 7 2 4" xfId="12887" xr:uid="{A9471B77-F71B-4993-BC47-578D72705976}"/>
    <cellStyle name="Normal 8 4 7 3" xfId="6521" xr:uid="{00000000-0005-0000-0000-00001B1E0000}"/>
    <cellStyle name="Normal 8 4 7 3 2" xfId="23393" xr:uid="{D159E73C-5807-4820-8EAD-95E1F31CDF89}"/>
    <cellStyle name="Normal 8 4 7 3 3" xfId="14959" xr:uid="{889C25F1-D9EF-4EE9-B0DA-8893EA677507}"/>
    <cellStyle name="Normal 8 4 7 4" xfId="19176" xr:uid="{91B8CAD0-1758-4B9B-AF2B-07014A076815}"/>
    <cellStyle name="Normal 8 4 7 5" xfId="10742" xr:uid="{35B804D2-BB77-49F0-8FE9-013BB934C3CF}"/>
    <cellStyle name="Normal 8 4 8" xfId="2650" xr:uid="{00000000-0005-0000-0000-00001C1E0000}"/>
    <cellStyle name="Normal 8 4 8 2" xfId="6934" xr:uid="{00000000-0005-0000-0000-00001D1E0000}"/>
    <cellStyle name="Normal 8 4 8 2 2" xfId="23806" xr:uid="{E95690E9-4E12-44E6-946C-2D4B5375E3EC}"/>
    <cellStyle name="Normal 8 4 8 2 3" xfId="15372" xr:uid="{0FFA6EFA-6AB0-468A-B431-120A8BE02875}"/>
    <cellStyle name="Normal 8 4 8 3" xfId="19589" xr:uid="{E66EDD63-D812-4887-B0B6-F7104A1E481D}"/>
    <cellStyle name="Normal 8 4 8 4" xfId="11155" xr:uid="{34CF71D4-C3EB-422C-AC55-164D375CE28B}"/>
    <cellStyle name="Normal 8 4 9" xfId="4869" xr:uid="{00000000-0005-0000-0000-00001E1E0000}"/>
    <cellStyle name="Normal 8 4 9 2" xfId="21741" xr:uid="{83FCA54D-1711-453D-AA79-3B126D8B240B}"/>
    <cellStyle name="Normal 8 4 9 3" xfId="13307" xr:uid="{7B8603E8-441A-4C37-8B26-9CEC6FEE5DB6}"/>
    <cellStyle name="Normal 8 5" xfId="507" xr:uid="{00000000-0005-0000-0000-00001F1E0000}"/>
    <cellStyle name="Normal 8 5 10" xfId="9094" xr:uid="{A18DB8E3-0320-4915-BE7E-9A121830986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24304" xr:uid="{7093240A-4D65-4BF7-8B5F-F0C05AC0EDFE}"/>
    <cellStyle name="Normal 8 5 2 2 2 2 3" xfId="15870" xr:uid="{F570E093-E37C-41C4-AEB3-B5C13FDC8944}"/>
    <cellStyle name="Normal 8 5 2 2 2 3" xfId="20087" xr:uid="{0BE39181-0BF6-428A-9AE1-7C5BEB03DDA3}"/>
    <cellStyle name="Normal 8 5 2 2 2 4" xfId="11653" xr:uid="{5B67BD67-B49C-4F70-A741-F04AFFEB7EA4}"/>
    <cellStyle name="Normal 8 5 2 2 3" xfId="5287" xr:uid="{00000000-0005-0000-0000-0000241E0000}"/>
    <cellStyle name="Normal 8 5 2 2 3 2" xfId="22159" xr:uid="{AB5FA37C-A9F6-47DD-89E6-D632C15A564C}"/>
    <cellStyle name="Normal 8 5 2 2 3 3" xfId="13725" xr:uid="{EB382747-0E1C-4EDA-B29D-7E6555B14206}"/>
    <cellStyle name="Normal 8 5 2 2 4" xfId="17942" xr:uid="{20095D64-E9CC-4E13-BDEE-20872612064E}"/>
    <cellStyle name="Normal 8 5 2 2 5" xfId="9508" xr:uid="{7D8196C9-4B39-4DA4-82D2-4CBD84B1FE37}"/>
    <cellStyle name="Normal 8 5 2 3" xfId="1392" xr:uid="{00000000-0005-0000-0000-0000251E0000}"/>
    <cellStyle name="Normal 8 5 2 3 2" xfId="3622" xr:uid="{00000000-0005-0000-0000-0000261E0000}"/>
    <cellStyle name="Normal 8 5 2 3 2 2" xfId="7845" xr:uid="{00000000-0005-0000-0000-0000271E0000}"/>
    <cellStyle name="Normal 8 5 2 3 2 2 2" xfId="24717" xr:uid="{55AADC70-B95C-43A0-8488-299C8E9AFA9C}"/>
    <cellStyle name="Normal 8 5 2 3 2 2 3" xfId="16283" xr:uid="{54BB2425-BCFF-40DF-99C2-DECE0F6EAE0C}"/>
    <cellStyle name="Normal 8 5 2 3 2 3" xfId="20500" xr:uid="{B14E9D39-6584-4C85-9FB5-569745788EA6}"/>
    <cellStyle name="Normal 8 5 2 3 2 4" xfId="12066" xr:uid="{E3B57C0D-26FC-4BE3-BA58-D84231648B62}"/>
    <cellStyle name="Normal 8 5 2 3 3" xfId="5700" xr:uid="{00000000-0005-0000-0000-0000281E0000}"/>
    <cellStyle name="Normal 8 5 2 3 3 2" xfId="22572" xr:uid="{6220966B-8910-411D-B23C-AED92890C21D}"/>
    <cellStyle name="Normal 8 5 2 3 3 3" xfId="14138" xr:uid="{74C61D41-0052-4BE7-AD86-6990D15C60AA}"/>
    <cellStyle name="Normal 8 5 2 3 4" xfId="18355" xr:uid="{104A0CDD-1EBE-4523-9B9C-4F726F99C4AE}"/>
    <cellStyle name="Normal 8 5 2 3 5" xfId="9921" xr:uid="{D30F6228-E351-4EBA-AB7C-42EDA5E9F096}"/>
    <cellStyle name="Normal 8 5 2 4" xfId="1805" xr:uid="{00000000-0005-0000-0000-0000291E0000}"/>
    <cellStyle name="Normal 8 5 2 4 2" xfId="4035" xr:uid="{00000000-0005-0000-0000-00002A1E0000}"/>
    <cellStyle name="Normal 8 5 2 4 2 2" xfId="8258" xr:uid="{00000000-0005-0000-0000-00002B1E0000}"/>
    <cellStyle name="Normal 8 5 2 4 2 2 2" xfId="25130" xr:uid="{CE2F679C-288B-4727-ACC1-D8BA11F763D0}"/>
    <cellStyle name="Normal 8 5 2 4 2 2 3" xfId="16696" xr:uid="{4DBBA281-42AC-470A-8D9E-8F9BC14E7F58}"/>
    <cellStyle name="Normal 8 5 2 4 2 3" xfId="20913" xr:uid="{5457839D-363E-4CCF-97A1-3813A2827A9A}"/>
    <cellStyle name="Normal 8 5 2 4 2 4" xfId="12479" xr:uid="{8497DE9E-2F87-4F29-9B52-0141724BED69}"/>
    <cellStyle name="Normal 8 5 2 4 3" xfId="6113" xr:uid="{00000000-0005-0000-0000-00002C1E0000}"/>
    <cellStyle name="Normal 8 5 2 4 3 2" xfId="22985" xr:uid="{CA059A9E-FB03-4E02-92BC-568FD8077C80}"/>
    <cellStyle name="Normal 8 5 2 4 3 3" xfId="14551" xr:uid="{D81020F3-1C6D-4566-A68C-18A7145DE73D}"/>
    <cellStyle name="Normal 8 5 2 4 4" xfId="18768" xr:uid="{8B77F83F-FAE7-4BE2-948E-62D1545A5793}"/>
    <cellStyle name="Normal 8 5 2 4 5" xfId="10334" xr:uid="{AD70CC5F-9BCA-4404-8CAD-82F147EC5454}"/>
    <cellStyle name="Normal 8 5 2 5" xfId="2219" xr:uid="{00000000-0005-0000-0000-00002D1E0000}"/>
    <cellStyle name="Normal 8 5 2 5 2" xfId="4448" xr:uid="{00000000-0005-0000-0000-00002E1E0000}"/>
    <cellStyle name="Normal 8 5 2 5 2 2" xfId="8671" xr:uid="{00000000-0005-0000-0000-00002F1E0000}"/>
    <cellStyle name="Normal 8 5 2 5 2 2 2" xfId="25543" xr:uid="{75BEC25A-B2D6-4E38-979E-9DBB938CE810}"/>
    <cellStyle name="Normal 8 5 2 5 2 2 3" xfId="17109" xr:uid="{B09645AF-DB93-4AC3-BF3D-7A68BCFBBE66}"/>
    <cellStyle name="Normal 8 5 2 5 2 3" xfId="21326" xr:uid="{AB6CEA8F-FF23-4A26-8B17-A1F03EF11F40}"/>
    <cellStyle name="Normal 8 5 2 5 2 4" xfId="12892" xr:uid="{1ED9C6E8-DC8F-4EDD-9BA9-CA0044BFB59F}"/>
    <cellStyle name="Normal 8 5 2 5 3" xfId="6526" xr:uid="{00000000-0005-0000-0000-0000301E0000}"/>
    <cellStyle name="Normal 8 5 2 5 3 2" xfId="23398" xr:uid="{A16A4388-47F7-4D52-B500-D0B0180137BD}"/>
    <cellStyle name="Normal 8 5 2 5 3 3" xfId="14964" xr:uid="{53E719E4-5A03-4E39-BBC0-A7163E91A2B2}"/>
    <cellStyle name="Normal 8 5 2 5 4" xfId="19181" xr:uid="{FDE70C90-DCD9-473E-ABDF-47411B003D75}"/>
    <cellStyle name="Normal 8 5 2 5 5" xfId="10747" xr:uid="{72580FF1-44FF-499F-AB3A-595A1B1E5F71}"/>
    <cellStyle name="Normal 8 5 2 6" xfId="2655" xr:uid="{00000000-0005-0000-0000-0000311E0000}"/>
    <cellStyle name="Normal 8 5 2 6 2" xfId="6939" xr:uid="{00000000-0005-0000-0000-0000321E0000}"/>
    <cellStyle name="Normal 8 5 2 6 2 2" xfId="23811" xr:uid="{A22C4209-A321-4B6F-865F-BB60D26D5728}"/>
    <cellStyle name="Normal 8 5 2 6 2 3" xfId="15377" xr:uid="{39EB9093-0017-4A71-B4E8-7DC45403FB81}"/>
    <cellStyle name="Normal 8 5 2 6 3" xfId="19594" xr:uid="{AEE83FBF-5BB2-4A13-8F84-004DC48A3847}"/>
    <cellStyle name="Normal 8 5 2 6 4" xfId="11160" xr:uid="{24EB837F-938D-4566-B25A-ED8B7A6ED57E}"/>
    <cellStyle name="Normal 8 5 2 7" xfId="4874" xr:uid="{00000000-0005-0000-0000-0000331E0000}"/>
    <cellStyle name="Normal 8 5 2 7 2" xfId="21746" xr:uid="{717574F5-2D45-47FC-8EF2-923C47B7E0F2}"/>
    <cellStyle name="Normal 8 5 2 7 3" xfId="13312" xr:uid="{66D73969-6D49-46E9-A977-06748BDEF6B2}"/>
    <cellStyle name="Normal 8 5 2 8" xfId="17529" xr:uid="{3450C2D4-5205-4977-8B2A-0E92392086B3}"/>
    <cellStyle name="Normal 8 5 2 9" xfId="9095" xr:uid="{458BF6AC-80CC-4BCF-85CE-26D3D3C556F7}"/>
    <cellStyle name="Normal 8 5 3" xfId="974" xr:uid="{00000000-0005-0000-0000-0000341E0000}"/>
    <cellStyle name="Normal 8 5 3 2" xfId="3208" xr:uid="{00000000-0005-0000-0000-0000351E0000}"/>
    <cellStyle name="Normal 8 5 3 2 2" xfId="7431" xr:uid="{00000000-0005-0000-0000-0000361E0000}"/>
    <cellStyle name="Normal 8 5 3 2 2 2" xfId="24303" xr:uid="{8E625B93-00AD-47B8-8D30-D14D2E30CB31}"/>
    <cellStyle name="Normal 8 5 3 2 2 3" xfId="15869" xr:uid="{5527A910-82A8-48A8-9FF5-BD9E2B88140A}"/>
    <cellStyle name="Normal 8 5 3 2 3" xfId="20086" xr:uid="{A27BDF8A-AF1F-4583-A9E2-D080D845E566}"/>
    <cellStyle name="Normal 8 5 3 2 4" xfId="11652" xr:uid="{E07F676C-286B-42AB-91D5-6A007200FA19}"/>
    <cellStyle name="Normal 8 5 3 3" xfId="5286" xr:uid="{00000000-0005-0000-0000-0000371E0000}"/>
    <cellStyle name="Normal 8 5 3 3 2" xfId="22158" xr:uid="{1E796EF6-FE52-4748-96A8-2568B72AD060}"/>
    <cellStyle name="Normal 8 5 3 3 3" xfId="13724" xr:uid="{2FD39912-70A2-45C5-9DBA-016A0AA0DF77}"/>
    <cellStyle name="Normal 8 5 3 4" xfId="17941" xr:uid="{FF9FFB2A-92D4-43D2-9C91-44BC0B9D9B82}"/>
    <cellStyle name="Normal 8 5 3 5" xfId="9507" xr:uid="{2AC2B081-C0B8-4E23-B34B-EA3D218586CB}"/>
    <cellStyle name="Normal 8 5 4" xfId="1391" xr:uid="{00000000-0005-0000-0000-0000381E0000}"/>
    <cellStyle name="Normal 8 5 4 2" xfId="3621" xr:uid="{00000000-0005-0000-0000-0000391E0000}"/>
    <cellStyle name="Normal 8 5 4 2 2" xfId="7844" xr:uid="{00000000-0005-0000-0000-00003A1E0000}"/>
    <cellStyle name="Normal 8 5 4 2 2 2" xfId="24716" xr:uid="{4A8B3C3B-36C9-4280-9FC4-D807EAEAC38A}"/>
    <cellStyle name="Normal 8 5 4 2 2 3" xfId="16282" xr:uid="{DE1EB6B0-B190-4F2C-A4A5-FB5000739F77}"/>
    <cellStyle name="Normal 8 5 4 2 3" xfId="20499" xr:uid="{FD8AA029-AAD7-461C-848E-2709159382EC}"/>
    <cellStyle name="Normal 8 5 4 2 4" xfId="12065" xr:uid="{FCB9741B-8396-4409-906A-F9A451F16065}"/>
    <cellStyle name="Normal 8 5 4 3" xfId="5699" xr:uid="{00000000-0005-0000-0000-00003B1E0000}"/>
    <cellStyle name="Normal 8 5 4 3 2" xfId="22571" xr:uid="{12DC0BB8-73E9-48E2-AAF2-95D74216703C}"/>
    <cellStyle name="Normal 8 5 4 3 3" xfId="14137" xr:uid="{6322C523-103C-442B-B7E7-2F1F7787D250}"/>
    <cellStyle name="Normal 8 5 4 4" xfId="18354" xr:uid="{E7DD86F4-0CBF-4718-ACD2-389BA59E954B}"/>
    <cellStyle name="Normal 8 5 4 5" xfId="9920" xr:uid="{599311C2-AB3E-4987-BA8C-B7FC229AF3BF}"/>
    <cellStyle name="Normal 8 5 5" xfId="1804" xr:uid="{00000000-0005-0000-0000-00003C1E0000}"/>
    <cellStyle name="Normal 8 5 5 2" xfId="4034" xr:uid="{00000000-0005-0000-0000-00003D1E0000}"/>
    <cellStyle name="Normal 8 5 5 2 2" xfId="8257" xr:uid="{00000000-0005-0000-0000-00003E1E0000}"/>
    <cellStyle name="Normal 8 5 5 2 2 2" xfId="25129" xr:uid="{02069674-5222-4C9B-A7BC-7D1A2FEB7804}"/>
    <cellStyle name="Normal 8 5 5 2 2 3" xfId="16695" xr:uid="{F8B799B4-D7BD-4B80-BDBA-94A5CA9BA63F}"/>
    <cellStyle name="Normal 8 5 5 2 3" xfId="20912" xr:uid="{1B52835F-8C05-4C98-93E2-DDEA327A41CF}"/>
    <cellStyle name="Normal 8 5 5 2 4" xfId="12478" xr:uid="{A8E06CED-6ED1-41DC-BE8C-9F16BDB86625}"/>
    <cellStyle name="Normal 8 5 5 3" xfId="6112" xr:uid="{00000000-0005-0000-0000-00003F1E0000}"/>
    <cellStyle name="Normal 8 5 5 3 2" xfId="22984" xr:uid="{AC8DEB12-9E74-4FC3-8E77-6329B4AB1E11}"/>
    <cellStyle name="Normal 8 5 5 3 3" xfId="14550" xr:uid="{7D52E8C8-B82D-4844-91FD-C8AEAAB62664}"/>
    <cellStyle name="Normal 8 5 5 4" xfId="18767" xr:uid="{1A969EC2-9A49-4F67-8D37-41761BB3CB99}"/>
    <cellStyle name="Normal 8 5 5 5" xfId="10333" xr:uid="{85E23B1C-DA70-4F03-8563-B869A476FBE9}"/>
    <cellStyle name="Normal 8 5 6" xfId="2218" xr:uid="{00000000-0005-0000-0000-0000401E0000}"/>
    <cellStyle name="Normal 8 5 6 2" xfId="4447" xr:uid="{00000000-0005-0000-0000-0000411E0000}"/>
    <cellStyle name="Normal 8 5 6 2 2" xfId="8670" xr:uid="{00000000-0005-0000-0000-0000421E0000}"/>
    <cellStyle name="Normal 8 5 6 2 2 2" xfId="25542" xr:uid="{CA9994F4-85A8-403A-9DE8-729D50F9A367}"/>
    <cellStyle name="Normal 8 5 6 2 2 3" xfId="17108" xr:uid="{77A285E8-00F8-49C1-B885-27CC8A6F1FD4}"/>
    <cellStyle name="Normal 8 5 6 2 3" xfId="21325" xr:uid="{8CE99AE7-7E1F-4E31-8566-212DBD90C759}"/>
    <cellStyle name="Normal 8 5 6 2 4" xfId="12891" xr:uid="{3B05E70E-7E7D-4464-B4C9-E6264D0CFC82}"/>
    <cellStyle name="Normal 8 5 6 3" xfId="6525" xr:uid="{00000000-0005-0000-0000-0000431E0000}"/>
    <cellStyle name="Normal 8 5 6 3 2" xfId="23397" xr:uid="{7D0A7A86-6816-4FFA-870C-5A7E19F84911}"/>
    <cellStyle name="Normal 8 5 6 3 3" xfId="14963" xr:uid="{9D3406F2-9E44-433A-ADDF-358F6EBCF10E}"/>
    <cellStyle name="Normal 8 5 6 4" xfId="19180" xr:uid="{A9340EE1-8E7C-4D28-92B3-2581848D2426}"/>
    <cellStyle name="Normal 8 5 6 5" xfId="10746" xr:uid="{58643DB2-3737-40A6-8036-BC83E658F9CC}"/>
    <cellStyle name="Normal 8 5 7" xfId="2654" xr:uid="{00000000-0005-0000-0000-0000441E0000}"/>
    <cellStyle name="Normal 8 5 7 2" xfId="6938" xr:uid="{00000000-0005-0000-0000-0000451E0000}"/>
    <cellStyle name="Normal 8 5 7 2 2" xfId="23810" xr:uid="{351911D9-3C91-4D2B-9566-AED48F36D85F}"/>
    <cellStyle name="Normal 8 5 7 2 3" xfId="15376" xr:uid="{4AAB6620-4B79-42D1-9746-BB349308DB74}"/>
    <cellStyle name="Normal 8 5 7 3" xfId="19593" xr:uid="{D708280C-C05B-4716-B3B5-279A0D1FE367}"/>
    <cellStyle name="Normal 8 5 7 4" xfId="11159" xr:uid="{A9998F69-60FF-482A-9751-93A5E2E12A55}"/>
    <cellStyle name="Normal 8 5 8" xfId="4873" xr:uid="{00000000-0005-0000-0000-0000461E0000}"/>
    <cellStyle name="Normal 8 5 8 2" xfId="21745" xr:uid="{167C70B4-A188-41DF-9900-E978955D3355}"/>
    <cellStyle name="Normal 8 5 8 3" xfId="13311" xr:uid="{474521BB-BEA7-4A0D-A371-05C13FD1CA12}"/>
    <cellStyle name="Normal 8 5 9" xfId="17528" xr:uid="{50B8BEB9-BC8F-4F0E-9E41-3AABFDA276B6}"/>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24305" xr:uid="{137E552D-8E96-4232-9BF7-255F35466905}"/>
    <cellStyle name="Normal 8 6 2 2 2 3" xfId="15871" xr:uid="{F81B17AC-2CD4-4481-9100-7B0D07A1AACC}"/>
    <cellStyle name="Normal 8 6 2 2 3" xfId="20088" xr:uid="{8A6A4DDB-2F76-46DA-B24A-31DA72B298AB}"/>
    <cellStyle name="Normal 8 6 2 2 4" xfId="11654" xr:uid="{D0C5D602-A35A-4AB6-97DB-DB28A6B6575B}"/>
    <cellStyle name="Normal 8 6 2 3" xfId="5288" xr:uid="{00000000-0005-0000-0000-00004B1E0000}"/>
    <cellStyle name="Normal 8 6 2 3 2" xfId="22160" xr:uid="{7F4D47CF-EFC0-4870-8DD5-9844F9F80E15}"/>
    <cellStyle name="Normal 8 6 2 3 3" xfId="13726" xr:uid="{ACD28E80-9F67-490B-8737-7B0DAE2C24DB}"/>
    <cellStyle name="Normal 8 6 2 4" xfId="17943" xr:uid="{EEAAE354-7243-4DFE-8ECB-DF763B350010}"/>
    <cellStyle name="Normal 8 6 2 5" xfId="9509" xr:uid="{2A3AC10A-AAC7-44AD-896E-291B88EC9FF6}"/>
    <cellStyle name="Normal 8 6 3" xfId="1393" xr:uid="{00000000-0005-0000-0000-00004C1E0000}"/>
    <cellStyle name="Normal 8 6 3 2" xfId="3623" xr:uid="{00000000-0005-0000-0000-00004D1E0000}"/>
    <cellStyle name="Normal 8 6 3 2 2" xfId="7846" xr:uid="{00000000-0005-0000-0000-00004E1E0000}"/>
    <cellStyle name="Normal 8 6 3 2 2 2" xfId="24718" xr:uid="{30425499-5FE7-4BF4-8C02-F1B29FEFC1E2}"/>
    <cellStyle name="Normal 8 6 3 2 2 3" xfId="16284" xr:uid="{5016288A-837B-4394-B2A1-DA77099F0C4F}"/>
    <cellStyle name="Normal 8 6 3 2 3" xfId="20501" xr:uid="{4DC8143D-6692-493D-9468-3EE987D47C67}"/>
    <cellStyle name="Normal 8 6 3 2 4" xfId="12067" xr:uid="{12F185DD-AFF7-4938-81A3-1D9F1591CC31}"/>
    <cellStyle name="Normal 8 6 3 3" xfId="5701" xr:uid="{00000000-0005-0000-0000-00004F1E0000}"/>
    <cellStyle name="Normal 8 6 3 3 2" xfId="22573" xr:uid="{22AFE8BA-1F28-4380-B2F1-FB089DA1D9F3}"/>
    <cellStyle name="Normal 8 6 3 3 3" xfId="14139" xr:uid="{560B22B4-B219-457D-BDAC-EA8DFF6BF17A}"/>
    <cellStyle name="Normal 8 6 3 4" xfId="18356" xr:uid="{5427E51C-17F0-4F98-AE4D-FC33F78C0CE6}"/>
    <cellStyle name="Normal 8 6 3 5" xfId="9922" xr:uid="{744A50D5-578D-4A0A-B494-2A4C615903E6}"/>
    <cellStyle name="Normal 8 6 4" xfId="1806" xr:uid="{00000000-0005-0000-0000-0000501E0000}"/>
    <cellStyle name="Normal 8 6 4 2" xfId="4036" xr:uid="{00000000-0005-0000-0000-0000511E0000}"/>
    <cellStyle name="Normal 8 6 4 2 2" xfId="8259" xr:uid="{00000000-0005-0000-0000-0000521E0000}"/>
    <cellStyle name="Normal 8 6 4 2 2 2" xfId="25131" xr:uid="{E78CB5B6-D0E4-40FF-AE21-82BF763A6920}"/>
    <cellStyle name="Normal 8 6 4 2 2 3" xfId="16697" xr:uid="{CAF66C59-2FAB-4CC5-B571-D941C9882168}"/>
    <cellStyle name="Normal 8 6 4 2 3" xfId="20914" xr:uid="{B7F8F7A6-A8BA-447D-980D-7070B3D79D5A}"/>
    <cellStyle name="Normal 8 6 4 2 4" xfId="12480" xr:uid="{9FA52112-184F-49EE-A79C-E5CA130A15F3}"/>
    <cellStyle name="Normal 8 6 4 3" xfId="6114" xr:uid="{00000000-0005-0000-0000-0000531E0000}"/>
    <cellStyle name="Normal 8 6 4 3 2" xfId="22986" xr:uid="{43017497-EFD4-4AA2-83A7-ACCF0AB72B83}"/>
    <cellStyle name="Normal 8 6 4 3 3" xfId="14552" xr:uid="{4D8F5B94-5C35-447C-8EB4-65541AF21189}"/>
    <cellStyle name="Normal 8 6 4 4" xfId="18769" xr:uid="{22E80B7E-944F-4875-A792-9BE84D2FFF90}"/>
    <cellStyle name="Normal 8 6 4 5" xfId="10335" xr:uid="{5DB94357-EFB8-4B0E-BEBE-E2C4FDE61A14}"/>
    <cellStyle name="Normal 8 6 5" xfId="2220" xr:uid="{00000000-0005-0000-0000-0000541E0000}"/>
    <cellStyle name="Normal 8 6 5 2" xfId="4449" xr:uid="{00000000-0005-0000-0000-0000551E0000}"/>
    <cellStyle name="Normal 8 6 5 2 2" xfId="8672" xr:uid="{00000000-0005-0000-0000-0000561E0000}"/>
    <cellStyle name="Normal 8 6 5 2 2 2" xfId="25544" xr:uid="{DF00569C-2AC5-437F-B96F-55B2748D9BBA}"/>
    <cellStyle name="Normal 8 6 5 2 2 3" xfId="17110" xr:uid="{0D7ED64D-283C-4A99-8282-52D975E62821}"/>
    <cellStyle name="Normal 8 6 5 2 3" xfId="21327" xr:uid="{DD7C6707-6E11-4389-81D8-5D6E233ED5DD}"/>
    <cellStyle name="Normal 8 6 5 2 4" xfId="12893" xr:uid="{157B8102-2CF5-4FDA-9DEB-740A363A9E0F}"/>
    <cellStyle name="Normal 8 6 5 3" xfId="6527" xr:uid="{00000000-0005-0000-0000-0000571E0000}"/>
    <cellStyle name="Normal 8 6 5 3 2" xfId="23399" xr:uid="{A8EE6A3D-3EAD-433C-8665-8398BCFBA183}"/>
    <cellStyle name="Normal 8 6 5 3 3" xfId="14965" xr:uid="{F799E565-89D6-49DA-9F1A-976CAC73DFED}"/>
    <cellStyle name="Normal 8 6 5 4" xfId="19182" xr:uid="{3311E13C-797E-4C9C-AB6D-BC6E6D1E0D0D}"/>
    <cellStyle name="Normal 8 6 5 5" xfId="10748" xr:uid="{DB2AC1F4-6747-4F2F-BE86-DF9C9D45DBC1}"/>
    <cellStyle name="Normal 8 6 6" xfId="2656" xr:uid="{00000000-0005-0000-0000-0000581E0000}"/>
    <cellStyle name="Normal 8 6 6 2" xfId="6940" xr:uid="{00000000-0005-0000-0000-0000591E0000}"/>
    <cellStyle name="Normal 8 6 6 2 2" xfId="23812" xr:uid="{1DB855E5-ECEF-47A0-8F1B-D3370BE83FFE}"/>
    <cellStyle name="Normal 8 6 6 2 3" xfId="15378" xr:uid="{6DC76C65-F480-4914-948F-B009E70F9789}"/>
    <cellStyle name="Normal 8 6 6 3" xfId="19595" xr:uid="{A15CFA59-0F97-4ACF-84D9-DC11D3E4B4D0}"/>
    <cellStyle name="Normal 8 6 6 4" xfId="11161" xr:uid="{CE23D300-6070-43BA-9CD5-B28166FFFB02}"/>
    <cellStyle name="Normal 8 6 7" xfId="4875" xr:uid="{00000000-0005-0000-0000-00005A1E0000}"/>
    <cellStyle name="Normal 8 6 7 2" xfId="21747" xr:uid="{37DBDE99-08B3-4DCF-81DF-F75878402F81}"/>
    <cellStyle name="Normal 8 6 7 3" xfId="13313" xr:uid="{F96A4841-02B1-4668-9D9D-5741716B5FB2}"/>
    <cellStyle name="Normal 8 6 8" xfId="17530" xr:uid="{A8A9B1E1-C5A6-4920-A276-707981C097D0}"/>
    <cellStyle name="Normal 8 6 9" xfId="9096" xr:uid="{7F307E19-2EEA-4FE1-A46E-D186B2E9C771}"/>
    <cellStyle name="Normal 8 7" xfId="945" xr:uid="{00000000-0005-0000-0000-00005B1E0000}"/>
    <cellStyle name="Normal 8 7 2" xfId="3179" xr:uid="{00000000-0005-0000-0000-00005C1E0000}"/>
    <cellStyle name="Normal 8 7 2 2" xfId="7402" xr:uid="{00000000-0005-0000-0000-00005D1E0000}"/>
    <cellStyle name="Normal 8 7 2 2 2" xfId="24274" xr:uid="{AA6FF1ED-A556-4954-8089-A7429A8AB2D7}"/>
    <cellStyle name="Normal 8 7 2 2 3" xfId="15840" xr:uid="{B5986CCC-0115-443D-831D-60317F9F8A03}"/>
    <cellStyle name="Normal 8 7 2 3" xfId="20057" xr:uid="{BE3EE2A4-A9CE-46DC-8EFC-079E6C54DAD4}"/>
    <cellStyle name="Normal 8 7 2 4" xfId="11623" xr:uid="{A7A271E8-85F3-48D9-8647-5CA76910D7DA}"/>
    <cellStyle name="Normal 8 7 3" xfId="5257" xr:uid="{00000000-0005-0000-0000-00005E1E0000}"/>
    <cellStyle name="Normal 8 7 3 2" xfId="22129" xr:uid="{E66032E6-5157-40B1-9E88-CBB78543CE3A}"/>
    <cellStyle name="Normal 8 7 3 3" xfId="13695" xr:uid="{569E2C5D-9826-4DD9-AD7B-14A6B70169A6}"/>
    <cellStyle name="Normal 8 7 4" xfId="17912" xr:uid="{F4355E4D-54FC-4A7F-A5CE-9FA362D50560}"/>
    <cellStyle name="Normal 8 7 5" xfId="9478" xr:uid="{CC001760-CF08-4C58-852F-C8ABEE8D8511}"/>
    <cellStyle name="Normal 8 8" xfId="1362" xr:uid="{00000000-0005-0000-0000-00005F1E0000}"/>
    <cellStyle name="Normal 8 8 2" xfId="3592" xr:uid="{00000000-0005-0000-0000-0000601E0000}"/>
    <cellStyle name="Normal 8 8 2 2" xfId="7815" xr:uid="{00000000-0005-0000-0000-0000611E0000}"/>
    <cellStyle name="Normal 8 8 2 2 2" xfId="24687" xr:uid="{0E18920D-2BF3-4DF1-BD43-27E038A213E5}"/>
    <cellStyle name="Normal 8 8 2 2 3" xfId="16253" xr:uid="{F9CC597E-C21D-4D16-A0ED-0E022BBC6D7F}"/>
    <cellStyle name="Normal 8 8 2 3" xfId="20470" xr:uid="{7C24932A-851A-4E74-AB6E-841AB678C595}"/>
    <cellStyle name="Normal 8 8 2 4" xfId="12036" xr:uid="{E5435D31-24EB-4973-AB6B-244763B06EDE}"/>
    <cellStyle name="Normal 8 8 3" xfId="5670" xr:uid="{00000000-0005-0000-0000-0000621E0000}"/>
    <cellStyle name="Normal 8 8 3 2" xfId="22542" xr:uid="{5B89332E-C159-41EA-9635-9606165964F0}"/>
    <cellStyle name="Normal 8 8 3 3" xfId="14108" xr:uid="{8F50323B-1D82-447E-AED6-C99C285A7EEA}"/>
    <cellStyle name="Normal 8 8 4" xfId="18325" xr:uid="{28459A6A-BB57-411F-806B-18FD1EF57DBA}"/>
    <cellStyle name="Normal 8 8 5" xfId="9891" xr:uid="{E0B1671A-DA89-4E63-A463-78111E2CC66A}"/>
    <cellStyle name="Normal 8 9" xfId="1775" xr:uid="{00000000-0005-0000-0000-0000631E0000}"/>
    <cellStyle name="Normal 8 9 2" xfId="4005" xr:uid="{00000000-0005-0000-0000-0000641E0000}"/>
    <cellStyle name="Normal 8 9 2 2" xfId="8228" xr:uid="{00000000-0005-0000-0000-0000651E0000}"/>
    <cellStyle name="Normal 8 9 2 2 2" xfId="25100" xr:uid="{43B2DAB5-12F3-48E5-88D0-F4588E4F270C}"/>
    <cellStyle name="Normal 8 9 2 2 3" xfId="16666" xr:uid="{ED5E43F8-41B9-4A30-B9FB-AE8607CCE535}"/>
    <cellStyle name="Normal 8 9 2 3" xfId="20883" xr:uid="{BA0E28C0-91DA-486B-8057-A2F5353EA1CB}"/>
    <cellStyle name="Normal 8 9 2 4" xfId="12449" xr:uid="{2AEEE2FB-7145-462F-AC04-FCA7615C4524}"/>
    <cellStyle name="Normal 8 9 3" xfId="6083" xr:uid="{00000000-0005-0000-0000-0000661E0000}"/>
    <cellStyle name="Normal 8 9 3 2" xfId="22955" xr:uid="{77FB9D47-7914-47B9-B13D-2787E0512633}"/>
    <cellStyle name="Normal 8 9 3 3" xfId="14521" xr:uid="{B7DA78B4-49D0-49E6-9853-26A34D93DABC}"/>
    <cellStyle name="Normal 8 9 4" xfId="18738" xr:uid="{EC0B63C1-9B9E-4FC1-8092-909F8FBFC6E8}"/>
    <cellStyle name="Normal 8 9 5" xfId="10304" xr:uid="{C480279C-39D2-47E0-AA40-7E09491D7007}"/>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23813" xr:uid="{93FB1FF0-376F-420B-8E26-8669BEF6118A}"/>
    <cellStyle name="Normal 9 2 10 2 3" xfId="15379" xr:uid="{E46E8D77-8AA6-4D5A-B660-296643ED15DC}"/>
    <cellStyle name="Normal 9 2 10 3" xfId="19596" xr:uid="{80FBF35F-1CC0-4ADA-A6EA-9418D4B866A0}"/>
    <cellStyle name="Normal 9 2 10 4" xfId="11162" xr:uid="{3FCF70D0-7B5B-4C08-AE78-F7731C251A11}"/>
    <cellStyle name="Normal 9 2 11" xfId="4876" xr:uid="{00000000-0005-0000-0000-00006B1E0000}"/>
    <cellStyle name="Normal 9 2 11 2" xfId="21748" xr:uid="{45C75EE0-0300-4969-8AFA-97C6E145E2BE}"/>
    <cellStyle name="Normal 9 2 11 3" xfId="13314" xr:uid="{C165B968-AB48-4443-971E-8658CAA5EE83}"/>
    <cellStyle name="Normal 9 2 12" xfId="17531" xr:uid="{17D9A97D-FDFF-420B-A030-410A4D34D7DC}"/>
    <cellStyle name="Normal 9 2 13" xfId="9097" xr:uid="{4D4D7F10-897B-43BA-906F-F2EB0F1DEA87}"/>
    <cellStyle name="Normal 9 2 2" xfId="512" xr:uid="{00000000-0005-0000-0000-00006C1E0000}"/>
    <cellStyle name="Normal 9 2 2 10" xfId="4877" xr:uid="{00000000-0005-0000-0000-00006D1E0000}"/>
    <cellStyle name="Normal 9 2 2 10 2" xfId="21749" xr:uid="{13FDE0E6-BA17-4422-8955-41DF43914740}"/>
    <cellStyle name="Normal 9 2 2 10 3" xfId="13315" xr:uid="{278D235E-3DF7-4FF5-B8F1-0140F1594555}"/>
    <cellStyle name="Normal 9 2 2 11" xfId="17532" xr:uid="{06EAE366-07F2-4185-B8D4-D6B64B44FC1E}"/>
    <cellStyle name="Normal 9 2 2 12" xfId="9098" xr:uid="{2D5D6E46-9489-40F2-BFEA-6515B9FB254A}"/>
    <cellStyle name="Normal 9 2 2 2" xfId="513" xr:uid="{00000000-0005-0000-0000-00006E1E0000}"/>
    <cellStyle name="Normal 9 2 2 2 10" xfId="17533" xr:uid="{E6381BD9-930D-445F-A9E1-AC7815302D29}"/>
    <cellStyle name="Normal 9 2 2 2 11" xfId="9099" xr:uid="{6C6E5EAA-0490-4001-9A2A-62E28F5B7E55}"/>
    <cellStyle name="Normal 9 2 2 2 2" xfId="514" xr:uid="{00000000-0005-0000-0000-00006F1E0000}"/>
    <cellStyle name="Normal 9 2 2 2 2 10" xfId="9100" xr:uid="{D4557346-C1F8-43A5-B95B-D20EB0CEB60F}"/>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24310" xr:uid="{EA377E05-CC8F-46F3-AFE6-FA86DE75D1F9}"/>
    <cellStyle name="Normal 9 2 2 2 2 2 2 2 2 3" xfId="15876" xr:uid="{30403998-D2A0-4813-BA17-B3859BE136FE}"/>
    <cellStyle name="Normal 9 2 2 2 2 2 2 2 3" xfId="20093" xr:uid="{C44C9FF6-DA01-440E-A500-CC923A4758B2}"/>
    <cellStyle name="Normal 9 2 2 2 2 2 2 2 4" xfId="11659" xr:uid="{03F5173F-61B7-4D79-BB50-C4763B77310A}"/>
    <cellStyle name="Normal 9 2 2 2 2 2 2 3" xfId="5293" xr:uid="{00000000-0005-0000-0000-0000741E0000}"/>
    <cellStyle name="Normal 9 2 2 2 2 2 2 3 2" xfId="22165" xr:uid="{8D9C04C9-053F-4DE0-980B-5160FE52AB5C}"/>
    <cellStyle name="Normal 9 2 2 2 2 2 2 3 3" xfId="13731" xr:uid="{BB03623E-AC0F-4778-BB64-38EA09933339}"/>
    <cellStyle name="Normal 9 2 2 2 2 2 2 4" xfId="17948" xr:uid="{86E030CB-DA47-4C2E-AEC9-5316DB8E4F19}"/>
    <cellStyle name="Normal 9 2 2 2 2 2 2 5" xfId="9514" xr:uid="{1F13ED87-9C5C-4732-8EDA-3856F2B6DC88}"/>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24723" xr:uid="{98BF71EC-F286-4365-B815-4031F1261309}"/>
    <cellStyle name="Normal 9 2 2 2 2 2 3 2 2 3" xfId="16289" xr:uid="{C5F27EF1-27AA-4969-8D0C-256E46E9DF09}"/>
    <cellStyle name="Normal 9 2 2 2 2 2 3 2 3" xfId="20506" xr:uid="{40F9B934-23DA-42A2-A457-8CC1A0868890}"/>
    <cellStyle name="Normal 9 2 2 2 2 2 3 2 4" xfId="12072" xr:uid="{513B149A-EBAD-47BD-94CC-8469C6ABFF96}"/>
    <cellStyle name="Normal 9 2 2 2 2 2 3 3" xfId="5706" xr:uid="{00000000-0005-0000-0000-0000781E0000}"/>
    <cellStyle name="Normal 9 2 2 2 2 2 3 3 2" xfId="22578" xr:uid="{776443A9-6AEC-46DC-A34F-74290DAF22B9}"/>
    <cellStyle name="Normal 9 2 2 2 2 2 3 3 3" xfId="14144" xr:uid="{264F1B83-E9D1-47E0-8E7D-8F90784054DC}"/>
    <cellStyle name="Normal 9 2 2 2 2 2 3 4" xfId="18361" xr:uid="{3510AE19-A3F9-45AE-9CF1-BDF7ACA6D1DA}"/>
    <cellStyle name="Normal 9 2 2 2 2 2 3 5" xfId="9927" xr:uid="{DB9429C0-A045-4652-A509-DC08CDF67307}"/>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25136" xr:uid="{8C27E1E7-E70C-4235-8935-E2085F526513}"/>
    <cellStyle name="Normal 9 2 2 2 2 2 4 2 2 3" xfId="16702" xr:uid="{BEE3DAD0-EF58-4517-8942-18E2A9EB08E2}"/>
    <cellStyle name="Normal 9 2 2 2 2 2 4 2 3" xfId="20919" xr:uid="{F4068FF3-E4A6-49EE-A0C1-816585B74F79}"/>
    <cellStyle name="Normal 9 2 2 2 2 2 4 2 4" xfId="12485" xr:uid="{CF4F3F5D-1CD6-4501-9839-E46CEFC2C3F0}"/>
    <cellStyle name="Normal 9 2 2 2 2 2 4 3" xfId="6119" xr:uid="{00000000-0005-0000-0000-00007C1E0000}"/>
    <cellStyle name="Normal 9 2 2 2 2 2 4 3 2" xfId="22991" xr:uid="{C96108E8-AB42-40B1-AA93-083DE53634EC}"/>
    <cellStyle name="Normal 9 2 2 2 2 2 4 3 3" xfId="14557" xr:uid="{C8F8F85B-DABD-4E0E-8A91-67F058F74021}"/>
    <cellStyle name="Normal 9 2 2 2 2 2 4 4" xfId="18774" xr:uid="{08B19A5A-FE85-47D8-89D9-AAAA45E01BD6}"/>
    <cellStyle name="Normal 9 2 2 2 2 2 4 5" xfId="10340" xr:uid="{6101F285-B492-4A64-BCAC-E5B0197EED4B}"/>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25549" xr:uid="{B0E1A120-57DB-46A3-BDF3-CBA0E24C18A2}"/>
    <cellStyle name="Normal 9 2 2 2 2 2 5 2 2 3" xfId="17115" xr:uid="{344F99DF-61C3-41F4-98D7-8C2B2F5827FE}"/>
    <cellStyle name="Normal 9 2 2 2 2 2 5 2 3" xfId="21332" xr:uid="{48908BAD-D75A-4175-9446-0A1A2465294A}"/>
    <cellStyle name="Normal 9 2 2 2 2 2 5 2 4" xfId="12898" xr:uid="{1D498D84-E5DF-4579-A04A-ED75EC4C2508}"/>
    <cellStyle name="Normal 9 2 2 2 2 2 5 3" xfId="6532" xr:uid="{00000000-0005-0000-0000-0000801E0000}"/>
    <cellStyle name="Normal 9 2 2 2 2 2 5 3 2" xfId="23404" xr:uid="{BE2135A0-6D64-4105-B965-D2E85F196E40}"/>
    <cellStyle name="Normal 9 2 2 2 2 2 5 3 3" xfId="14970" xr:uid="{54787B9F-1E1B-4292-9223-F9188011A2D9}"/>
    <cellStyle name="Normal 9 2 2 2 2 2 5 4" xfId="19187" xr:uid="{B7F99B44-E2C9-4D1A-8194-B2A92E928D08}"/>
    <cellStyle name="Normal 9 2 2 2 2 2 5 5" xfId="10753" xr:uid="{20477DEE-AFCC-45D0-8FDF-D4ED05ACA58F}"/>
    <cellStyle name="Normal 9 2 2 2 2 2 6" xfId="2661" xr:uid="{00000000-0005-0000-0000-0000811E0000}"/>
    <cellStyle name="Normal 9 2 2 2 2 2 6 2" xfId="6945" xr:uid="{00000000-0005-0000-0000-0000821E0000}"/>
    <cellStyle name="Normal 9 2 2 2 2 2 6 2 2" xfId="23817" xr:uid="{0BB64AA1-B30B-4857-83E9-D366218591A5}"/>
    <cellStyle name="Normal 9 2 2 2 2 2 6 2 3" xfId="15383" xr:uid="{83C0F90B-10CD-4869-9181-786824B9CB99}"/>
    <cellStyle name="Normal 9 2 2 2 2 2 6 3" xfId="19600" xr:uid="{D55EF4F3-CD1B-451B-BB9B-2C5DDD67B4E5}"/>
    <cellStyle name="Normal 9 2 2 2 2 2 6 4" xfId="11166" xr:uid="{F926891B-2D6B-4BA4-9540-37786783838E}"/>
    <cellStyle name="Normal 9 2 2 2 2 2 7" xfId="4880" xr:uid="{00000000-0005-0000-0000-0000831E0000}"/>
    <cellStyle name="Normal 9 2 2 2 2 2 7 2" xfId="21752" xr:uid="{83BF8AF1-D107-4E22-A887-C733038A1B28}"/>
    <cellStyle name="Normal 9 2 2 2 2 2 7 3" xfId="13318" xr:uid="{5ABA7EB0-D9DE-4D30-AE45-4D9CC7DAC490}"/>
    <cellStyle name="Normal 9 2 2 2 2 2 8" xfId="17535" xr:uid="{4FF9EF0C-F88F-4DE3-B326-954586849329}"/>
    <cellStyle name="Normal 9 2 2 2 2 2 9" xfId="9101" xr:uid="{EB89C17B-B529-4468-AE4F-6EDD150930F5}"/>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24309" xr:uid="{68B59256-7974-4BDB-A359-8545B6171D05}"/>
    <cellStyle name="Normal 9 2 2 2 2 3 2 2 3" xfId="15875" xr:uid="{8017F209-129D-4D6E-8AAC-A0E6F551491C}"/>
    <cellStyle name="Normal 9 2 2 2 2 3 2 3" xfId="20092" xr:uid="{CF0CF1C7-78E9-430F-8760-C0B3EC38C906}"/>
    <cellStyle name="Normal 9 2 2 2 2 3 2 4" xfId="11658" xr:uid="{BE449081-0F35-4278-AF86-704DE8AA118D}"/>
    <cellStyle name="Normal 9 2 2 2 2 3 3" xfId="5292" xr:uid="{00000000-0005-0000-0000-0000871E0000}"/>
    <cellStyle name="Normal 9 2 2 2 2 3 3 2" xfId="22164" xr:uid="{FE552EBC-D2FC-43A3-AA58-5FCE88BD21C4}"/>
    <cellStyle name="Normal 9 2 2 2 2 3 3 3" xfId="13730" xr:uid="{EFEF560B-869A-4518-8C27-5AF4506A3E87}"/>
    <cellStyle name="Normal 9 2 2 2 2 3 4" xfId="17947" xr:uid="{ED949A25-8219-4867-B574-1F28B04E6753}"/>
    <cellStyle name="Normal 9 2 2 2 2 3 5" xfId="9513" xr:uid="{2832472A-DE1D-496F-95B1-774F9C2CC614}"/>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24722" xr:uid="{C9215B95-1FD3-4FA3-9FC9-4076B76C84A7}"/>
    <cellStyle name="Normal 9 2 2 2 2 4 2 2 3" xfId="16288" xr:uid="{2EAB65AB-C190-454D-94AA-7388AF2434FC}"/>
    <cellStyle name="Normal 9 2 2 2 2 4 2 3" xfId="20505" xr:uid="{5C81DE50-0C4D-4A84-8AC2-AC32102F813F}"/>
    <cellStyle name="Normal 9 2 2 2 2 4 2 4" xfId="12071" xr:uid="{9B478F26-8292-4FCE-A4EC-7B8787B71C3C}"/>
    <cellStyle name="Normal 9 2 2 2 2 4 3" xfId="5705" xr:uid="{00000000-0005-0000-0000-00008B1E0000}"/>
    <cellStyle name="Normal 9 2 2 2 2 4 3 2" xfId="22577" xr:uid="{4BD32759-B411-441A-950D-B51165FFBF80}"/>
    <cellStyle name="Normal 9 2 2 2 2 4 3 3" xfId="14143" xr:uid="{AB83944C-D88F-4062-A7D0-8B5398126AD8}"/>
    <cellStyle name="Normal 9 2 2 2 2 4 4" xfId="18360" xr:uid="{43BDC29E-D03C-48BD-8620-264CF0D18284}"/>
    <cellStyle name="Normal 9 2 2 2 2 4 5" xfId="9926" xr:uid="{5A9BBBA4-47C5-48A3-9DDB-B3161F397CC9}"/>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25135" xr:uid="{E08D656F-D163-461C-8227-C6D843B9B4DC}"/>
    <cellStyle name="Normal 9 2 2 2 2 5 2 2 3" xfId="16701" xr:uid="{92DCD81F-F4EB-4436-9B4B-5BD9C0D645B4}"/>
    <cellStyle name="Normal 9 2 2 2 2 5 2 3" xfId="20918" xr:uid="{90A1ED30-7178-47F8-81B3-FFA0BCEA0F1E}"/>
    <cellStyle name="Normal 9 2 2 2 2 5 2 4" xfId="12484" xr:uid="{B3789410-593D-4D08-B37C-3DDE9704F317}"/>
    <cellStyle name="Normal 9 2 2 2 2 5 3" xfId="6118" xr:uid="{00000000-0005-0000-0000-00008F1E0000}"/>
    <cellStyle name="Normal 9 2 2 2 2 5 3 2" xfId="22990" xr:uid="{8A5AE7B1-2C5E-4DAC-B084-78E30C198820}"/>
    <cellStyle name="Normal 9 2 2 2 2 5 3 3" xfId="14556" xr:uid="{794A8F1B-82F4-4EDB-AA02-FCB6BDC202EB}"/>
    <cellStyle name="Normal 9 2 2 2 2 5 4" xfId="18773" xr:uid="{99D206AD-7972-4D8D-BFCE-F6E7B0E1320F}"/>
    <cellStyle name="Normal 9 2 2 2 2 5 5" xfId="10339" xr:uid="{ED4A66FF-B557-43E6-B2A8-1E559C464ADF}"/>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25548" xr:uid="{9E33D673-B44A-4165-8144-0283A38611A5}"/>
    <cellStyle name="Normal 9 2 2 2 2 6 2 2 3" xfId="17114" xr:uid="{B40EE1A8-55B2-452D-AE0D-47F99E3CD59B}"/>
    <cellStyle name="Normal 9 2 2 2 2 6 2 3" xfId="21331" xr:uid="{1D9E01C3-44ED-4DC3-89B7-89C247CB0409}"/>
    <cellStyle name="Normal 9 2 2 2 2 6 2 4" xfId="12897" xr:uid="{20E02A76-6578-4662-9627-1592FD8EBA4C}"/>
    <cellStyle name="Normal 9 2 2 2 2 6 3" xfId="6531" xr:uid="{00000000-0005-0000-0000-0000931E0000}"/>
    <cellStyle name="Normal 9 2 2 2 2 6 3 2" xfId="23403" xr:uid="{17496F2A-D26E-4047-8FA2-4FFE8FF659CA}"/>
    <cellStyle name="Normal 9 2 2 2 2 6 3 3" xfId="14969" xr:uid="{EB984E2C-AAB5-4781-A003-0657AD2E7E1B}"/>
    <cellStyle name="Normal 9 2 2 2 2 6 4" xfId="19186" xr:uid="{774646BA-2701-4084-A73A-9CFC33C86CD5}"/>
    <cellStyle name="Normal 9 2 2 2 2 6 5" xfId="10752" xr:uid="{8BF807AD-F135-4510-8DF3-60E5EA834222}"/>
    <cellStyle name="Normal 9 2 2 2 2 7" xfId="2660" xr:uid="{00000000-0005-0000-0000-0000941E0000}"/>
    <cellStyle name="Normal 9 2 2 2 2 7 2" xfId="6944" xr:uid="{00000000-0005-0000-0000-0000951E0000}"/>
    <cellStyle name="Normal 9 2 2 2 2 7 2 2" xfId="23816" xr:uid="{033DE21A-D3FE-427A-ADFD-F3004B0CB178}"/>
    <cellStyle name="Normal 9 2 2 2 2 7 2 3" xfId="15382" xr:uid="{2C273BB7-BEA1-460D-863B-3747DA2491D4}"/>
    <cellStyle name="Normal 9 2 2 2 2 7 3" xfId="19599" xr:uid="{5372D151-66CE-48EB-A2D0-89B77A189CCC}"/>
    <cellStyle name="Normal 9 2 2 2 2 7 4" xfId="11165" xr:uid="{0227E8B6-2C8D-4E9E-9BA1-D1BF5E2322BE}"/>
    <cellStyle name="Normal 9 2 2 2 2 8" xfId="4879" xr:uid="{00000000-0005-0000-0000-0000961E0000}"/>
    <cellStyle name="Normal 9 2 2 2 2 8 2" xfId="21751" xr:uid="{BFFD70D3-F77C-4F3F-B52D-697FF4DACB36}"/>
    <cellStyle name="Normal 9 2 2 2 2 8 3" xfId="13317" xr:uid="{A7C61160-4076-40DC-BB07-F79E7AB0CC37}"/>
    <cellStyle name="Normal 9 2 2 2 2 9" xfId="17534" xr:uid="{4F7EF2EC-52A1-43BC-93FF-7575B13F13FC}"/>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24311" xr:uid="{6F03ACB8-4E5E-4BDD-995E-04A695750180}"/>
    <cellStyle name="Normal 9 2 2 2 3 2 2 2 3" xfId="15877" xr:uid="{6BDCB26A-5E5B-4811-AD94-39D0669EB4BF}"/>
    <cellStyle name="Normal 9 2 2 2 3 2 2 3" xfId="20094" xr:uid="{66053C2B-9CED-4048-86EF-8E2BDCF912B0}"/>
    <cellStyle name="Normal 9 2 2 2 3 2 2 4" xfId="11660" xr:uid="{0DBA820D-F82A-4B42-BD19-0881B0A916E6}"/>
    <cellStyle name="Normal 9 2 2 2 3 2 3" xfId="5294" xr:uid="{00000000-0005-0000-0000-00009B1E0000}"/>
    <cellStyle name="Normal 9 2 2 2 3 2 3 2" xfId="22166" xr:uid="{C2E81AF4-179D-4B81-8480-1264416F191D}"/>
    <cellStyle name="Normal 9 2 2 2 3 2 3 3" xfId="13732" xr:uid="{AE7EEE07-8AC2-46C4-A149-11455D30AEAB}"/>
    <cellStyle name="Normal 9 2 2 2 3 2 4" xfId="17949" xr:uid="{48DE272F-DF9F-40C0-8640-DEA866487CB7}"/>
    <cellStyle name="Normal 9 2 2 2 3 2 5" xfId="9515" xr:uid="{19153D79-0AEE-4F73-B18C-1D9E93602CE2}"/>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24724" xr:uid="{4957DECD-9896-4623-9110-B8B816347172}"/>
    <cellStyle name="Normal 9 2 2 2 3 3 2 2 3" xfId="16290" xr:uid="{B48E92A8-58F7-4B60-8825-653AFD759B9F}"/>
    <cellStyle name="Normal 9 2 2 2 3 3 2 3" xfId="20507" xr:uid="{F7873F02-E2AE-4F18-A011-0F158D8C31E1}"/>
    <cellStyle name="Normal 9 2 2 2 3 3 2 4" xfId="12073" xr:uid="{DEAAC602-F094-4567-B802-5316B824AC95}"/>
    <cellStyle name="Normal 9 2 2 2 3 3 3" xfId="5707" xr:uid="{00000000-0005-0000-0000-00009F1E0000}"/>
    <cellStyle name="Normal 9 2 2 2 3 3 3 2" xfId="22579" xr:uid="{9E253DA9-10C9-4378-B2CB-C242F28D3FB5}"/>
    <cellStyle name="Normal 9 2 2 2 3 3 3 3" xfId="14145" xr:uid="{9861B777-548B-4B25-A8AD-54BE01AD0CE1}"/>
    <cellStyle name="Normal 9 2 2 2 3 3 4" xfId="18362" xr:uid="{4ED59E0C-291E-47A0-A294-B7717B9EE47D}"/>
    <cellStyle name="Normal 9 2 2 2 3 3 5" xfId="9928" xr:uid="{89F18BCD-3727-42E3-88AE-E1F3EB94B6DC}"/>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25137" xr:uid="{7473EAAA-9410-4EF2-AE78-01E1FB554843}"/>
    <cellStyle name="Normal 9 2 2 2 3 4 2 2 3" xfId="16703" xr:uid="{D780E194-F982-43B8-AA0C-4E9A4A5368EB}"/>
    <cellStyle name="Normal 9 2 2 2 3 4 2 3" xfId="20920" xr:uid="{B3E137C5-5E75-4F2A-94A2-7454DC3AF2F0}"/>
    <cellStyle name="Normal 9 2 2 2 3 4 2 4" xfId="12486" xr:uid="{F088CBA9-DDFF-4B6B-B5F1-1152DC0FA8B3}"/>
    <cellStyle name="Normal 9 2 2 2 3 4 3" xfId="6120" xr:uid="{00000000-0005-0000-0000-0000A31E0000}"/>
    <cellStyle name="Normal 9 2 2 2 3 4 3 2" xfId="22992" xr:uid="{804C1CDB-0BB2-463E-9A71-222D9B2A9ADA}"/>
    <cellStyle name="Normal 9 2 2 2 3 4 3 3" xfId="14558" xr:uid="{5C480893-E859-48E3-BD25-F4DAF5BB188D}"/>
    <cellStyle name="Normal 9 2 2 2 3 4 4" xfId="18775" xr:uid="{641B0B3B-30E1-4A5C-9F51-C9F25EE3C504}"/>
    <cellStyle name="Normal 9 2 2 2 3 4 5" xfId="10341" xr:uid="{25A25D0C-DD5A-4873-843A-15517F55D9A8}"/>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25550" xr:uid="{8C83CF60-8249-457F-8C62-D1881C52659B}"/>
    <cellStyle name="Normal 9 2 2 2 3 5 2 2 3" xfId="17116" xr:uid="{B1E9D366-D283-42A4-BBA3-C70555268B9B}"/>
    <cellStyle name="Normal 9 2 2 2 3 5 2 3" xfId="21333" xr:uid="{182FE580-F3BC-4030-963C-6427BADF163E}"/>
    <cellStyle name="Normal 9 2 2 2 3 5 2 4" xfId="12899" xr:uid="{601AEA51-113F-470A-87B0-570FCC480790}"/>
    <cellStyle name="Normal 9 2 2 2 3 5 3" xfId="6533" xr:uid="{00000000-0005-0000-0000-0000A71E0000}"/>
    <cellStyle name="Normal 9 2 2 2 3 5 3 2" xfId="23405" xr:uid="{FDF1F683-1C33-4797-A903-747C494AD04E}"/>
    <cellStyle name="Normal 9 2 2 2 3 5 3 3" xfId="14971" xr:uid="{AE53B7BE-34D9-4E53-AA6A-F50AA6AD7A64}"/>
    <cellStyle name="Normal 9 2 2 2 3 5 4" xfId="19188" xr:uid="{10FC8AFE-5595-4949-8DA5-3C01C1EAC469}"/>
    <cellStyle name="Normal 9 2 2 2 3 5 5" xfId="10754" xr:uid="{E0791DB9-F352-42D2-AA84-C53B994D9C19}"/>
    <cellStyle name="Normal 9 2 2 2 3 6" xfId="2662" xr:uid="{00000000-0005-0000-0000-0000A81E0000}"/>
    <cellStyle name="Normal 9 2 2 2 3 6 2" xfId="6946" xr:uid="{00000000-0005-0000-0000-0000A91E0000}"/>
    <cellStyle name="Normal 9 2 2 2 3 6 2 2" xfId="23818" xr:uid="{E1198328-B07F-44F4-B2EE-9B42EB0F935A}"/>
    <cellStyle name="Normal 9 2 2 2 3 6 2 3" xfId="15384" xr:uid="{634C47E6-016C-44F3-A216-E01752A6531C}"/>
    <cellStyle name="Normal 9 2 2 2 3 6 3" xfId="19601" xr:uid="{586F3E16-0E0E-4DC6-AE54-947BDA8874F8}"/>
    <cellStyle name="Normal 9 2 2 2 3 6 4" xfId="11167" xr:uid="{D3DEA149-8DA0-4507-BDFD-D94F9024D89D}"/>
    <cellStyle name="Normal 9 2 2 2 3 7" xfId="4881" xr:uid="{00000000-0005-0000-0000-0000AA1E0000}"/>
    <cellStyle name="Normal 9 2 2 2 3 7 2" xfId="21753" xr:uid="{E153DEA7-3447-43D1-9698-BCDE54373DAB}"/>
    <cellStyle name="Normal 9 2 2 2 3 7 3" xfId="13319" xr:uid="{50F060EE-88A4-466E-B34F-EFC97F03E38D}"/>
    <cellStyle name="Normal 9 2 2 2 3 8" xfId="17536" xr:uid="{1E12BCDF-350D-43B0-83A2-59E6F4FDEA2F}"/>
    <cellStyle name="Normal 9 2 2 2 3 9" xfId="9102" xr:uid="{5E648824-8732-4B8E-938D-3AA168C1A1B5}"/>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24308" xr:uid="{54A96014-230D-4EC0-9E29-E58807793479}"/>
    <cellStyle name="Normal 9 2 2 2 4 2 2 3" xfId="15874" xr:uid="{40E138F5-C214-4AE4-86EF-93A3BA89B8F2}"/>
    <cellStyle name="Normal 9 2 2 2 4 2 3" xfId="20091" xr:uid="{F9E4A2DF-C2D4-4FEA-B4FF-DFB0AAD82E1D}"/>
    <cellStyle name="Normal 9 2 2 2 4 2 4" xfId="11657" xr:uid="{896CDAF2-D176-43C3-A692-1312B00B72A5}"/>
    <cellStyle name="Normal 9 2 2 2 4 3" xfId="5291" xr:uid="{00000000-0005-0000-0000-0000AE1E0000}"/>
    <cellStyle name="Normal 9 2 2 2 4 3 2" xfId="22163" xr:uid="{0BA5AB45-C1A0-4F28-952B-270A711E0BAE}"/>
    <cellStyle name="Normal 9 2 2 2 4 3 3" xfId="13729" xr:uid="{0EC7ADFC-182D-4D8D-B286-58D287B59805}"/>
    <cellStyle name="Normal 9 2 2 2 4 4" xfId="17946" xr:uid="{08C9EB77-5E38-4BBD-BBD1-897930AEF859}"/>
    <cellStyle name="Normal 9 2 2 2 4 5" xfId="9512" xr:uid="{D72B5B2E-EC72-4C8E-AFC1-D8DD41FD39D6}"/>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24721" xr:uid="{1155841B-C280-4F65-A116-B328FF6E2345}"/>
    <cellStyle name="Normal 9 2 2 2 5 2 2 3" xfId="16287" xr:uid="{705586B6-43B8-4981-BEE6-F5B3D02E8E90}"/>
    <cellStyle name="Normal 9 2 2 2 5 2 3" xfId="20504" xr:uid="{DCFD6D15-EA1D-46FE-B537-36D316FC7A2A}"/>
    <cellStyle name="Normal 9 2 2 2 5 2 4" xfId="12070" xr:uid="{C24D8A77-B6C8-4271-BCA1-E7F91518CA5C}"/>
    <cellStyle name="Normal 9 2 2 2 5 3" xfId="5704" xr:uid="{00000000-0005-0000-0000-0000B21E0000}"/>
    <cellStyle name="Normal 9 2 2 2 5 3 2" xfId="22576" xr:uid="{1C078CA9-4C71-4193-82E4-CAAFB1A191AC}"/>
    <cellStyle name="Normal 9 2 2 2 5 3 3" xfId="14142" xr:uid="{100CF561-9B61-451C-84D3-2A1E39E09C1D}"/>
    <cellStyle name="Normal 9 2 2 2 5 4" xfId="18359" xr:uid="{2E3634AD-ECF9-4E62-BE4D-42BF1E467957}"/>
    <cellStyle name="Normal 9 2 2 2 5 5" xfId="9925" xr:uid="{C8431F4A-24AC-4A88-8C26-8578A0418597}"/>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25134" xr:uid="{6ABEDF8E-5F67-44A6-AC7E-7CFBC212C85B}"/>
    <cellStyle name="Normal 9 2 2 2 6 2 2 3" xfId="16700" xr:uid="{D73E6D1C-DE2E-40F6-A6AA-8CDA1E52C6DB}"/>
    <cellStyle name="Normal 9 2 2 2 6 2 3" xfId="20917" xr:uid="{555509A8-0978-407B-8E14-46CA94EAFC44}"/>
    <cellStyle name="Normal 9 2 2 2 6 2 4" xfId="12483" xr:uid="{A1BA9A64-167C-4845-8EED-13BD0EBABF6B}"/>
    <cellStyle name="Normal 9 2 2 2 6 3" xfId="6117" xr:uid="{00000000-0005-0000-0000-0000B61E0000}"/>
    <cellStyle name="Normal 9 2 2 2 6 3 2" xfId="22989" xr:uid="{E8AC23EF-9458-4B3D-B121-840A15937476}"/>
    <cellStyle name="Normal 9 2 2 2 6 3 3" xfId="14555" xr:uid="{1DE10911-7267-4BE0-9C35-0A8F2EA8B620}"/>
    <cellStyle name="Normal 9 2 2 2 6 4" xfId="18772" xr:uid="{14CDBAB7-4A5F-43C7-A0B7-91B2AE8CC1D8}"/>
    <cellStyle name="Normal 9 2 2 2 6 5" xfId="10338" xr:uid="{9D2AC7FE-B253-4EDF-B12A-8997BB37B8FA}"/>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25547" xr:uid="{2711E1BA-8F74-4748-A3E4-03FC13D9071D}"/>
    <cellStyle name="Normal 9 2 2 2 7 2 2 3" xfId="17113" xr:uid="{05E1E9ED-2C9D-4B23-9601-432B9707CE4B}"/>
    <cellStyle name="Normal 9 2 2 2 7 2 3" xfId="21330" xr:uid="{455D3144-C0B4-4B0D-8ACB-AB599BD1474A}"/>
    <cellStyle name="Normal 9 2 2 2 7 2 4" xfId="12896" xr:uid="{33D7AECA-5809-473B-9392-5BDCA66CA6B6}"/>
    <cellStyle name="Normal 9 2 2 2 7 3" xfId="6530" xr:uid="{00000000-0005-0000-0000-0000BA1E0000}"/>
    <cellStyle name="Normal 9 2 2 2 7 3 2" xfId="23402" xr:uid="{A1970699-C104-4882-A837-25674B6BAEB5}"/>
    <cellStyle name="Normal 9 2 2 2 7 3 3" xfId="14968" xr:uid="{580D1266-345D-40E7-AAA9-C2F9957707ED}"/>
    <cellStyle name="Normal 9 2 2 2 7 4" xfId="19185" xr:uid="{20EF71EC-398B-480B-8B34-6FC896DEEB46}"/>
    <cellStyle name="Normal 9 2 2 2 7 5" xfId="10751" xr:uid="{E0D4E69A-8633-4962-821A-B346F0BE4030}"/>
    <cellStyle name="Normal 9 2 2 2 8" xfId="2659" xr:uid="{00000000-0005-0000-0000-0000BB1E0000}"/>
    <cellStyle name="Normal 9 2 2 2 8 2" xfId="6943" xr:uid="{00000000-0005-0000-0000-0000BC1E0000}"/>
    <cellStyle name="Normal 9 2 2 2 8 2 2" xfId="23815" xr:uid="{8D98100F-28ED-483B-8C0A-0ABBFA1CA276}"/>
    <cellStyle name="Normal 9 2 2 2 8 2 3" xfId="15381" xr:uid="{D7037D57-2DF2-4558-B582-CA630EF992CC}"/>
    <cellStyle name="Normal 9 2 2 2 8 3" xfId="19598" xr:uid="{D55C3173-88FA-4DB9-97D4-D36C0FC3E1E8}"/>
    <cellStyle name="Normal 9 2 2 2 8 4" xfId="11164" xr:uid="{8610C480-B3EF-4E83-986D-87F7D5F39262}"/>
    <cellStyle name="Normal 9 2 2 2 9" xfId="4878" xr:uid="{00000000-0005-0000-0000-0000BD1E0000}"/>
    <cellStyle name="Normal 9 2 2 2 9 2" xfId="21750" xr:uid="{B41DCDDE-3488-46CD-8C10-CA17CD5458FC}"/>
    <cellStyle name="Normal 9 2 2 2 9 3" xfId="13316" xr:uid="{4B3B32F0-B019-4684-841E-A1C9B1C5AEF1}"/>
    <cellStyle name="Normal 9 2 2 3" xfId="517" xr:uid="{00000000-0005-0000-0000-0000BE1E0000}"/>
    <cellStyle name="Normal 9 2 2 3 10" xfId="9103" xr:uid="{E48E4D26-C9E1-429C-81F3-764BD76A1483}"/>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24313" xr:uid="{7365CE51-6CA2-445B-A204-9AAC81B151A7}"/>
    <cellStyle name="Normal 9 2 2 3 2 2 2 2 3" xfId="15879" xr:uid="{8791D016-795B-4E8F-B3F4-EAC75E1F2B56}"/>
    <cellStyle name="Normal 9 2 2 3 2 2 2 3" xfId="20096" xr:uid="{121A90FC-4B28-4343-BD81-08154E9FE70E}"/>
    <cellStyle name="Normal 9 2 2 3 2 2 2 4" xfId="11662" xr:uid="{CB8DCAE5-76F4-4BDD-B94F-1AC0CED26FB0}"/>
    <cellStyle name="Normal 9 2 2 3 2 2 3" xfId="5296" xr:uid="{00000000-0005-0000-0000-0000C31E0000}"/>
    <cellStyle name="Normal 9 2 2 3 2 2 3 2" xfId="22168" xr:uid="{C39CA6C0-3EA3-4139-A1D2-B68CC40B7BD4}"/>
    <cellStyle name="Normal 9 2 2 3 2 2 3 3" xfId="13734" xr:uid="{DB7A2580-D53D-4D12-B4E7-303782AFFA6E}"/>
    <cellStyle name="Normal 9 2 2 3 2 2 4" xfId="17951" xr:uid="{2D62F147-96CC-4328-9D98-36AEAB36860A}"/>
    <cellStyle name="Normal 9 2 2 3 2 2 5" xfId="9517" xr:uid="{CD62A14C-CB57-4C5A-8E22-16B9BE800D0C}"/>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24726" xr:uid="{8D7C55A7-C64D-44ED-9859-CF58643CFA90}"/>
    <cellStyle name="Normal 9 2 2 3 2 3 2 2 3" xfId="16292" xr:uid="{2EB16CD9-4DE2-4C2F-BBF0-BC27BD3480BA}"/>
    <cellStyle name="Normal 9 2 2 3 2 3 2 3" xfId="20509" xr:uid="{29A2423C-C9CC-4972-AD76-098CD8592CC9}"/>
    <cellStyle name="Normal 9 2 2 3 2 3 2 4" xfId="12075" xr:uid="{018C2C1E-3B09-4763-A2D0-D2BC79158F09}"/>
    <cellStyle name="Normal 9 2 2 3 2 3 3" xfId="5709" xr:uid="{00000000-0005-0000-0000-0000C71E0000}"/>
    <cellStyle name="Normal 9 2 2 3 2 3 3 2" xfId="22581" xr:uid="{F7C6EFF4-22A6-4E7F-A03F-975BA94F8715}"/>
    <cellStyle name="Normal 9 2 2 3 2 3 3 3" xfId="14147" xr:uid="{CCFB4F09-1A07-4B6F-8E15-50498850D2BC}"/>
    <cellStyle name="Normal 9 2 2 3 2 3 4" xfId="18364" xr:uid="{1067F789-2D95-471B-8027-B05F30A3B41C}"/>
    <cellStyle name="Normal 9 2 2 3 2 3 5" xfId="9930" xr:uid="{EEB49EE3-91E2-482C-A2D0-596DB8F09554}"/>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25139" xr:uid="{3E063219-8746-4894-A531-22B58C512DE4}"/>
    <cellStyle name="Normal 9 2 2 3 2 4 2 2 3" xfId="16705" xr:uid="{74982D47-0018-4AA3-8974-6E3D17D43958}"/>
    <cellStyle name="Normal 9 2 2 3 2 4 2 3" xfId="20922" xr:uid="{6E9A9FFE-E591-4A64-9E4A-DFA8CAC650C4}"/>
    <cellStyle name="Normal 9 2 2 3 2 4 2 4" xfId="12488" xr:uid="{9C37831B-B4F9-4ABA-8303-234A06D56872}"/>
    <cellStyle name="Normal 9 2 2 3 2 4 3" xfId="6122" xr:uid="{00000000-0005-0000-0000-0000CB1E0000}"/>
    <cellStyle name="Normal 9 2 2 3 2 4 3 2" xfId="22994" xr:uid="{0C1D2BA2-6CCB-4448-952B-4900F291C740}"/>
    <cellStyle name="Normal 9 2 2 3 2 4 3 3" xfId="14560" xr:uid="{997D1A51-DDC0-426D-B26B-541B5A8BEF3E}"/>
    <cellStyle name="Normal 9 2 2 3 2 4 4" xfId="18777" xr:uid="{3EB67953-B413-4802-BE61-FAE6B83140D4}"/>
    <cellStyle name="Normal 9 2 2 3 2 4 5" xfId="10343" xr:uid="{49C78245-936B-48A8-8782-4846AC96AE35}"/>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25552" xr:uid="{2E00FA2E-2FE0-4053-A675-E8DD068699A2}"/>
    <cellStyle name="Normal 9 2 2 3 2 5 2 2 3" xfId="17118" xr:uid="{8DF459DE-4DBF-4D2C-AB1A-E9B59ED5D268}"/>
    <cellStyle name="Normal 9 2 2 3 2 5 2 3" xfId="21335" xr:uid="{E707BDB9-1BBA-46D3-901D-46C7557E2F09}"/>
    <cellStyle name="Normal 9 2 2 3 2 5 2 4" xfId="12901" xr:uid="{455BE304-37AE-488D-A3F0-56086875A9AD}"/>
    <cellStyle name="Normal 9 2 2 3 2 5 3" xfId="6535" xr:uid="{00000000-0005-0000-0000-0000CF1E0000}"/>
    <cellStyle name="Normal 9 2 2 3 2 5 3 2" xfId="23407" xr:uid="{41978617-8A28-438A-B9FE-56B7637273D9}"/>
    <cellStyle name="Normal 9 2 2 3 2 5 3 3" xfId="14973" xr:uid="{F1D4CEDD-25C9-483E-AC38-11E01ED2E0DC}"/>
    <cellStyle name="Normal 9 2 2 3 2 5 4" xfId="19190" xr:uid="{190D1656-A831-4C65-A68D-94D45052E366}"/>
    <cellStyle name="Normal 9 2 2 3 2 5 5" xfId="10756" xr:uid="{ECB72297-AA4D-4962-B11A-337ED5BBF704}"/>
    <cellStyle name="Normal 9 2 2 3 2 6" xfId="2664" xr:uid="{00000000-0005-0000-0000-0000D01E0000}"/>
    <cellStyle name="Normal 9 2 2 3 2 6 2" xfId="6948" xr:uid="{00000000-0005-0000-0000-0000D11E0000}"/>
    <cellStyle name="Normal 9 2 2 3 2 6 2 2" xfId="23820" xr:uid="{2C93C74A-19D7-4546-B4BF-EEDFDA79826A}"/>
    <cellStyle name="Normal 9 2 2 3 2 6 2 3" xfId="15386" xr:uid="{DA0FBF1C-E277-4FE8-9D17-CC01E038620F}"/>
    <cellStyle name="Normal 9 2 2 3 2 6 3" xfId="19603" xr:uid="{AB7F377C-D723-4944-9B6A-ED662441AA5F}"/>
    <cellStyle name="Normal 9 2 2 3 2 6 4" xfId="11169" xr:uid="{86F1C3AB-7D95-47FB-B630-E676507D8E0A}"/>
    <cellStyle name="Normal 9 2 2 3 2 7" xfId="4883" xr:uid="{00000000-0005-0000-0000-0000D21E0000}"/>
    <cellStyle name="Normal 9 2 2 3 2 7 2" xfId="21755" xr:uid="{A9932A08-A0C7-4E9D-AE29-CEFF0F9F7750}"/>
    <cellStyle name="Normal 9 2 2 3 2 7 3" xfId="13321" xr:uid="{0DEF4646-88BC-47B3-B809-D384F4ADE10B}"/>
    <cellStyle name="Normal 9 2 2 3 2 8" xfId="17538" xr:uid="{6F964E26-7B66-45A2-80D4-0D7C814E84BE}"/>
    <cellStyle name="Normal 9 2 2 3 2 9" xfId="9104" xr:uid="{BF3B12F3-EE86-42E1-8C4F-0EF5A8049C44}"/>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24312" xr:uid="{C94573F3-8B9B-486D-8131-7E8FC9CAC23A}"/>
    <cellStyle name="Normal 9 2 2 3 3 2 2 3" xfId="15878" xr:uid="{185888AF-599B-417A-9D84-5680382798A5}"/>
    <cellStyle name="Normal 9 2 2 3 3 2 3" xfId="20095" xr:uid="{2624E03C-0BDE-417A-AE1E-79F9D79B1FB3}"/>
    <cellStyle name="Normal 9 2 2 3 3 2 4" xfId="11661" xr:uid="{43880AF4-8353-41C0-ACDD-0208C1904259}"/>
    <cellStyle name="Normal 9 2 2 3 3 3" xfId="5295" xr:uid="{00000000-0005-0000-0000-0000D61E0000}"/>
    <cellStyle name="Normal 9 2 2 3 3 3 2" xfId="22167" xr:uid="{26DF272E-715E-4906-8DE1-75ABF8286CBA}"/>
    <cellStyle name="Normal 9 2 2 3 3 3 3" xfId="13733" xr:uid="{7AE9C712-909C-4148-9EBB-06FFADEA86C7}"/>
    <cellStyle name="Normal 9 2 2 3 3 4" xfId="17950" xr:uid="{792F0DD4-B1B6-478D-9CF0-96130C762E41}"/>
    <cellStyle name="Normal 9 2 2 3 3 5" xfId="9516" xr:uid="{B144EC1F-4B43-44FE-B721-EE60DE121F77}"/>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24725" xr:uid="{120705B6-DC33-42D4-A278-680AEAB50649}"/>
    <cellStyle name="Normal 9 2 2 3 4 2 2 3" xfId="16291" xr:uid="{23D99A1A-6087-40AC-B8C1-F931DEAB4E78}"/>
    <cellStyle name="Normal 9 2 2 3 4 2 3" xfId="20508" xr:uid="{2968A650-E45C-4C6A-AC90-C1CEF109A250}"/>
    <cellStyle name="Normal 9 2 2 3 4 2 4" xfId="12074" xr:uid="{D697D8CA-11CB-43EB-A105-A90601747FF8}"/>
    <cellStyle name="Normal 9 2 2 3 4 3" xfId="5708" xr:uid="{00000000-0005-0000-0000-0000DA1E0000}"/>
    <cellStyle name="Normal 9 2 2 3 4 3 2" xfId="22580" xr:uid="{C8589033-F0D4-48BC-ACBA-D03D71B1D522}"/>
    <cellStyle name="Normal 9 2 2 3 4 3 3" xfId="14146" xr:uid="{9B8FC000-B6FB-45C5-998A-B1581CD6B0CA}"/>
    <cellStyle name="Normal 9 2 2 3 4 4" xfId="18363" xr:uid="{997E39B7-1B78-4B89-A74B-80EEECFC071B}"/>
    <cellStyle name="Normal 9 2 2 3 4 5" xfId="9929" xr:uid="{157B7DBF-5CCA-48CD-8B08-03A9A11DD841}"/>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25138" xr:uid="{814E1F6E-451F-4770-B001-02434987F54A}"/>
    <cellStyle name="Normal 9 2 2 3 5 2 2 3" xfId="16704" xr:uid="{DAD342FB-27EA-4C80-B04C-F64E2766082C}"/>
    <cellStyle name="Normal 9 2 2 3 5 2 3" xfId="20921" xr:uid="{924FFEE1-1CF4-4C65-8B97-2BCB502C8928}"/>
    <cellStyle name="Normal 9 2 2 3 5 2 4" xfId="12487" xr:uid="{A1B70462-C6A5-4596-87B9-8175D81EDA8C}"/>
    <cellStyle name="Normal 9 2 2 3 5 3" xfId="6121" xr:uid="{00000000-0005-0000-0000-0000DE1E0000}"/>
    <cellStyle name="Normal 9 2 2 3 5 3 2" xfId="22993" xr:uid="{845EFD33-77B6-4B80-B9B3-F469804410D9}"/>
    <cellStyle name="Normal 9 2 2 3 5 3 3" xfId="14559" xr:uid="{D8CACA77-9A94-4EB4-A168-DFF7A523AB08}"/>
    <cellStyle name="Normal 9 2 2 3 5 4" xfId="18776" xr:uid="{B7E4098E-D8AB-41E8-BADD-AB644E241E15}"/>
    <cellStyle name="Normal 9 2 2 3 5 5" xfId="10342" xr:uid="{4EF4F9FF-3BE5-4220-B578-C2E820B0756B}"/>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25551" xr:uid="{93CBFE33-055A-4BAE-ACE8-732283F2784D}"/>
    <cellStyle name="Normal 9 2 2 3 6 2 2 3" xfId="17117" xr:uid="{86FFB221-03E5-46D4-9A99-354991658E7E}"/>
    <cellStyle name="Normal 9 2 2 3 6 2 3" xfId="21334" xr:uid="{FE0CB3CA-B6D2-4367-860F-A9D1C82979FB}"/>
    <cellStyle name="Normal 9 2 2 3 6 2 4" xfId="12900" xr:uid="{F94AF8D1-56B8-4D3C-98E8-B973F61F31E4}"/>
    <cellStyle name="Normal 9 2 2 3 6 3" xfId="6534" xr:uid="{00000000-0005-0000-0000-0000E21E0000}"/>
    <cellStyle name="Normal 9 2 2 3 6 3 2" xfId="23406" xr:uid="{94ABAA56-B754-4302-B406-277C1A365586}"/>
    <cellStyle name="Normal 9 2 2 3 6 3 3" xfId="14972" xr:uid="{ECAA4AB7-54F7-41FA-A197-86E15E79DC8D}"/>
    <cellStyle name="Normal 9 2 2 3 6 4" xfId="19189" xr:uid="{A07A6A71-D2C5-4AE6-ACB2-579E7900E5EF}"/>
    <cellStyle name="Normal 9 2 2 3 6 5" xfId="10755" xr:uid="{E97AE022-68DA-4D82-8568-EF095ADCDE49}"/>
    <cellStyle name="Normal 9 2 2 3 7" xfId="2663" xr:uid="{00000000-0005-0000-0000-0000E31E0000}"/>
    <cellStyle name="Normal 9 2 2 3 7 2" xfId="6947" xr:uid="{00000000-0005-0000-0000-0000E41E0000}"/>
    <cellStyle name="Normal 9 2 2 3 7 2 2" xfId="23819" xr:uid="{59F56E00-C6E7-4560-9AC8-5F7C8DABCE6C}"/>
    <cellStyle name="Normal 9 2 2 3 7 2 3" xfId="15385" xr:uid="{AA92E0BF-F823-4CF5-BC0E-B501A25FB78A}"/>
    <cellStyle name="Normal 9 2 2 3 7 3" xfId="19602" xr:uid="{EB592165-7907-45D7-88C3-948D2280BFC2}"/>
    <cellStyle name="Normal 9 2 2 3 7 4" xfId="11168" xr:uid="{5A8890B4-FE1C-4F31-8B23-19ACEBDA3500}"/>
    <cellStyle name="Normal 9 2 2 3 8" xfId="4882" xr:uid="{00000000-0005-0000-0000-0000E51E0000}"/>
    <cellStyle name="Normal 9 2 2 3 8 2" xfId="21754" xr:uid="{5BFCB2BE-2EC7-4B22-B5AB-CED5E0DD0335}"/>
    <cellStyle name="Normal 9 2 2 3 8 3" xfId="13320" xr:uid="{3CF23ABD-348D-4F34-B887-44E2894E70FE}"/>
    <cellStyle name="Normal 9 2 2 3 9" xfId="17537" xr:uid="{C6C62CE0-9AB9-4CA4-920B-0ECAF896759A}"/>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24314" xr:uid="{E1FC522A-5EE0-4782-928A-AA1AC191833A}"/>
    <cellStyle name="Normal 9 2 2 4 2 2 2 3" xfId="15880" xr:uid="{DBB7F9BF-4A1F-4256-B314-3DE0D94C8479}"/>
    <cellStyle name="Normal 9 2 2 4 2 2 3" xfId="20097" xr:uid="{F5538235-F8F5-43D8-99D3-F037043ADA7B}"/>
    <cellStyle name="Normal 9 2 2 4 2 2 4" xfId="11663" xr:uid="{B76EFA51-C415-447E-90AF-DEA0866E3BCF}"/>
    <cellStyle name="Normal 9 2 2 4 2 3" xfId="5297" xr:uid="{00000000-0005-0000-0000-0000EA1E0000}"/>
    <cellStyle name="Normal 9 2 2 4 2 3 2" xfId="22169" xr:uid="{F1277E47-5ED4-40A1-8CB8-73812E0D2139}"/>
    <cellStyle name="Normal 9 2 2 4 2 3 3" xfId="13735" xr:uid="{A735A80F-EC6B-47F7-B6F7-CC45218B809A}"/>
    <cellStyle name="Normal 9 2 2 4 2 4" xfId="17952" xr:uid="{046CFBC1-45C9-410D-B224-4CA60881BE3C}"/>
    <cellStyle name="Normal 9 2 2 4 2 5" xfId="9518" xr:uid="{4B6CC1D5-424A-4E0C-A131-D79FC3902C4F}"/>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24727" xr:uid="{83BFC7F2-3584-4469-BA83-ECEC3117B86A}"/>
    <cellStyle name="Normal 9 2 2 4 3 2 2 3" xfId="16293" xr:uid="{212B1B0B-4722-4ED1-AB92-D469412A81BF}"/>
    <cellStyle name="Normal 9 2 2 4 3 2 3" xfId="20510" xr:uid="{AF39AF00-7D3B-4A49-9487-795866E342FA}"/>
    <cellStyle name="Normal 9 2 2 4 3 2 4" xfId="12076" xr:uid="{9183246A-F043-4836-92D3-997ABD612DAD}"/>
    <cellStyle name="Normal 9 2 2 4 3 3" xfId="5710" xr:uid="{00000000-0005-0000-0000-0000EE1E0000}"/>
    <cellStyle name="Normal 9 2 2 4 3 3 2" xfId="22582" xr:uid="{AB5EAD08-7517-4DAD-82D5-56B024F89F24}"/>
    <cellStyle name="Normal 9 2 2 4 3 3 3" xfId="14148" xr:uid="{BB691328-FE18-4FB2-8A2D-33B508DA01CD}"/>
    <cellStyle name="Normal 9 2 2 4 3 4" xfId="18365" xr:uid="{BF501C53-0640-4780-BFC0-F91ECCECCA89}"/>
    <cellStyle name="Normal 9 2 2 4 3 5" xfId="9931" xr:uid="{3FBF08FF-9A89-413A-94A4-6CB2F74DA6B5}"/>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25140" xr:uid="{FE6BA7B0-7F77-4277-A7E2-357CD3B41FAC}"/>
    <cellStyle name="Normal 9 2 2 4 4 2 2 3" xfId="16706" xr:uid="{0DB1BEA2-3C4A-4AEE-994E-22ACD9F95BF7}"/>
    <cellStyle name="Normal 9 2 2 4 4 2 3" xfId="20923" xr:uid="{2744A743-2BE5-4AF7-98E4-E84FD7820276}"/>
    <cellStyle name="Normal 9 2 2 4 4 2 4" xfId="12489" xr:uid="{3A304A49-6C7B-4073-9680-65F641FDB66D}"/>
    <cellStyle name="Normal 9 2 2 4 4 3" xfId="6123" xr:uid="{00000000-0005-0000-0000-0000F21E0000}"/>
    <cellStyle name="Normal 9 2 2 4 4 3 2" xfId="22995" xr:uid="{92002EAE-3C81-4068-8932-7F3BAA246BFE}"/>
    <cellStyle name="Normal 9 2 2 4 4 3 3" xfId="14561" xr:uid="{8657688A-165F-4FE9-B4A0-4F4AF663576E}"/>
    <cellStyle name="Normal 9 2 2 4 4 4" xfId="18778" xr:uid="{90386AB5-7420-4CBB-8C27-5699A6976F05}"/>
    <cellStyle name="Normal 9 2 2 4 4 5" xfId="10344" xr:uid="{2A477642-6730-4549-BC9D-B6242D784D87}"/>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25553" xr:uid="{64F5CF84-D391-4943-B183-7389398E35E4}"/>
    <cellStyle name="Normal 9 2 2 4 5 2 2 3" xfId="17119" xr:uid="{79B41F52-DCEC-412C-9E04-59BBF55EC69F}"/>
    <cellStyle name="Normal 9 2 2 4 5 2 3" xfId="21336" xr:uid="{FE0D0AE8-BAC8-4141-B28E-D5C5698B9B08}"/>
    <cellStyle name="Normal 9 2 2 4 5 2 4" xfId="12902" xr:uid="{34AB90A3-3B44-4611-8096-C58A65DC045A}"/>
    <cellStyle name="Normal 9 2 2 4 5 3" xfId="6536" xr:uid="{00000000-0005-0000-0000-0000F61E0000}"/>
    <cellStyle name="Normal 9 2 2 4 5 3 2" xfId="23408" xr:uid="{0F531025-E696-4637-8A56-883E5E392097}"/>
    <cellStyle name="Normal 9 2 2 4 5 3 3" xfId="14974" xr:uid="{047ADD5F-295B-4300-8A10-4D30880F4EC8}"/>
    <cellStyle name="Normal 9 2 2 4 5 4" xfId="19191" xr:uid="{73172687-2A85-4B59-852A-C2F2542FA774}"/>
    <cellStyle name="Normal 9 2 2 4 5 5" xfId="10757" xr:uid="{16D60999-5109-4D25-9EDC-3BA4651F66BA}"/>
    <cellStyle name="Normal 9 2 2 4 6" xfId="2665" xr:uid="{00000000-0005-0000-0000-0000F71E0000}"/>
    <cellStyle name="Normal 9 2 2 4 6 2" xfId="6949" xr:uid="{00000000-0005-0000-0000-0000F81E0000}"/>
    <cellStyle name="Normal 9 2 2 4 6 2 2" xfId="23821" xr:uid="{82BB9898-A75C-4E3F-B5F9-CC38102592C8}"/>
    <cellStyle name="Normal 9 2 2 4 6 2 3" xfId="15387" xr:uid="{C008411F-DFB0-4EF5-B9AF-41E2D14B3881}"/>
    <cellStyle name="Normal 9 2 2 4 6 3" xfId="19604" xr:uid="{01C88EE8-A882-4E3A-8924-51135891F39C}"/>
    <cellStyle name="Normal 9 2 2 4 6 4" xfId="11170" xr:uid="{78178B18-5990-4C32-8B98-B54B35BF26F2}"/>
    <cellStyle name="Normal 9 2 2 4 7" xfId="4884" xr:uid="{00000000-0005-0000-0000-0000F91E0000}"/>
    <cellStyle name="Normal 9 2 2 4 7 2" xfId="21756" xr:uid="{7BDFF206-BC1E-4ECE-973F-8579D4A2E2BD}"/>
    <cellStyle name="Normal 9 2 2 4 7 3" xfId="13322" xr:uid="{C790EC6E-DE88-408E-928B-40C928D4D8D3}"/>
    <cellStyle name="Normal 9 2 2 4 8" xfId="17539" xr:uid="{B02E532A-7771-48AF-AACB-ADDD3B8B1C25}"/>
    <cellStyle name="Normal 9 2 2 4 9" xfId="9105" xr:uid="{4C2EF251-7CC7-469B-890F-DA3CF98AF06D}"/>
    <cellStyle name="Normal 9 2 2 5" xfId="979" xr:uid="{00000000-0005-0000-0000-0000FA1E0000}"/>
    <cellStyle name="Normal 9 2 2 5 2" xfId="3212" xr:uid="{00000000-0005-0000-0000-0000FB1E0000}"/>
    <cellStyle name="Normal 9 2 2 5 2 2" xfId="7435" xr:uid="{00000000-0005-0000-0000-0000FC1E0000}"/>
    <cellStyle name="Normal 9 2 2 5 2 2 2" xfId="24307" xr:uid="{F22ED85F-43D1-448F-AA5F-C31696558F43}"/>
    <cellStyle name="Normal 9 2 2 5 2 2 3" xfId="15873" xr:uid="{CB099C81-E628-4576-9063-B3B7C6B2DE12}"/>
    <cellStyle name="Normal 9 2 2 5 2 3" xfId="20090" xr:uid="{FC808565-6ACE-43FE-8337-85BF4E76A194}"/>
    <cellStyle name="Normal 9 2 2 5 2 4" xfId="11656" xr:uid="{06ACA4EF-0551-4813-B079-4E7E2B88D30A}"/>
    <cellStyle name="Normal 9 2 2 5 3" xfId="5290" xr:uid="{00000000-0005-0000-0000-0000FD1E0000}"/>
    <cellStyle name="Normal 9 2 2 5 3 2" xfId="22162" xr:uid="{5FAB9007-E3D1-4BE7-89A5-398F7CC5E8E7}"/>
    <cellStyle name="Normal 9 2 2 5 3 3" xfId="13728" xr:uid="{B7FE5479-D1AC-489C-A6B7-66B9D76C5F8D}"/>
    <cellStyle name="Normal 9 2 2 5 4" xfId="17945" xr:uid="{8879179E-8BD1-4F20-A6A0-9E9AA12BEEB7}"/>
    <cellStyle name="Normal 9 2 2 5 5" xfId="9511" xr:uid="{6CF563B4-E777-41C1-9413-66D2B421ACC6}"/>
    <cellStyle name="Normal 9 2 2 6" xfId="1395" xr:uid="{00000000-0005-0000-0000-0000FE1E0000}"/>
    <cellStyle name="Normal 9 2 2 6 2" xfId="3625" xr:uid="{00000000-0005-0000-0000-0000FF1E0000}"/>
    <cellStyle name="Normal 9 2 2 6 2 2" xfId="7848" xr:uid="{00000000-0005-0000-0000-0000001F0000}"/>
    <cellStyle name="Normal 9 2 2 6 2 2 2" xfId="24720" xr:uid="{F6F23EF0-B792-4BD5-B41C-DEF39211C686}"/>
    <cellStyle name="Normal 9 2 2 6 2 2 3" xfId="16286" xr:uid="{3DC0218F-2645-4D59-899A-B765589AACD9}"/>
    <cellStyle name="Normal 9 2 2 6 2 3" xfId="20503" xr:uid="{104F3592-C294-45EC-A4B5-56B5AAB7E982}"/>
    <cellStyle name="Normal 9 2 2 6 2 4" xfId="12069" xr:uid="{9E7A0CCC-7000-4BD2-ABD2-4EB63C7D0886}"/>
    <cellStyle name="Normal 9 2 2 6 3" xfId="5703" xr:uid="{00000000-0005-0000-0000-0000011F0000}"/>
    <cellStyle name="Normal 9 2 2 6 3 2" xfId="22575" xr:uid="{E370B029-8299-4D0C-88C8-B4EBAB59E5B4}"/>
    <cellStyle name="Normal 9 2 2 6 3 3" xfId="14141" xr:uid="{3F7FE652-78AD-4BA3-9FE5-E1FECB2F1FBE}"/>
    <cellStyle name="Normal 9 2 2 6 4" xfId="18358" xr:uid="{756A648C-0D32-46F2-9FE6-771EF3A142C5}"/>
    <cellStyle name="Normal 9 2 2 6 5" xfId="9924" xr:uid="{1AE094AA-A664-4FB3-BDB5-2D00F944A953}"/>
    <cellStyle name="Normal 9 2 2 7" xfId="1808" xr:uid="{00000000-0005-0000-0000-0000021F0000}"/>
    <cellStyle name="Normal 9 2 2 7 2" xfId="4038" xr:uid="{00000000-0005-0000-0000-0000031F0000}"/>
    <cellStyle name="Normal 9 2 2 7 2 2" xfId="8261" xr:uid="{00000000-0005-0000-0000-0000041F0000}"/>
    <cellStyle name="Normal 9 2 2 7 2 2 2" xfId="25133" xr:uid="{882B409B-B7D1-4879-AEDB-F4316C179D39}"/>
    <cellStyle name="Normal 9 2 2 7 2 2 3" xfId="16699" xr:uid="{C2D81528-4244-4B84-AB61-CA61C1076838}"/>
    <cellStyle name="Normal 9 2 2 7 2 3" xfId="20916" xr:uid="{5E2E9B96-0CF3-4BEB-BADE-5F86505C5D90}"/>
    <cellStyle name="Normal 9 2 2 7 2 4" xfId="12482" xr:uid="{ACB35975-350E-4D14-AB6E-4902D2F894A1}"/>
    <cellStyle name="Normal 9 2 2 7 3" xfId="6116" xr:uid="{00000000-0005-0000-0000-0000051F0000}"/>
    <cellStyle name="Normal 9 2 2 7 3 2" xfId="22988" xr:uid="{0ABBEF9C-B42C-4972-B4E1-0CF41A2EE0B9}"/>
    <cellStyle name="Normal 9 2 2 7 3 3" xfId="14554" xr:uid="{7F5562DC-78D5-4C09-8466-ED81768325E7}"/>
    <cellStyle name="Normal 9 2 2 7 4" xfId="18771" xr:uid="{B6152872-C8C3-45E9-A570-13C2A92F098E}"/>
    <cellStyle name="Normal 9 2 2 7 5" xfId="10337" xr:uid="{B4F4AEB9-6525-442F-83FD-7315BB006DDB}"/>
    <cellStyle name="Normal 9 2 2 8" xfId="2222" xr:uid="{00000000-0005-0000-0000-0000061F0000}"/>
    <cellStyle name="Normal 9 2 2 8 2" xfId="4451" xr:uid="{00000000-0005-0000-0000-0000071F0000}"/>
    <cellStyle name="Normal 9 2 2 8 2 2" xfId="8674" xr:uid="{00000000-0005-0000-0000-0000081F0000}"/>
    <cellStyle name="Normal 9 2 2 8 2 2 2" xfId="25546" xr:uid="{5C1998CD-4082-4E60-AA7A-9E6F614FAF60}"/>
    <cellStyle name="Normal 9 2 2 8 2 2 3" xfId="17112" xr:uid="{29CFDA74-0E04-4A4D-9294-3C1AB49867F4}"/>
    <cellStyle name="Normal 9 2 2 8 2 3" xfId="21329" xr:uid="{B360805E-245A-4912-B262-D34AE5465DF3}"/>
    <cellStyle name="Normal 9 2 2 8 2 4" xfId="12895" xr:uid="{B7114E2E-31BD-41CB-B1FA-20BED42A75B0}"/>
    <cellStyle name="Normal 9 2 2 8 3" xfId="6529" xr:uid="{00000000-0005-0000-0000-0000091F0000}"/>
    <cellStyle name="Normal 9 2 2 8 3 2" xfId="23401" xr:uid="{DE335E9F-BC36-46B7-935D-440FFAF71E69}"/>
    <cellStyle name="Normal 9 2 2 8 3 3" xfId="14967" xr:uid="{15633A2E-4194-4947-A9B6-DDDED0103857}"/>
    <cellStyle name="Normal 9 2 2 8 4" xfId="19184" xr:uid="{13A433C9-72E2-467D-AB35-EAABEB797139}"/>
    <cellStyle name="Normal 9 2 2 8 5" xfId="10750" xr:uid="{D66A789B-BE8B-48E5-992D-A5BA4385E81A}"/>
    <cellStyle name="Normal 9 2 2 9" xfId="2658" xr:uid="{00000000-0005-0000-0000-00000A1F0000}"/>
    <cellStyle name="Normal 9 2 2 9 2" xfId="6942" xr:uid="{00000000-0005-0000-0000-00000B1F0000}"/>
    <cellStyle name="Normal 9 2 2 9 2 2" xfId="23814" xr:uid="{27F36B0B-2081-47C6-9B09-334692311DD0}"/>
    <cellStyle name="Normal 9 2 2 9 2 3" xfId="15380" xr:uid="{D6BEDB58-77D4-4017-8567-58A4D455F4A9}"/>
    <cellStyle name="Normal 9 2 2 9 3" xfId="19597" xr:uid="{E038B864-9D71-4AB1-B6E9-ACBDC15ED83F}"/>
    <cellStyle name="Normal 9 2 2 9 4" xfId="11163" xr:uid="{56000434-F624-46D7-AD83-581B18B3F27B}"/>
    <cellStyle name="Normal 9 2 3" xfId="520" xr:uid="{00000000-0005-0000-0000-00000C1F0000}"/>
    <cellStyle name="Normal 9 2 3 10" xfId="17540" xr:uid="{1E230E9C-00FA-4D42-BB95-09EAA7594FDF}"/>
    <cellStyle name="Normal 9 2 3 11" xfId="9106" xr:uid="{3B3E5A60-BD48-469D-B6EF-929CD730C687}"/>
    <cellStyle name="Normal 9 2 3 2" xfId="521" xr:uid="{00000000-0005-0000-0000-00000D1F0000}"/>
    <cellStyle name="Normal 9 2 3 2 10" xfId="9107" xr:uid="{D057D200-13D8-4022-BDDE-6F3B50404EBE}"/>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24317" xr:uid="{47C09ED0-3B05-4C0B-9CDA-CBC3F89D7081}"/>
    <cellStyle name="Normal 9 2 3 2 2 2 2 2 3" xfId="15883" xr:uid="{E1CD5420-C873-4C4E-B9C7-FE946AE40318}"/>
    <cellStyle name="Normal 9 2 3 2 2 2 2 3" xfId="20100" xr:uid="{7F5B77FC-31CA-478D-8890-AE4D23724F83}"/>
    <cellStyle name="Normal 9 2 3 2 2 2 2 4" xfId="11666" xr:uid="{B3D0A49C-532F-4566-878F-4CB5F4BD41CF}"/>
    <cellStyle name="Normal 9 2 3 2 2 2 3" xfId="5300" xr:uid="{00000000-0005-0000-0000-0000121F0000}"/>
    <cellStyle name="Normal 9 2 3 2 2 2 3 2" xfId="22172" xr:uid="{95489F01-C8B4-43D5-ADA8-373519786F47}"/>
    <cellStyle name="Normal 9 2 3 2 2 2 3 3" xfId="13738" xr:uid="{852D0A37-8C5B-49A1-AAB9-4381D38D397C}"/>
    <cellStyle name="Normal 9 2 3 2 2 2 4" xfId="17955" xr:uid="{D5ACDF20-C3C4-4BD8-B655-F9F87FF15600}"/>
    <cellStyle name="Normal 9 2 3 2 2 2 5" xfId="9521" xr:uid="{DFEA1467-6D66-48B0-A092-E68AD83F30B2}"/>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24730" xr:uid="{7D01D3D4-AAC1-4B7B-AD16-E4C005536459}"/>
    <cellStyle name="Normal 9 2 3 2 2 3 2 2 3" xfId="16296" xr:uid="{EAE68B63-31C5-4E91-9D10-6BBC0B76522E}"/>
    <cellStyle name="Normal 9 2 3 2 2 3 2 3" xfId="20513" xr:uid="{21F811DC-681A-441B-BEA7-15243835641A}"/>
    <cellStyle name="Normal 9 2 3 2 2 3 2 4" xfId="12079" xr:uid="{2F0D597F-85F2-4FFD-9429-5D4135DD7215}"/>
    <cellStyle name="Normal 9 2 3 2 2 3 3" xfId="5713" xr:uid="{00000000-0005-0000-0000-0000161F0000}"/>
    <cellStyle name="Normal 9 2 3 2 2 3 3 2" xfId="22585" xr:uid="{726F3632-630B-4161-A97B-5C97973C0CFB}"/>
    <cellStyle name="Normal 9 2 3 2 2 3 3 3" xfId="14151" xr:uid="{949D1902-0CA3-47FF-80D5-82180E420DE8}"/>
    <cellStyle name="Normal 9 2 3 2 2 3 4" xfId="18368" xr:uid="{6BC7A394-2BE1-4931-865B-7F53CD319371}"/>
    <cellStyle name="Normal 9 2 3 2 2 3 5" xfId="9934" xr:uid="{F3257D74-9A49-4133-9696-06F0AF7058FB}"/>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25143" xr:uid="{20936BC0-E1ED-45C2-9916-DC80C40BF62F}"/>
    <cellStyle name="Normal 9 2 3 2 2 4 2 2 3" xfId="16709" xr:uid="{0AA50991-9A3E-4D7F-92DE-0F7951184E85}"/>
    <cellStyle name="Normal 9 2 3 2 2 4 2 3" xfId="20926" xr:uid="{CC3942F4-1190-4C95-89DF-C9A2A6C77867}"/>
    <cellStyle name="Normal 9 2 3 2 2 4 2 4" xfId="12492" xr:uid="{9BA41F57-4966-4D70-BFE8-A3DB49779374}"/>
    <cellStyle name="Normal 9 2 3 2 2 4 3" xfId="6126" xr:uid="{00000000-0005-0000-0000-00001A1F0000}"/>
    <cellStyle name="Normal 9 2 3 2 2 4 3 2" xfId="22998" xr:uid="{277E372A-5895-4BD0-A70B-55EC35D0C9E2}"/>
    <cellStyle name="Normal 9 2 3 2 2 4 3 3" xfId="14564" xr:uid="{1BD1AF5A-4BF1-44CC-9C41-9C0B34ECCF0E}"/>
    <cellStyle name="Normal 9 2 3 2 2 4 4" xfId="18781" xr:uid="{3F4CEBE9-009A-4EA2-B69C-81A9BCB5AB63}"/>
    <cellStyle name="Normal 9 2 3 2 2 4 5" xfId="10347" xr:uid="{74B6B05B-0DD8-4542-8545-EB23A190A692}"/>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25556" xr:uid="{F8EA9A6C-18B5-4237-BD19-B6BBF62EBD6C}"/>
    <cellStyle name="Normal 9 2 3 2 2 5 2 2 3" xfId="17122" xr:uid="{B6F37375-C27B-45BD-909B-EDB401C80C51}"/>
    <cellStyle name="Normal 9 2 3 2 2 5 2 3" xfId="21339" xr:uid="{16FC350A-06CB-4941-9BD6-B03EEE84B6C1}"/>
    <cellStyle name="Normal 9 2 3 2 2 5 2 4" xfId="12905" xr:uid="{B8A4DC24-B021-4E7C-AC33-1C40D3241D80}"/>
    <cellStyle name="Normal 9 2 3 2 2 5 3" xfId="6539" xr:uid="{00000000-0005-0000-0000-00001E1F0000}"/>
    <cellStyle name="Normal 9 2 3 2 2 5 3 2" xfId="23411" xr:uid="{68FD5FE9-57B4-4CDB-AEB8-448E01783A73}"/>
    <cellStyle name="Normal 9 2 3 2 2 5 3 3" xfId="14977" xr:uid="{831D1FB1-007B-4D35-86B4-B194D7F69EF3}"/>
    <cellStyle name="Normal 9 2 3 2 2 5 4" xfId="19194" xr:uid="{70883A6E-5C09-489E-B712-9D586223FBB4}"/>
    <cellStyle name="Normal 9 2 3 2 2 5 5" xfId="10760" xr:uid="{851E75C5-FA65-4726-A782-F9F4090A93FA}"/>
    <cellStyle name="Normal 9 2 3 2 2 6" xfId="2668" xr:uid="{00000000-0005-0000-0000-00001F1F0000}"/>
    <cellStyle name="Normal 9 2 3 2 2 6 2" xfId="6952" xr:uid="{00000000-0005-0000-0000-0000201F0000}"/>
    <cellStyle name="Normal 9 2 3 2 2 6 2 2" xfId="23824" xr:uid="{287FDCDF-4C0E-4A21-9AAF-7E936A7AA40A}"/>
    <cellStyle name="Normal 9 2 3 2 2 6 2 3" xfId="15390" xr:uid="{2CBDFFEA-DC9B-4DD0-81E3-13E58B84755F}"/>
    <cellStyle name="Normal 9 2 3 2 2 6 3" xfId="19607" xr:uid="{525F7BE1-2D48-4CA2-922D-0B354E636F93}"/>
    <cellStyle name="Normal 9 2 3 2 2 6 4" xfId="11173" xr:uid="{CFB2B73D-DA61-4291-9C9F-545734D632E2}"/>
    <cellStyle name="Normal 9 2 3 2 2 7" xfId="4887" xr:uid="{00000000-0005-0000-0000-0000211F0000}"/>
    <cellStyle name="Normal 9 2 3 2 2 7 2" xfId="21759" xr:uid="{1E480998-A0EA-43DF-829E-7B52DF0C158B}"/>
    <cellStyle name="Normal 9 2 3 2 2 7 3" xfId="13325" xr:uid="{A120D0CA-5455-4E2F-8C7F-7B1D1C96D6AF}"/>
    <cellStyle name="Normal 9 2 3 2 2 8" xfId="17542" xr:uid="{DC0D9CFE-9C4A-4B3C-895C-119681B74168}"/>
    <cellStyle name="Normal 9 2 3 2 2 9" xfId="9108" xr:uid="{34DF8E94-9E41-4FFC-9B92-27411B421401}"/>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24316" xr:uid="{C0086BD3-D274-474A-9B3B-9941EE116010}"/>
    <cellStyle name="Normal 9 2 3 2 3 2 2 3" xfId="15882" xr:uid="{800B67C1-C259-4844-9071-F895351F9F35}"/>
    <cellStyle name="Normal 9 2 3 2 3 2 3" xfId="20099" xr:uid="{E7163159-F859-436F-BB68-62409ADC7BBD}"/>
    <cellStyle name="Normal 9 2 3 2 3 2 4" xfId="11665" xr:uid="{5AB08200-8C12-45FA-A9BC-559C68627A01}"/>
    <cellStyle name="Normal 9 2 3 2 3 3" xfId="5299" xr:uid="{00000000-0005-0000-0000-0000251F0000}"/>
    <cellStyle name="Normal 9 2 3 2 3 3 2" xfId="22171" xr:uid="{358E751B-AD96-4173-9604-BB39A15ECB7B}"/>
    <cellStyle name="Normal 9 2 3 2 3 3 3" xfId="13737" xr:uid="{23649564-461E-4EF0-8025-051AF64F8892}"/>
    <cellStyle name="Normal 9 2 3 2 3 4" xfId="17954" xr:uid="{30E89550-D08F-4F67-89AD-4D96907731CE}"/>
    <cellStyle name="Normal 9 2 3 2 3 5" xfId="9520" xr:uid="{DA3BB449-E3F8-4B84-9929-3AECF91BFB49}"/>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24729" xr:uid="{CF9E6C1E-249B-4609-AA12-2C491DCD93BF}"/>
    <cellStyle name="Normal 9 2 3 2 4 2 2 3" xfId="16295" xr:uid="{B86401B4-22DA-44CC-991B-841DEC780719}"/>
    <cellStyle name="Normal 9 2 3 2 4 2 3" xfId="20512" xr:uid="{D9A47A53-1E81-42FE-BE20-D8C19D037287}"/>
    <cellStyle name="Normal 9 2 3 2 4 2 4" xfId="12078" xr:uid="{9D67BA0C-3556-4A79-A392-992A2AE944DF}"/>
    <cellStyle name="Normal 9 2 3 2 4 3" xfId="5712" xr:uid="{00000000-0005-0000-0000-0000291F0000}"/>
    <cellStyle name="Normal 9 2 3 2 4 3 2" xfId="22584" xr:uid="{120B6854-8537-44A9-83CD-9342AC8D37BC}"/>
    <cellStyle name="Normal 9 2 3 2 4 3 3" xfId="14150" xr:uid="{8138D2B7-FC6D-4BA0-AF5F-B0CF01337CC0}"/>
    <cellStyle name="Normal 9 2 3 2 4 4" xfId="18367" xr:uid="{72C8E129-2DE2-416D-B951-72192CB83FD8}"/>
    <cellStyle name="Normal 9 2 3 2 4 5" xfId="9933" xr:uid="{CDC1E06C-85E6-4DBA-80B8-B1B07955203E}"/>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25142" xr:uid="{804B217F-35A8-4A71-9EC3-0E7EE6826B1A}"/>
    <cellStyle name="Normal 9 2 3 2 5 2 2 3" xfId="16708" xr:uid="{FEFA1F18-EE0E-4B19-8D71-958140364994}"/>
    <cellStyle name="Normal 9 2 3 2 5 2 3" xfId="20925" xr:uid="{B520DE4F-F995-4A80-A444-1E68E2F0B999}"/>
    <cellStyle name="Normal 9 2 3 2 5 2 4" xfId="12491" xr:uid="{987F5300-7494-458F-AF52-A56ED5D0E90F}"/>
    <cellStyle name="Normal 9 2 3 2 5 3" xfId="6125" xr:uid="{00000000-0005-0000-0000-00002D1F0000}"/>
    <cellStyle name="Normal 9 2 3 2 5 3 2" xfId="22997" xr:uid="{A1D3C8D0-F1DC-44FA-87A5-BC97DB7D4043}"/>
    <cellStyle name="Normal 9 2 3 2 5 3 3" xfId="14563" xr:uid="{0DB7990A-1CF1-4E67-B6D0-126FA44C14F5}"/>
    <cellStyle name="Normal 9 2 3 2 5 4" xfId="18780" xr:uid="{12FCBEA3-FF6B-4EDE-8737-C75E5C84FEA3}"/>
    <cellStyle name="Normal 9 2 3 2 5 5" xfId="10346" xr:uid="{D5EC2A36-DCD4-40B6-A2AE-B94AA5EE49B8}"/>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25555" xr:uid="{E0B17656-8EDA-49A5-B28E-BDC96F9B5EBC}"/>
    <cellStyle name="Normal 9 2 3 2 6 2 2 3" xfId="17121" xr:uid="{BCF1D978-63CB-40BD-B17E-35DAEDDAFD3D}"/>
    <cellStyle name="Normal 9 2 3 2 6 2 3" xfId="21338" xr:uid="{299BC30E-F1D2-4610-842E-DA61F8A54B12}"/>
    <cellStyle name="Normal 9 2 3 2 6 2 4" xfId="12904" xr:uid="{425DFDC1-97AC-4DB0-ADF9-EDF461BDD8D6}"/>
    <cellStyle name="Normal 9 2 3 2 6 3" xfId="6538" xr:uid="{00000000-0005-0000-0000-0000311F0000}"/>
    <cellStyle name="Normal 9 2 3 2 6 3 2" xfId="23410" xr:uid="{2638729D-69BE-43CA-B2F3-DCB914E7B95A}"/>
    <cellStyle name="Normal 9 2 3 2 6 3 3" xfId="14976" xr:uid="{9B36B177-64DD-42DE-B5A9-C69CE8671BA2}"/>
    <cellStyle name="Normal 9 2 3 2 6 4" xfId="19193" xr:uid="{03841A3B-5FB6-44A5-97F2-394C33213863}"/>
    <cellStyle name="Normal 9 2 3 2 6 5" xfId="10759" xr:uid="{3671CB80-789A-40F5-AB52-FC82FA3B5788}"/>
    <cellStyle name="Normal 9 2 3 2 7" xfId="2667" xr:uid="{00000000-0005-0000-0000-0000321F0000}"/>
    <cellStyle name="Normal 9 2 3 2 7 2" xfId="6951" xr:uid="{00000000-0005-0000-0000-0000331F0000}"/>
    <cellStyle name="Normal 9 2 3 2 7 2 2" xfId="23823" xr:uid="{6E0D102E-9C30-4786-BEC1-920274088948}"/>
    <cellStyle name="Normal 9 2 3 2 7 2 3" xfId="15389" xr:uid="{0C7F0923-3D88-42E2-8FA5-00371FF0F72B}"/>
    <cellStyle name="Normal 9 2 3 2 7 3" xfId="19606" xr:uid="{F0EEB023-463C-49C4-A35E-D507668B384A}"/>
    <cellStyle name="Normal 9 2 3 2 7 4" xfId="11172" xr:uid="{5C65CDDE-0B42-4647-B8FB-FC357570EADC}"/>
    <cellStyle name="Normal 9 2 3 2 8" xfId="4886" xr:uid="{00000000-0005-0000-0000-0000341F0000}"/>
    <cellStyle name="Normal 9 2 3 2 8 2" xfId="21758" xr:uid="{A9E6E6E3-6243-46E0-873F-9037759F6275}"/>
    <cellStyle name="Normal 9 2 3 2 8 3" xfId="13324" xr:uid="{4ECB5BFC-E923-41DD-AC5B-C65E349C8708}"/>
    <cellStyle name="Normal 9 2 3 2 9" xfId="17541" xr:uid="{4F636614-FDF9-4F45-A122-1AB0E3EB95B8}"/>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24318" xr:uid="{D016B626-3C60-4ED1-9BD9-036335495519}"/>
    <cellStyle name="Normal 9 2 3 3 2 2 2 3" xfId="15884" xr:uid="{34407120-7406-4C81-A5CC-10E8DDF2B160}"/>
    <cellStyle name="Normal 9 2 3 3 2 2 3" xfId="20101" xr:uid="{6AB7F12B-8BE6-42DC-A46E-2111EB2393F1}"/>
    <cellStyle name="Normal 9 2 3 3 2 2 4" xfId="11667" xr:uid="{D3A4F68B-037D-4F7D-A6C8-1245870C5C48}"/>
    <cellStyle name="Normal 9 2 3 3 2 3" xfId="5301" xr:uid="{00000000-0005-0000-0000-0000391F0000}"/>
    <cellStyle name="Normal 9 2 3 3 2 3 2" xfId="22173" xr:uid="{58B64E71-7027-40AA-8FD2-EE5F81B9F040}"/>
    <cellStyle name="Normal 9 2 3 3 2 3 3" xfId="13739" xr:uid="{4FA1665F-136B-4CBF-A98D-62370E8A1BEE}"/>
    <cellStyle name="Normal 9 2 3 3 2 4" xfId="17956" xr:uid="{94B0968F-C25B-451A-A777-0914BC374E71}"/>
    <cellStyle name="Normal 9 2 3 3 2 5" xfId="9522" xr:uid="{F537723A-9C1A-413B-BEB5-907BFF7FC9D5}"/>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24731" xr:uid="{A6D9A0C7-8717-4EC7-8BFE-8620354D4FBD}"/>
    <cellStyle name="Normal 9 2 3 3 3 2 2 3" xfId="16297" xr:uid="{8758AD6E-7EB8-45C6-AF01-8D630646FC2E}"/>
    <cellStyle name="Normal 9 2 3 3 3 2 3" xfId="20514" xr:uid="{568FEB24-3ACB-496E-9693-7D3CED9BB703}"/>
    <cellStyle name="Normal 9 2 3 3 3 2 4" xfId="12080" xr:uid="{F01A8C89-7169-4B47-989E-45FC41C6E876}"/>
    <cellStyle name="Normal 9 2 3 3 3 3" xfId="5714" xr:uid="{00000000-0005-0000-0000-00003D1F0000}"/>
    <cellStyle name="Normal 9 2 3 3 3 3 2" xfId="22586" xr:uid="{FE4A3A03-AD13-4E09-A9D8-35F24959D80E}"/>
    <cellStyle name="Normal 9 2 3 3 3 3 3" xfId="14152" xr:uid="{2EF9302D-E49C-4AFA-B6C4-6F784E2B98DE}"/>
    <cellStyle name="Normal 9 2 3 3 3 4" xfId="18369" xr:uid="{25C55A1A-E9DB-459C-BAFD-3DD91C31F064}"/>
    <cellStyle name="Normal 9 2 3 3 3 5" xfId="9935" xr:uid="{E649CF61-0F5E-49B2-B6ED-21219BD07979}"/>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25144" xr:uid="{3B4551C2-9F1A-4660-A934-F61658678BA3}"/>
    <cellStyle name="Normal 9 2 3 3 4 2 2 3" xfId="16710" xr:uid="{D4B2D66C-6DE1-4B45-A66D-27982475D8DA}"/>
    <cellStyle name="Normal 9 2 3 3 4 2 3" xfId="20927" xr:uid="{FF5A7B90-EB63-4A2A-AE84-112CFEF793F1}"/>
    <cellStyle name="Normal 9 2 3 3 4 2 4" xfId="12493" xr:uid="{16ACFFBD-B20A-432E-9D3E-4042C5165CED}"/>
    <cellStyle name="Normal 9 2 3 3 4 3" xfId="6127" xr:uid="{00000000-0005-0000-0000-0000411F0000}"/>
    <cellStyle name="Normal 9 2 3 3 4 3 2" xfId="22999" xr:uid="{47026760-AA4F-485C-828B-3D47B5986C10}"/>
    <cellStyle name="Normal 9 2 3 3 4 3 3" xfId="14565" xr:uid="{DDA361B4-F25D-468B-8F1A-2E6BB9B56C27}"/>
    <cellStyle name="Normal 9 2 3 3 4 4" xfId="18782" xr:uid="{207C9AF6-5AD7-4C71-8456-0758F0022927}"/>
    <cellStyle name="Normal 9 2 3 3 4 5" xfId="10348" xr:uid="{6849D88F-834E-4B70-A79C-249AEF134B81}"/>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25557" xr:uid="{0A793D0D-E582-419C-A171-741AE7F8B0E6}"/>
    <cellStyle name="Normal 9 2 3 3 5 2 2 3" xfId="17123" xr:uid="{9E505A30-B449-40BF-ABBD-822D3B56FEFC}"/>
    <cellStyle name="Normal 9 2 3 3 5 2 3" xfId="21340" xr:uid="{B2B28125-5AB9-4617-9D92-98D93A6A7DA9}"/>
    <cellStyle name="Normal 9 2 3 3 5 2 4" xfId="12906" xr:uid="{1E456E50-11BB-4CE6-A540-8B8C19292563}"/>
    <cellStyle name="Normal 9 2 3 3 5 3" xfId="6540" xr:uid="{00000000-0005-0000-0000-0000451F0000}"/>
    <cellStyle name="Normal 9 2 3 3 5 3 2" xfId="23412" xr:uid="{D424FEC5-8AD1-4D9D-97A4-608990C6278D}"/>
    <cellStyle name="Normal 9 2 3 3 5 3 3" xfId="14978" xr:uid="{24639206-E74F-40C8-814A-22009FD7268D}"/>
    <cellStyle name="Normal 9 2 3 3 5 4" xfId="19195" xr:uid="{10B88BC9-53FA-4A00-98D4-547508CC47BF}"/>
    <cellStyle name="Normal 9 2 3 3 5 5" xfId="10761" xr:uid="{5DB12799-7AB6-49F5-9216-FEB921FB8DCB}"/>
    <cellStyle name="Normal 9 2 3 3 6" xfId="2669" xr:uid="{00000000-0005-0000-0000-0000461F0000}"/>
    <cellStyle name="Normal 9 2 3 3 6 2" xfId="6953" xr:uid="{00000000-0005-0000-0000-0000471F0000}"/>
    <cellStyle name="Normal 9 2 3 3 6 2 2" xfId="23825" xr:uid="{5C643267-6691-44DC-8AEE-C82C7118E966}"/>
    <cellStyle name="Normal 9 2 3 3 6 2 3" xfId="15391" xr:uid="{6174A736-2B32-4A4C-85FB-79EFAD913EEB}"/>
    <cellStyle name="Normal 9 2 3 3 6 3" xfId="19608" xr:uid="{C0547644-5D06-4A07-8C08-65335A962CDF}"/>
    <cellStyle name="Normal 9 2 3 3 6 4" xfId="11174" xr:uid="{243BC182-7DEB-4925-9525-AEDFEE009C72}"/>
    <cellStyle name="Normal 9 2 3 3 7" xfId="4888" xr:uid="{00000000-0005-0000-0000-0000481F0000}"/>
    <cellStyle name="Normal 9 2 3 3 7 2" xfId="21760" xr:uid="{48CAD8B4-1B49-4F25-A3D5-C40A2EE7575A}"/>
    <cellStyle name="Normal 9 2 3 3 7 3" xfId="13326" xr:uid="{B98698B5-120A-4B1F-A464-766C5E7917BF}"/>
    <cellStyle name="Normal 9 2 3 3 8" xfId="17543" xr:uid="{4FE7A2FE-ACEA-49A6-951B-0A1A436B3217}"/>
    <cellStyle name="Normal 9 2 3 3 9" xfId="9109" xr:uid="{D5053077-06EF-412D-8C29-7E16454C8F7B}"/>
    <cellStyle name="Normal 9 2 3 4" xfId="987" xr:uid="{00000000-0005-0000-0000-0000491F0000}"/>
    <cellStyle name="Normal 9 2 3 4 2" xfId="3220" xr:uid="{00000000-0005-0000-0000-00004A1F0000}"/>
    <cellStyle name="Normal 9 2 3 4 2 2" xfId="7443" xr:uid="{00000000-0005-0000-0000-00004B1F0000}"/>
    <cellStyle name="Normal 9 2 3 4 2 2 2" xfId="24315" xr:uid="{0CD70E7F-0169-4914-A7C4-AB0DC3BF322A}"/>
    <cellStyle name="Normal 9 2 3 4 2 2 3" xfId="15881" xr:uid="{7590699A-27AF-4015-9263-7F2014AF7C15}"/>
    <cellStyle name="Normal 9 2 3 4 2 3" xfId="20098" xr:uid="{EE89DC32-0251-4B2E-BB42-B436B8A47A13}"/>
    <cellStyle name="Normal 9 2 3 4 2 4" xfId="11664" xr:uid="{6E201E92-5AFE-45B7-A2BA-60B8844836AA}"/>
    <cellStyle name="Normal 9 2 3 4 3" xfId="5298" xr:uid="{00000000-0005-0000-0000-00004C1F0000}"/>
    <cellStyle name="Normal 9 2 3 4 3 2" xfId="22170" xr:uid="{E8EEFB0F-ABB7-4F1B-A97C-1D6B19CA20E2}"/>
    <cellStyle name="Normal 9 2 3 4 3 3" xfId="13736" xr:uid="{2259E67C-4DA0-4351-9CE5-90546EED8A0D}"/>
    <cellStyle name="Normal 9 2 3 4 4" xfId="17953" xr:uid="{F41DA677-4520-43D8-96C0-0EBA3A9D6C39}"/>
    <cellStyle name="Normal 9 2 3 4 5" xfId="9519" xr:uid="{6419E55F-5A1A-4946-B10D-6F44E83B89FF}"/>
    <cellStyle name="Normal 9 2 3 5" xfId="1403" xr:uid="{00000000-0005-0000-0000-00004D1F0000}"/>
    <cellStyle name="Normal 9 2 3 5 2" xfId="3633" xr:uid="{00000000-0005-0000-0000-00004E1F0000}"/>
    <cellStyle name="Normal 9 2 3 5 2 2" xfId="7856" xr:uid="{00000000-0005-0000-0000-00004F1F0000}"/>
    <cellStyle name="Normal 9 2 3 5 2 2 2" xfId="24728" xr:uid="{2661F0CE-42BD-42F9-83BA-8148F01D8540}"/>
    <cellStyle name="Normal 9 2 3 5 2 2 3" xfId="16294" xr:uid="{56B45EB3-D0EF-4804-96E5-25C9E0246C82}"/>
    <cellStyle name="Normal 9 2 3 5 2 3" xfId="20511" xr:uid="{093B7AC6-9CC1-48EE-AC8C-E857C52F5D44}"/>
    <cellStyle name="Normal 9 2 3 5 2 4" xfId="12077" xr:uid="{34F3405F-BF8E-4EE9-8730-226B15906F59}"/>
    <cellStyle name="Normal 9 2 3 5 3" xfId="5711" xr:uid="{00000000-0005-0000-0000-0000501F0000}"/>
    <cellStyle name="Normal 9 2 3 5 3 2" xfId="22583" xr:uid="{6623176D-62EB-4BD6-B6DE-26577EC8EAAE}"/>
    <cellStyle name="Normal 9 2 3 5 3 3" xfId="14149" xr:uid="{DE8ACDD0-88A1-4925-9930-F40148B58D4C}"/>
    <cellStyle name="Normal 9 2 3 5 4" xfId="18366" xr:uid="{62EC745F-4DD8-4600-9F92-81FAF3995485}"/>
    <cellStyle name="Normal 9 2 3 5 5" xfId="9932" xr:uid="{080958AF-321A-411A-89D7-73510AB6FD5C}"/>
    <cellStyle name="Normal 9 2 3 6" xfId="1816" xr:uid="{00000000-0005-0000-0000-0000511F0000}"/>
    <cellStyle name="Normal 9 2 3 6 2" xfId="4046" xr:uid="{00000000-0005-0000-0000-0000521F0000}"/>
    <cellStyle name="Normal 9 2 3 6 2 2" xfId="8269" xr:uid="{00000000-0005-0000-0000-0000531F0000}"/>
    <cellStyle name="Normal 9 2 3 6 2 2 2" xfId="25141" xr:uid="{B101DE04-399B-4555-8DA6-A3E5249D78FF}"/>
    <cellStyle name="Normal 9 2 3 6 2 2 3" xfId="16707" xr:uid="{DA854EDB-E40B-4153-B2EA-2E993BF5082F}"/>
    <cellStyle name="Normal 9 2 3 6 2 3" xfId="20924" xr:uid="{712B9740-7DBB-407F-9DF0-A9F1B453D316}"/>
    <cellStyle name="Normal 9 2 3 6 2 4" xfId="12490" xr:uid="{3A9A6331-E3E1-45CA-AAC6-8AE1208A7197}"/>
    <cellStyle name="Normal 9 2 3 6 3" xfId="6124" xr:uid="{00000000-0005-0000-0000-0000541F0000}"/>
    <cellStyle name="Normal 9 2 3 6 3 2" xfId="22996" xr:uid="{617E7C65-E209-4CAC-87BB-A3558C894D05}"/>
    <cellStyle name="Normal 9 2 3 6 3 3" xfId="14562" xr:uid="{21B48099-53A6-4D44-9884-C3D6049F5F8E}"/>
    <cellStyle name="Normal 9 2 3 6 4" xfId="18779" xr:uid="{D40CC522-B7F8-47F0-B643-550060DEF993}"/>
    <cellStyle name="Normal 9 2 3 6 5" xfId="10345" xr:uid="{A151ED9A-D7DF-4D1E-86C1-46D0F731A0F8}"/>
    <cellStyle name="Normal 9 2 3 7" xfId="2230" xr:uid="{00000000-0005-0000-0000-0000551F0000}"/>
    <cellStyle name="Normal 9 2 3 7 2" xfId="4459" xr:uid="{00000000-0005-0000-0000-0000561F0000}"/>
    <cellStyle name="Normal 9 2 3 7 2 2" xfId="8682" xr:uid="{00000000-0005-0000-0000-0000571F0000}"/>
    <cellStyle name="Normal 9 2 3 7 2 2 2" xfId="25554" xr:uid="{1CAA5E53-C9B6-4E36-9C55-F417D7BD2191}"/>
    <cellStyle name="Normal 9 2 3 7 2 2 3" xfId="17120" xr:uid="{B9D556D9-FC1E-4CB1-962B-1ABBBEC135B4}"/>
    <cellStyle name="Normal 9 2 3 7 2 3" xfId="21337" xr:uid="{557FBA5C-9608-4FE3-A958-CC18718A9B50}"/>
    <cellStyle name="Normal 9 2 3 7 2 4" xfId="12903" xr:uid="{22522F38-3B2D-401E-A778-6A06029C39A6}"/>
    <cellStyle name="Normal 9 2 3 7 3" xfId="6537" xr:uid="{00000000-0005-0000-0000-0000581F0000}"/>
    <cellStyle name="Normal 9 2 3 7 3 2" xfId="23409" xr:uid="{15F465F6-5089-438B-B01E-EC7AF27A6AA4}"/>
    <cellStyle name="Normal 9 2 3 7 3 3" xfId="14975" xr:uid="{38E985E2-66E3-4530-87E4-4EB4C043A53C}"/>
    <cellStyle name="Normal 9 2 3 7 4" xfId="19192" xr:uid="{AF9053D8-63C6-40C4-B3F1-16D225441009}"/>
    <cellStyle name="Normal 9 2 3 7 5" xfId="10758" xr:uid="{4F240FA3-08D0-4558-9666-9062ECA01B1D}"/>
    <cellStyle name="Normal 9 2 3 8" xfId="2666" xr:uid="{00000000-0005-0000-0000-0000591F0000}"/>
    <cellStyle name="Normal 9 2 3 8 2" xfId="6950" xr:uid="{00000000-0005-0000-0000-00005A1F0000}"/>
    <cellStyle name="Normal 9 2 3 8 2 2" xfId="23822" xr:uid="{E4D13647-EA78-46E3-B690-AB260F903B90}"/>
    <cellStyle name="Normal 9 2 3 8 2 3" xfId="15388" xr:uid="{F3977FF6-6456-4185-84F2-63F18270667C}"/>
    <cellStyle name="Normal 9 2 3 8 3" xfId="19605" xr:uid="{DB399A22-0382-49D1-8AB1-C307011B3763}"/>
    <cellStyle name="Normal 9 2 3 8 4" xfId="11171" xr:uid="{2411DCD8-A795-42C8-A5F7-6C2957840FB8}"/>
    <cellStyle name="Normal 9 2 3 9" xfId="4885" xr:uid="{00000000-0005-0000-0000-00005B1F0000}"/>
    <cellStyle name="Normal 9 2 3 9 2" xfId="21757" xr:uid="{AF9E77A6-535E-4C0E-BE3B-64D40C4C809A}"/>
    <cellStyle name="Normal 9 2 3 9 3" xfId="13323" xr:uid="{2EDB922A-ABE0-45F2-9676-B9563FFDA25C}"/>
    <cellStyle name="Normal 9 2 4" xfId="524" xr:uid="{00000000-0005-0000-0000-00005C1F0000}"/>
    <cellStyle name="Normal 9 2 4 10" xfId="9110" xr:uid="{81AE6A7D-3114-4268-89D8-20E60A51D401}"/>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24320" xr:uid="{8080BA89-BBB3-4E9A-8561-ABD1ECF7EB7F}"/>
    <cellStyle name="Normal 9 2 4 2 2 2 2 3" xfId="15886" xr:uid="{F82018E6-8637-4030-8995-27D894BB5735}"/>
    <cellStyle name="Normal 9 2 4 2 2 2 3" xfId="20103" xr:uid="{DA258B60-87BA-4D52-B003-2F881BAA8BCF}"/>
    <cellStyle name="Normal 9 2 4 2 2 2 4" xfId="11669" xr:uid="{04D44C05-893D-4F23-A39F-9EAB2E57F4F5}"/>
    <cellStyle name="Normal 9 2 4 2 2 3" xfId="5303" xr:uid="{00000000-0005-0000-0000-0000611F0000}"/>
    <cellStyle name="Normal 9 2 4 2 2 3 2" xfId="22175" xr:uid="{F4D4DA43-3BE9-4D7E-9084-8B91DE1C259F}"/>
    <cellStyle name="Normal 9 2 4 2 2 3 3" xfId="13741" xr:uid="{9D0BD61F-1DBC-4EAA-87A6-9B86049E4DD4}"/>
    <cellStyle name="Normal 9 2 4 2 2 4" xfId="17958" xr:uid="{1F80D923-47F0-49E8-AA86-C7B3C6605702}"/>
    <cellStyle name="Normal 9 2 4 2 2 5" xfId="9524" xr:uid="{25478F8C-EFEB-4CE1-A647-E729AE6238DB}"/>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24733" xr:uid="{15069B1A-E6F4-4C4C-B648-86128853E0B9}"/>
    <cellStyle name="Normal 9 2 4 2 3 2 2 3" xfId="16299" xr:uid="{911E88AD-0846-414D-82AF-1F276F789E6B}"/>
    <cellStyle name="Normal 9 2 4 2 3 2 3" xfId="20516" xr:uid="{28728BCA-2217-497B-893E-DFB26037B9E1}"/>
    <cellStyle name="Normal 9 2 4 2 3 2 4" xfId="12082" xr:uid="{2D079A61-D165-49DB-9BEF-BE5AF657C25B}"/>
    <cellStyle name="Normal 9 2 4 2 3 3" xfId="5716" xr:uid="{00000000-0005-0000-0000-0000651F0000}"/>
    <cellStyle name="Normal 9 2 4 2 3 3 2" xfId="22588" xr:uid="{756FF3EB-132B-4B76-B2EA-D14A14976CD2}"/>
    <cellStyle name="Normal 9 2 4 2 3 3 3" xfId="14154" xr:uid="{BBA4D736-8D7B-4132-AC64-CD7735C75A02}"/>
    <cellStyle name="Normal 9 2 4 2 3 4" xfId="18371" xr:uid="{A951A0BD-6B8E-49DC-B438-C20A7502140D}"/>
    <cellStyle name="Normal 9 2 4 2 3 5" xfId="9937" xr:uid="{0D906868-CEE8-4F59-AA73-BF155B6AAB1B}"/>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25146" xr:uid="{4F72F4EC-6ADD-47F4-952E-E28F2930E8FA}"/>
    <cellStyle name="Normal 9 2 4 2 4 2 2 3" xfId="16712" xr:uid="{1BDBFA13-CB03-4B60-9F44-27528D324902}"/>
    <cellStyle name="Normal 9 2 4 2 4 2 3" xfId="20929" xr:uid="{117260F7-D92A-4C92-8223-E43123DF9BE1}"/>
    <cellStyle name="Normal 9 2 4 2 4 2 4" xfId="12495" xr:uid="{808D77ED-BAC2-47FD-8EE2-5632CF2BD756}"/>
    <cellStyle name="Normal 9 2 4 2 4 3" xfId="6129" xr:uid="{00000000-0005-0000-0000-0000691F0000}"/>
    <cellStyle name="Normal 9 2 4 2 4 3 2" xfId="23001" xr:uid="{78F10BEA-9669-43C0-87D4-AA252EE1BEEA}"/>
    <cellStyle name="Normal 9 2 4 2 4 3 3" xfId="14567" xr:uid="{F38F3E79-D675-48EA-AAFB-6D54FE88EBA1}"/>
    <cellStyle name="Normal 9 2 4 2 4 4" xfId="18784" xr:uid="{885022D7-6C00-45F8-BD37-F201EF641B02}"/>
    <cellStyle name="Normal 9 2 4 2 4 5" xfId="10350" xr:uid="{6923ACE0-E5F5-4A7C-9F36-BD387DF8ED8C}"/>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25559" xr:uid="{45492B9D-28B7-42DB-A329-DE36702B36DD}"/>
    <cellStyle name="Normal 9 2 4 2 5 2 2 3" xfId="17125" xr:uid="{7C0002F5-3AD6-4FB0-A09E-BC988FCF1046}"/>
    <cellStyle name="Normal 9 2 4 2 5 2 3" xfId="21342" xr:uid="{68ECF45E-A6B2-4353-83A6-7DC3B4540CD1}"/>
    <cellStyle name="Normal 9 2 4 2 5 2 4" xfId="12908" xr:uid="{EACF14E6-7E6C-4633-BD5B-29853F7A5E89}"/>
    <cellStyle name="Normal 9 2 4 2 5 3" xfId="6542" xr:uid="{00000000-0005-0000-0000-00006D1F0000}"/>
    <cellStyle name="Normal 9 2 4 2 5 3 2" xfId="23414" xr:uid="{64D2E0D4-B3BD-493C-940E-CFFF27224D74}"/>
    <cellStyle name="Normal 9 2 4 2 5 3 3" xfId="14980" xr:uid="{D08A1A1F-C60D-4A1F-A990-0C0412194FCA}"/>
    <cellStyle name="Normal 9 2 4 2 5 4" xfId="19197" xr:uid="{27D76D89-1B19-4839-98FB-4B5D7339B7C7}"/>
    <cellStyle name="Normal 9 2 4 2 5 5" xfId="10763" xr:uid="{1D14213F-286F-4DB5-8C61-A10803A6316B}"/>
    <cellStyle name="Normal 9 2 4 2 6" xfId="2671" xr:uid="{00000000-0005-0000-0000-00006E1F0000}"/>
    <cellStyle name="Normal 9 2 4 2 6 2" xfId="6955" xr:uid="{00000000-0005-0000-0000-00006F1F0000}"/>
    <cellStyle name="Normal 9 2 4 2 6 2 2" xfId="23827" xr:uid="{4F9A3956-4188-4D96-8807-A22F26B2DF88}"/>
    <cellStyle name="Normal 9 2 4 2 6 2 3" xfId="15393" xr:uid="{C4A6A941-2698-421A-9EB8-75ABC84E829F}"/>
    <cellStyle name="Normal 9 2 4 2 6 3" xfId="19610" xr:uid="{E8F7B1CC-DC16-4FA8-BD77-1A04EFD86A0F}"/>
    <cellStyle name="Normal 9 2 4 2 6 4" xfId="11176" xr:uid="{F2317FBE-802C-4472-82AC-8ED2895CF177}"/>
    <cellStyle name="Normal 9 2 4 2 7" xfId="4890" xr:uid="{00000000-0005-0000-0000-0000701F0000}"/>
    <cellStyle name="Normal 9 2 4 2 7 2" xfId="21762" xr:uid="{F81C884C-5F06-4A46-BEE7-F2E0E5CF4EC9}"/>
    <cellStyle name="Normal 9 2 4 2 7 3" xfId="13328" xr:uid="{3C69BF6E-6965-45E3-98E5-FA5D1529EBF7}"/>
    <cellStyle name="Normal 9 2 4 2 8" xfId="17545" xr:uid="{51740A26-4208-45D1-8A6A-10E94AB5528D}"/>
    <cellStyle name="Normal 9 2 4 2 9" xfId="9111" xr:uid="{2323335A-1CC8-484A-AE3D-6FD25616647A}"/>
    <cellStyle name="Normal 9 2 4 3" xfId="991" xr:uid="{00000000-0005-0000-0000-0000711F0000}"/>
    <cellStyle name="Normal 9 2 4 3 2" xfId="3224" xr:uid="{00000000-0005-0000-0000-0000721F0000}"/>
    <cellStyle name="Normal 9 2 4 3 2 2" xfId="7447" xr:uid="{00000000-0005-0000-0000-0000731F0000}"/>
    <cellStyle name="Normal 9 2 4 3 2 2 2" xfId="24319" xr:uid="{7AFBB7AC-DDF6-40B8-9884-B78DFF2523F9}"/>
    <cellStyle name="Normal 9 2 4 3 2 2 3" xfId="15885" xr:uid="{DC7D95B0-AA62-4C1F-82F6-C14A5B7CCC1F}"/>
    <cellStyle name="Normal 9 2 4 3 2 3" xfId="20102" xr:uid="{40A156F4-A3BF-4FF9-869A-1C2CBD45F364}"/>
    <cellStyle name="Normal 9 2 4 3 2 4" xfId="11668" xr:uid="{8BA6FECD-FB6B-4572-975D-75B9E66E9C32}"/>
    <cellStyle name="Normal 9 2 4 3 3" xfId="5302" xr:uid="{00000000-0005-0000-0000-0000741F0000}"/>
    <cellStyle name="Normal 9 2 4 3 3 2" xfId="22174" xr:uid="{718A4C26-E45A-43EC-9CF4-B971921A6906}"/>
    <cellStyle name="Normal 9 2 4 3 3 3" xfId="13740" xr:uid="{8A6C8F18-F81E-4C15-9D10-2350EAF9F068}"/>
    <cellStyle name="Normal 9 2 4 3 4" xfId="17957" xr:uid="{3096696E-1E80-4F73-B75C-ADE75BD07D35}"/>
    <cellStyle name="Normal 9 2 4 3 5" xfId="9523" xr:uid="{82796C80-C9E4-4C8E-AA7F-D1BC0AC54EF7}"/>
    <cellStyle name="Normal 9 2 4 4" xfId="1407" xr:uid="{00000000-0005-0000-0000-0000751F0000}"/>
    <cellStyle name="Normal 9 2 4 4 2" xfId="3637" xr:uid="{00000000-0005-0000-0000-0000761F0000}"/>
    <cellStyle name="Normal 9 2 4 4 2 2" xfId="7860" xr:uid="{00000000-0005-0000-0000-0000771F0000}"/>
    <cellStyle name="Normal 9 2 4 4 2 2 2" xfId="24732" xr:uid="{D8CF94FA-00A7-4C55-AA25-4994A53127E9}"/>
    <cellStyle name="Normal 9 2 4 4 2 2 3" xfId="16298" xr:uid="{E639C09D-FAA3-459B-8A5A-CFA37FA4D3FF}"/>
    <cellStyle name="Normal 9 2 4 4 2 3" xfId="20515" xr:uid="{F161DF68-E972-45B3-B368-86EF27A5984F}"/>
    <cellStyle name="Normal 9 2 4 4 2 4" xfId="12081" xr:uid="{0C531E1D-A8DA-4F44-A786-36A87E89BB65}"/>
    <cellStyle name="Normal 9 2 4 4 3" xfId="5715" xr:uid="{00000000-0005-0000-0000-0000781F0000}"/>
    <cellStyle name="Normal 9 2 4 4 3 2" xfId="22587" xr:uid="{46EF5B2B-0B59-46BB-B77D-C54401704A1F}"/>
    <cellStyle name="Normal 9 2 4 4 3 3" xfId="14153" xr:uid="{1A4BF6A3-9CC8-4731-9543-20600AC171EC}"/>
    <cellStyle name="Normal 9 2 4 4 4" xfId="18370" xr:uid="{69D6F931-4627-43FC-8EDF-A536AB34B89C}"/>
    <cellStyle name="Normal 9 2 4 4 5" xfId="9936" xr:uid="{8127D057-1027-4369-A6A2-5D0715C3E13E}"/>
    <cellStyle name="Normal 9 2 4 5" xfId="1820" xr:uid="{00000000-0005-0000-0000-0000791F0000}"/>
    <cellStyle name="Normal 9 2 4 5 2" xfId="4050" xr:uid="{00000000-0005-0000-0000-00007A1F0000}"/>
    <cellStyle name="Normal 9 2 4 5 2 2" xfId="8273" xr:uid="{00000000-0005-0000-0000-00007B1F0000}"/>
    <cellStyle name="Normal 9 2 4 5 2 2 2" xfId="25145" xr:uid="{09C865A1-C318-4D6F-A9AF-434FBB2A225C}"/>
    <cellStyle name="Normal 9 2 4 5 2 2 3" xfId="16711" xr:uid="{72746874-57B3-4DAF-8C69-282780A4D3B5}"/>
    <cellStyle name="Normal 9 2 4 5 2 3" xfId="20928" xr:uid="{22A868E9-8CF0-410C-BE13-FFFAC858A11F}"/>
    <cellStyle name="Normal 9 2 4 5 2 4" xfId="12494" xr:uid="{E8D48DBA-20D7-4785-8F87-A0CB0079AEEA}"/>
    <cellStyle name="Normal 9 2 4 5 3" xfId="6128" xr:uid="{00000000-0005-0000-0000-00007C1F0000}"/>
    <cellStyle name="Normal 9 2 4 5 3 2" xfId="23000" xr:uid="{D6F0D188-9A28-4270-9375-79F4FCE6CD68}"/>
    <cellStyle name="Normal 9 2 4 5 3 3" xfId="14566" xr:uid="{5D12111C-9D7B-4C62-B1FE-89DACE77B293}"/>
    <cellStyle name="Normal 9 2 4 5 4" xfId="18783" xr:uid="{7EEDFA07-FF03-4C5C-9FD6-1653EF236907}"/>
    <cellStyle name="Normal 9 2 4 5 5" xfId="10349" xr:uid="{6F652884-C6A4-4345-BF69-46DE6859B53F}"/>
    <cellStyle name="Normal 9 2 4 6" xfId="2234" xr:uid="{00000000-0005-0000-0000-00007D1F0000}"/>
    <cellStyle name="Normal 9 2 4 6 2" xfId="4463" xr:uid="{00000000-0005-0000-0000-00007E1F0000}"/>
    <cellStyle name="Normal 9 2 4 6 2 2" xfId="8686" xr:uid="{00000000-0005-0000-0000-00007F1F0000}"/>
    <cellStyle name="Normal 9 2 4 6 2 2 2" xfId="25558" xr:uid="{8EBBCBA2-28BF-4F84-B893-E4B2EBBA6841}"/>
    <cellStyle name="Normal 9 2 4 6 2 2 3" xfId="17124" xr:uid="{D92BF2A6-2062-4EBD-918A-F43CD8785010}"/>
    <cellStyle name="Normal 9 2 4 6 2 3" xfId="21341" xr:uid="{77B09E9B-0E8D-43BF-A5BC-045739B42454}"/>
    <cellStyle name="Normal 9 2 4 6 2 4" xfId="12907" xr:uid="{6878B7C2-1BEB-4631-987B-073C888CF5DF}"/>
    <cellStyle name="Normal 9 2 4 6 3" xfId="6541" xr:uid="{00000000-0005-0000-0000-0000801F0000}"/>
    <cellStyle name="Normal 9 2 4 6 3 2" xfId="23413" xr:uid="{8BB53214-530F-4A3E-A3BF-8AE059E8F0C7}"/>
    <cellStyle name="Normal 9 2 4 6 3 3" xfId="14979" xr:uid="{38CC4EC2-3282-4821-B1C7-E971A6CB4117}"/>
    <cellStyle name="Normal 9 2 4 6 4" xfId="19196" xr:uid="{59BA87D6-7AD3-490D-BAA8-AC5D934CF598}"/>
    <cellStyle name="Normal 9 2 4 6 5" xfId="10762" xr:uid="{4FFC57F0-6E3D-4592-8EAD-3A8DD569C145}"/>
    <cellStyle name="Normal 9 2 4 7" xfId="2670" xr:uid="{00000000-0005-0000-0000-0000811F0000}"/>
    <cellStyle name="Normal 9 2 4 7 2" xfId="6954" xr:uid="{00000000-0005-0000-0000-0000821F0000}"/>
    <cellStyle name="Normal 9 2 4 7 2 2" xfId="23826" xr:uid="{CB8B22F5-ECD3-4A09-8D97-8510ADC65C02}"/>
    <cellStyle name="Normal 9 2 4 7 2 3" xfId="15392" xr:uid="{0B94B161-92F8-498F-934C-3685469ABDE3}"/>
    <cellStyle name="Normal 9 2 4 7 3" xfId="19609" xr:uid="{88B43077-0340-49BB-B1DF-83CDAEA4D4D7}"/>
    <cellStyle name="Normal 9 2 4 7 4" xfId="11175" xr:uid="{EE30EF82-DCBD-4AD4-B230-BB3CE793D2C8}"/>
    <cellStyle name="Normal 9 2 4 8" xfId="4889" xr:uid="{00000000-0005-0000-0000-0000831F0000}"/>
    <cellStyle name="Normal 9 2 4 8 2" xfId="21761" xr:uid="{C6501824-B2E5-44FB-8742-F0C7397DB8AF}"/>
    <cellStyle name="Normal 9 2 4 8 3" xfId="13327" xr:uid="{EE9210A6-F316-4C99-B8FD-EE1E13F051CE}"/>
    <cellStyle name="Normal 9 2 4 9" xfId="17544" xr:uid="{72D4AFF6-5295-4AD9-B9CC-624445B735A1}"/>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24321" xr:uid="{E30F77FA-0172-421D-AF08-E70617234482}"/>
    <cellStyle name="Normal 9 2 5 2 2 2 3" xfId="15887" xr:uid="{4A7F7445-66D1-47C3-B5A6-0D4FC610DC95}"/>
    <cellStyle name="Normal 9 2 5 2 2 3" xfId="20104" xr:uid="{D95302BC-EE49-4A02-A0D4-141D49A04BFE}"/>
    <cellStyle name="Normal 9 2 5 2 2 4" xfId="11670" xr:uid="{B48323D2-91FE-4B22-8050-3F2CC19BD165}"/>
    <cellStyle name="Normal 9 2 5 2 3" xfId="5304" xr:uid="{00000000-0005-0000-0000-0000881F0000}"/>
    <cellStyle name="Normal 9 2 5 2 3 2" xfId="22176" xr:uid="{E9992D0B-3A22-42E0-B43F-0A0112DAECAE}"/>
    <cellStyle name="Normal 9 2 5 2 3 3" xfId="13742" xr:uid="{B143235E-C076-4EB6-A43C-203AF29F0CD1}"/>
    <cellStyle name="Normal 9 2 5 2 4" xfId="17959" xr:uid="{54FB3678-5E16-46BA-AC19-5C1AD634841B}"/>
    <cellStyle name="Normal 9 2 5 2 5" xfId="9525" xr:uid="{1E10813F-3132-43EA-9C83-BE080BF6C636}"/>
    <cellStyle name="Normal 9 2 5 3" xfId="1409" xr:uid="{00000000-0005-0000-0000-0000891F0000}"/>
    <cellStyle name="Normal 9 2 5 3 2" xfId="3639" xr:uid="{00000000-0005-0000-0000-00008A1F0000}"/>
    <cellStyle name="Normal 9 2 5 3 2 2" xfId="7862" xr:uid="{00000000-0005-0000-0000-00008B1F0000}"/>
    <cellStyle name="Normal 9 2 5 3 2 2 2" xfId="24734" xr:uid="{0CC177E7-0A98-4BE5-988E-BBD55439DD60}"/>
    <cellStyle name="Normal 9 2 5 3 2 2 3" xfId="16300" xr:uid="{0E80A14E-771C-40B4-9909-A93917DF8697}"/>
    <cellStyle name="Normal 9 2 5 3 2 3" xfId="20517" xr:uid="{136E530B-BB32-42FE-9446-C1285B31E607}"/>
    <cellStyle name="Normal 9 2 5 3 2 4" xfId="12083" xr:uid="{DD2F33A6-DDC9-4284-A36C-9AF78363B433}"/>
    <cellStyle name="Normal 9 2 5 3 3" xfId="5717" xr:uid="{00000000-0005-0000-0000-00008C1F0000}"/>
    <cellStyle name="Normal 9 2 5 3 3 2" xfId="22589" xr:uid="{C8A6C967-85A3-4381-8410-072548A29529}"/>
    <cellStyle name="Normal 9 2 5 3 3 3" xfId="14155" xr:uid="{FACCCB85-8394-43BB-B6F0-030C4364BAC4}"/>
    <cellStyle name="Normal 9 2 5 3 4" xfId="18372" xr:uid="{7F94F038-172A-4647-92B0-9D2FB221155F}"/>
    <cellStyle name="Normal 9 2 5 3 5" xfId="9938" xr:uid="{A14908B0-D0C1-4B2F-A35E-8480EBA1EA52}"/>
    <cellStyle name="Normal 9 2 5 4" xfId="1822" xr:uid="{00000000-0005-0000-0000-00008D1F0000}"/>
    <cellStyle name="Normal 9 2 5 4 2" xfId="4052" xr:uid="{00000000-0005-0000-0000-00008E1F0000}"/>
    <cellStyle name="Normal 9 2 5 4 2 2" xfId="8275" xr:uid="{00000000-0005-0000-0000-00008F1F0000}"/>
    <cellStyle name="Normal 9 2 5 4 2 2 2" xfId="25147" xr:uid="{1705ECBD-9651-419D-97D1-A206B2A2E168}"/>
    <cellStyle name="Normal 9 2 5 4 2 2 3" xfId="16713" xr:uid="{A9C58EC3-D1C4-42B7-B397-D1EAAA36DF43}"/>
    <cellStyle name="Normal 9 2 5 4 2 3" xfId="20930" xr:uid="{BAEF403D-19BD-4412-A7A6-689257556073}"/>
    <cellStyle name="Normal 9 2 5 4 2 4" xfId="12496" xr:uid="{11185D79-5443-4F1D-8EE6-63793CE67279}"/>
    <cellStyle name="Normal 9 2 5 4 3" xfId="6130" xr:uid="{00000000-0005-0000-0000-0000901F0000}"/>
    <cellStyle name="Normal 9 2 5 4 3 2" xfId="23002" xr:uid="{BFB03619-7C42-4E3A-9356-3B8FC92ABA4A}"/>
    <cellStyle name="Normal 9 2 5 4 3 3" xfId="14568" xr:uid="{B8E08EA8-238E-42AB-B97C-17CFC0383FAA}"/>
    <cellStyle name="Normal 9 2 5 4 4" xfId="18785" xr:uid="{6919345E-FA8C-488B-AEA6-BF034E3C4222}"/>
    <cellStyle name="Normal 9 2 5 4 5" xfId="10351" xr:uid="{839EDFA9-7831-47AA-B778-14D2CD4C58AE}"/>
    <cellStyle name="Normal 9 2 5 5" xfId="2236" xr:uid="{00000000-0005-0000-0000-0000911F0000}"/>
    <cellStyle name="Normal 9 2 5 5 2" xfId="4465" xr:uid="{00000000-0005-0000-0000-0000921F0000}"/>
    <cellStyle name="Normal 9 2 5 5 2 2" xfId="8688" xr:uid="{00000000-0005-0000-0000-0000931F0000}"/>
    <cellStyle name="Normal 9 2 5 5 2 2 2" xfId="25560" xr:uid="{E836A2CA-9B6C-4ED6-920E-0164C8872015}"/>
    <cellStyle name="Normal 9 2 5 5 2 2 3" xfId="17126" xr:uid="{DE93B156-3D94-4AE1-9A22-8D63A5D26C68}"/>
    <cellStyle name="Normal 9 2 5 5 2 3" xfId="21343" xr:uid="{F62F80DF-5177-4412-BDE9-804C4371479C}"/>
    <cellStyle name="Normal 9 2 5 5 2 4" xfId="12909" xr:uid="{7E996D34-E07D-4A85-974E-ADF9AE008AE6}"/>
    <cellStyle name="Normal 9 2 5 5 3" xfId="6543" xr:uid="{00000000-0005-0000-0000-0000941F0000}"/>
    <cellStyle name="Normal 9 2 5 5 3 2" xfId="23415" xr:uid="{2781EA04-CC24-43C5-8762-72E7E7120945}"/>
    <cellStyle name="Normal 9 2 5 5 3 3" xfId="14981" xr:uid="{F13EEA85-893B-44AB-B704-979F103D6273}"/>
    <cellStyle name="Normal 9 2 5 5 4" xfId="19198" xr:uid="{026F39BF-E9CA-4FBD-88D5-6A8A5CDA1DAE}"/>
    <cellStyle name="Normal 9 2 5 5 5" xfId="10764" xr:uid="{869F9164-3D09-4C2A-9959-16695452D472}"/>
    <cellStyle name="Normal 9 2 5 6" xfId="2672" xr:uid="{00000000-0005-0000-0000-0000951F0000}"/>
    <cellStyle name="Normal 9 2 5 6 2" xfId="6956" xr:uid="{00000000-0005-0000-0000-0000961F0000}"/>
    <cellStyle name="Normal 9 2 5 6 2 2" xfId="23828" xr:uid="{52C32170-48EC-4C8A-860A-39A46E263D32}"/>
    <cellStyle name="Normal 9 2 5 6 2 3" xfId="15394" xr:uid="{E4C6CF15-FBDF-4755-A112-B2EAD314BA6C}"/>
    <cellStyle name="Normal 9 2 5 6 3" xfId="19611" xr:uid="{CEEDE768-7AD9-44D3-BC7E-3723E21E97A7}"/>
    <cellStyle name="Normal 9 2 5 6 4" xfId="11177" xr:uid="{E3F053AD-F9E3-48C6-A811-C6137E03C069}"/>
    <cellStyle name="Normal 9 2 5 7" xfId="4891" xr:uid="{00000000-0005-0000-0000-0000971F0000}"/>
    <cellStyle name="Normal 9 2 5 7 2" xfId="21763" xr:uid="{81FFA96D-98AE-4644-BBAA-777CB38C62E1}"/>
    <cellStyle name="Normal 9 2 5 7 3" xfId="13329" xr:uid="{A45F6D59-DF36-46C4-8668-6755F75D6C70}"/>
    <cellStyle name="Normal 9 2 5 8" xfId="17546" xr:uid="{E49F2701-EACC-46A6-AF28-E50050393966}"/>
    <cellStyle name="Normal 9 2 5 9" xfId="9112" xr:uid="{79ECD7D8-3B25-4231-9511-FD36D80D742F}"/>
    <cellStyle name="Normal 9 2 6" xfId="978" xr:uid="{00000000-0005-0000-0000-0000981F0000}"/>
    <cellStyle name="Normal 9 2 6 2" xfId="3211" xr:uid="{00000000-0005-0000-0000-0000991F0000}"/>
    <cellStyle name="Normal 9 2 6 2 2" xfId="7434" xr:uid="{00000000-0005-0000-0000-00009A1F0000}"/>
    <cellStyle name="Normal 9 2 6 2 2 2" xfId="24306" xr:uid="{BAA85AA6-C1D8-4351-8400-B1A020609D89}"/>
    <cellStyle name="Normal 9 2 6 2 2 3" xfId="15872" xr:uid="{96B9C743-4C27-4063-B085-5F4231926993}"/>
    <cellStyle name="Normal 9 2 6 2 3" xfId="20089" xr:uid="{E790EC27-ADB1-4D44-9B15-9BC37A337190}"/>
    <cellStyle name="Normal 9 2 6 2 4" xfId="11655" xr:uid="{6B45843B-3066-4298-ADDB-D4F33B3413FE}"/>
    <cellStyle name="Normal 9 2 6 3" xfId="5289" xr:uid="{00000000-0005-0000-0000-00009B1F0000}"/>
    <cellStyle name="Normal 9 2 6 3 2" xfId="22161" xr:uid="{D112698C-7EA6-4717-B42A-2907582D98C5}"/>
    <cellStyle name="Normal 9 2 6 3 3" xfId="13727" xr:uid="{36E2CDB3-889D-42E8-A201-A452ED2E1913}"/>
    <cellStyle name="Normal 9 2 6 4" xfId="17944" xr:uid="{952A0C98-34A0-4CF6-9220-5B64167084C5}"/>
    <cellStyle name="Normal 9 2 6 5" xfId="9510" xr:uid="{414AD580-4424-45F0-B479-220EC8C16482}"/>
    <cellStyle name="Normal 9 2 7" xfId="1394" xr:uid="{00000000-0005-0000-0000-00009C1F0000}"/>
    <cellStyle name="Normal 9 2 7 2" xfId="3624" xr:uid="{00000000-0005-0000-0000-00009D1F0000}"/>
    <cellStyle name="Normal 9 2 7 2 2" xfId="7847" xr:uid="{00000000-0005-0000-0000-00009E1F0000}"/>
    <cellStyle name="Normal 9 2 7 2 2 2" xfId="24719" xr:uid="{32341DF9-B6B8-4A62-9B10-9EDB317E6AB5}"/>
    <cellStyle name="Normal 9 2 7 2 2 3" xfId="16285" xr:uid="{4D820109-53F5-4133-87AF-40882E7C1D44}"/>
    <cellStyle name="Normal 9 2 7 2 3" xfId="20502" xr:uid="{61B54282-8CEB-4330-9ADB-84BC15C61149}"/>
    <cellStyle name="Normal 9 2 7 2 4" xfId="12068" xr:uid="{D21362DE-8F98-4526-9CD8-DD150F424477}"/>
    <cellStyle name="Normal 9 2 7 3" xfId="5702" xr:uid="{00000000-0005-0000-0000-00009F1F0000}"/>
    <cellStyle name="Normal 9 2 7 3 2" xfId="22574" xr:uid="{9603D93D-19F2-4C1A-8902-94FDF3AE7731}"/>
    <cellStyle name="Normal 9 2 7 3 3" xfId="14140" xr:uid="{6DC24431-8334-4318-959D-7C3643FC77F3}"/>
    <cellStyle name="Normal 9 2 7 4" xfId="18357" xr:uid="{E9A1A73F-3C47-47BA-835E-BD69CB630326}"/>
    <cellStyle name="Normal 9 2 7 5" xfId="9923" xr:uid="{DA6D6B83-DA9A-4C39-9109-55F8AB7A8EE8}"/>
    <cellStyle name="Normal 9 2 8" xfId="1807" xr:uid="{00000000-0005-0000-0000-0000A01F0000}"/>
    <cellStyle name="Normal 9 2 8 2" xfId="4037" xr:uid="{00000000-0005-0000-0000-0000A11F0000}"/>
    <cellStyle name="Normal 9 2 8 2 2" xfId="8260" xr:uid="{00000000-0005-0000-0000-0000A21F0000}"/>
    <cellStyle name="Normal 9 2 8 2 2 2" xfId="25132" xr:uid="{0DA34721-423E-4121-AD8E-67C5C767712E}"/>
    <cellStyle name="Normal 9 2 8 2 2 3" xfId="16698" xr:uid="{4896A122-FE78-4674-8FAD-155420236880}"/>
    <cellStyle name="Normal 9 2 8 2 3" xfId="20915" xr:uid="{07F91CF9-75B6-462C-BEB6-D007F5EE76EE}"/>
    <cellStyle name="Normal 9 2 8 2 4" xfId="12481" xr:uid="{A1DD447E-3D22-4FA2-9411-7D5B23F43785}"/>
    <cellStyle name="Normal 9 2 8 3" xfId="6115" xr:uid="{00000000-0005-0000-0000-0000A31F0000}"/>
    <cellStyle name="Normal 9 2 8 3 2" xfId="22987" xr:uid="{372B1B2A-7160-473E-AFF0-3BAF336E0062}"/>
    <cellStyle name="Normal 9 2 8 3 3" xfId="14553" xr:uid="{405A7F14-2CBE-4529-B9BE-684907C27E97}"/>
    <cellStyle name="Normal 9 2 8 4" xfId="18770" xr:uid="{ECBFABE3-EAE3-40C8-AB8A-8FF44D68412D}"/>
    <cellStyle name="Normal 9 2 8 5" xfId="10336" xr:uid="{22F27EE3-396E-4A2C-8C0F-0A00BD93F6B7}"/>
    <cellStyle name="Normal 9 2 9" xfId="2221" xr:uid="{00000000-0005-0000-0000-0000A41F0000}"/>
    <cellStyle name="Normal 9 2 9 2" xfId="4450" xr:uid="{00000000-0005-0000-0000-0000A51F0000}"/>
    <cellStyle name="Normal 9 2 9 2 2" xfId="8673" xr:uid="{00000000-0005-0000-0000-0000A61F0000}"/>
    <cellStyle name="Normal 9 2 9 2 2 2" xfId="25545" xr:uid="{F6764A5D-8EE7-4A17-A80E-659067DE8517}"/>
    <cellStyle name="Normal 9 2 9 2 2 3" xfId="17111" xr:uid="{DD64A717-2C6B-41DF-9306-5F61C38DE3D6}"/>
    <cellStyle name="Normal 9 2 9 2 3" xfId="21328" xr:uid="{5FEE2323-E1C1-414D-B313-E373BF011AEE}"/>
    <cellStyle name="Normal 9 2 9 2 4" xfId="12894" xr:uid="{5606E768-BBFC-40A1-8824-84C1A2D82355}"/>
    <cellStyle name="Normal 9 2 9 3" xfId="6528" xr:uid="{00000000-0005-0000-0000-0000A71F0000}"/>
    <cellStyle name="Normal 9 2 9 3 2" xfId="23400" xr:uid="{DDF28EFB-3896-4C36-969B-56C2069F902C}"/>
    <cellStyle name="Normal 9 2 9 3 3" xfId="14966" xr:uid="{EC6C2F12-6E56-48A3-A700-03E9D7395086}"/>
    <cellStyle name="Normal 9 2 9 4" xfId="19183" xr:uid="{50F09D06-7635-48E0-B73A-FCBE6E10E430}"/>
    <cellStyle name="Normal 9 2 9 5" xfId="10749" xr:uid="{D0D18C35-EC04-49BE-A8FD-743AACBFB4CF}"/>
    <cellStyle name="Normal 9 3" xfId="527" xr:uid="{00000000-0005-0000-0000-0000A81F0000}"/>
    <cellStyle name="Normal 9 3 10" xfId="4892" xr:uid="{00000000-0005-0000-0000-0000A91F0000}"/>
    <cellStyle name="Normal 9 3 10 2" xfId="21764" xr:uid="{54F1FBEA-E0B5-4144-9A64-07D089AA576B}"/>
    <cellStyle name="Normal 9 3 10 3" xfId="13330" xr:uid="{4801FC8B-A11A-4AA1-B406-A3F4B1997102}"/>
    <cellStyle name="Normal 9 3 11" xfId="17547" xr:uid="{A307C8C9-2DE4-4C6B-838D-8658A07DC5C8}"/>
    <cellStyle name="Normal 9 3 12" xfId="9113" xr:uid="{12FAF41A-5938-479B-90F2-990FCCE79010}"/>
    <cellStyle name="Normal 9 3 2" xfId="528" xr:uid="{00000000-0005-0000-0000-0000AA1F0000}"/>
    <cellStyle name="Normal 9 3 2 10" xfId="17548" xr:uid="{DE5CF525-380C-49B1-8B1F-560B94ECC652}"/>
    <cellStyle name="Normal 9 3 2 11" xfId="9114" xr:uid="{3DF82581-1EBE-444A-BE31-E96651D86E4C}"/>
    <cellStyle name="Normal 9 3 2 2" xfId="529" xr:uid="{00000000-0005-0000-0000-0000AB1F0000}"/>
    <cellStyle name="Normal 9 3 2 2 10" xfId="9115" xr:uid="{76E126CF-E220-41E1-B3E3-B0BCE8818855}"/>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24325" xr:uid="{4626C5CE-B485-442C-A816-D2FB9FCAE4DE}"/>
    <cellStyle name="Normal 9 3 2 2 2 2 2 2 3" xfId="15891" xr:uid="{D680563B-77B6-4B73-9267-B826455ABBEF}"/>
    <cellStyle name="Normal 9 3 2 2 2 2 2 3" xfId="20108" xr:uid="{04DE2D22-04D8-4057-A6B5-BDC21D6B9FD6}"/>
    <cellStyle name="Normal 9 3 2 2 2 2 2 4" xfId="11674" xr:uid="{1A70E28B-68C1-46FA-B903-AE5DC0862ABF}"/>
    <cellStyle name="Normal 9 3 2 2 2 2 3" xfId="5308" xr:uid="{00000000-0005-0000-0000-0000B01F0000}"/>
    <cellStyle name="Normal 9 3 2 2 2 2 3 2" xfId="22180" xr:uid="{F5B2DD31-B951-4793-B985-2CC8F8992E21}"/>
    <cellStyle name="Normal 9 3 2 2 2 2 3 3" xfId="13746" xr:uid="{2C4F8B15-01E3-422E-8DE9-506ED39633F1}"/>
    <cellStyle name="Normal 9 3 2 2 2 2 4" xfId="17963" xr:uid="{F1F17C42-37E4-4546-B2A2-F19F4ED44D7A}"/>
    <cellStyle name="Normal 9 3 2 2 2 2 5" xfId="9529" xr:uid="{645AA9A9-66C1-4CF3-8C5D-D6CBB3C8F8FA}"/>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24738" xr:uid="{5D4F8997-03AC-410D-9233-D0218FB02784}"/>
    <cellStyle name="Normal 9 3 2 2 2 3 2 2 3" xfId="16304" xr:uid="{09296C35-C229-4465-98E8-BBD0D546870A}"/>
    <cellStyle name="Normal 9 3 2 2 2 3 2 3" xfId="20521" xr:uid="{B62B6A39-2318-42DC-B173-D286182C520F}"/>
    <cellStyle name="Normal 9 3 2 2 2 3 2 4" xfId="12087" xr:uid="{E8541D8C-DFD8-4C41-A458-010096C7AEE7}"/>
    <cellStyle name="Normal 9 3 2 2 2 3 3" xfId="5721" xr:uid="{00000000-0005-0000-0000-0000B41F0000}"/>
    <cellStyle name="Normal 9 3 2 2 2 3 3 2" xfId="22593" xr:uid="{2A2D4CD3-F697-4379-B57C-14766DBFDF21}"/>
    <cellStyle name="Normal 9 3 2 2 2 3 3 3" xfId="14159" xr:uid="{160F1C97-7499-41DA-B2F1-46A754D05ABA}"/>
    <cellStyle name="Normal 9 3 2 2 2 3 4" xfId="18376" xr:uid="{08449E7E-A73B-42A6-A094-885732751872}"/>
    <cellStyle name="Normal 9 3 2 2 2 3 5" xfId="9942" xr:uid="{B34896F0-51E8-436F-9EBD-5BA4E3567A26}"/>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25151" xr:uid="{9F6BB4B1-759F-467D-BFC5-CD544AA3CEE5}"/>
    <cellStyle name="Normal 9 3 2 2 2 4 2 2 3" xfId="16717" xr:uid="{F39C540A-3B49-4839-9BAD-924154AA64B8}"/>
    <cellStyle name="Normal 9 3 2 2 2 4 2 3" xfId="20934" xr:uid="{2E7AD965-392B-4D97-8F17-CC413360E930}"/>
    <cellStyle name="Normal 9 3 2 2 2 4 2 4" xfId="12500" xr:uid="{1426C663-D6D1-4736-8320-64BAD42CB8D1}"/>
    <cellStyle name="Normal 9 3 2 2 2 4 3" xfId="6134" xr:uid="{00000000-0005-0000-0000-0000B81F0000}"/>
    <cellStyle name="Normal 9 3 2 2 2 4 3 2" xfId="23006" xr:uid="{0C1E1FEB-D2ED-4192-B1EC-2EFAAABCF510}"/>
    <cellStyle name="Normal 9 3 2 2 2 4 3 3" xfId="14572" xr:uid="{6F562A56-F9A7-4FBA-8F99-237853D647CE}"/>
    <cellStyle name="Normal 9 3 2 2 2 4 4" xfId="18789" xr:uid="{8AF4A9FF-57F8-4F4B-9C72-4C10A8FC2D37}"/>
    <cellStyle name="Normal 9 3 2 2 2 4 5" xfId="10355" xr:uid="{A08AE6D0-5812-4A2E-99B9-B2A2B93DCA02}"/>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25564" xr:uid="{589F31C3-201D-4634-A92F-122A85D0339D}"/>
    <cellStyle name="Normal 9 3 2 2 2 5 2 2 3" xfId="17130" xr:uid="{B46EF03B-A9C1-4E5C-90B2-AD6E0252B365}"/>
    <cellStyle name="Normal 9 3 2 2 2 5 2 3" xfId="21347" xr:uid="{7B4C3C3D-42B6-4B40-8163-9A28C6AE2425}"/>
    <cellStyle name="Normal 9 3 2 2 2 5 2 4" xfId="12913" xr:uid="{21DD9D05-C699-4284-A9D6-CE3EC2806655}"/>
    <cellStyle name="Normal 9 3 2 2 2 5 3" xfId="6547" xr:uid="{00000000-0005-0000-0000-0000BC1F0000}"/>
    <cellStyle name="Normal 9 3 2 2 2 5 3 2" xfId="23419" xr:uid="{A064B66D-22F3-45EA-8D07-4541638C08F7}"/>
    <cellStyle name="Normal 9 3 2 2 2 5 3 3" xfId="14985" xr:uid="{983DC0C4-8C9F-491F-B8A2-D65E1A57ED23}"/>
    <cellStyle name="Normal 9 3 2 2 2 5 4" xfId="19202" xr:uid="{B2BAB43D-4B74-431E-9014-DE4F5E642121}"/>
    <cellStyle name="Normal 9 3 2 2 2 5 5" xfId="10768" xr:uid="{1B0BD61A-6671-477A-9D01-D305488DD631}"/>
    <cellStyle name="Normal 9 3 2 2 2 6" xfId="2676" xr:uid="{00000000-0005-0000-0000-0000BD1F0000}"/>
    <cellStyle name="Normal 9 3 2 2 2 6 2" xfId="6960" xr:uid="{00000000-0005-0000-0000-0000BE1F0000}"/>
    <cellStyle name="Normal 9 3 2 2 2 6 2 2" xfId="23832" xr:uid="{2A7D1B46-23A3-43E3-9178-C82EF343F43F}"/>
    <cellStyle name="Normal 9 3 2 2 2 6 2 3" xfId="15398" xr:uid="{D44F1282-B6AA-412A-B487-08EF077BBD73}"/>
    <cellStyle name="Normal 9 3 2 2 2 6 3" xfId="19615" xr:uid="{00B7572D-4E0A-4A08-B085-01F463049591}"/>
    <cellStyle name="Normal 9 3 2 2 2 6 4" xfId="11181" xr:uid="{5482EB1B-0389-4ACF-8051-3979F9DCAC57}"/>
    <cellStyle name="Normal 9 3 2 2 2 7" xfId="4895" xr:uid="{00000000-0005-0000-0000-0000BF1F0000}"/>
    <cellStyle name="Normal 9 3 2 2 2 7 2" xfId="21767" xr:uid="{754C4805-D239-4F5A-A4CF-FCB48BF8CE9B}"/>
    <cellStyle name="Normal 9 3 2 2 2 7 3" xfId="13333" xr:uid="{A6FEFA14-D07E-4657-854E-C566DE455488}"/>
    <cellStyle name="Normal 9 3 2 2 2 8" xfId="17550" xr:uid="{6AAB98FB-73FE-4408-BF59-BA578AA54A95}"/>
    <cellStyle name="Normal 9 3 2 2 2 9" xfId="9116" xr:uid="{CED2EDA4-B9C1-462A-B8DF-A1595EE1AA85}"/>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24324" xr:uid="{176AF797-91FE-491A-8AA5-523841F7BEBF}"/>
    <cellStyle name="Normal 9 3 2 2 3 2 2 3" xfId="15890" xr:uid="{23CC38B9-51BC-4042-8CB1-2E2B3E86F334}"/>
    <cellStyle name="Normal 9 3 2 2 3 2 3" xfId="20107" xr:uid="{AF5736E9-2142-4744-AEBD-0A645661FBF7}"/>
    <cellStyle name="Normal 9 3 2 2 3 2 4" xfId="11673" xr:uid="{4DAC5D27-8EB2-468F-A0DF-48B2901B1AE7}"/>
    <cellStyle name="Normal 9 3 2 2 3 3" xfId="5307" xr:uid="{00000000-0005-0000-0000-0000C31F0000}"/>
    <cellStyle name="Normal 9 3 2 2 3 3 2" xfId="22179" xr:uid="{BA557BD5-3FCE-4117-8B3B-C970E5E47184}"/>
    <cellStyle name="Normal 9 3 2 2 3 3 3" xfId="13745" xr:uid="{EB8CFB0C-5328-415D-93C9-348F9C3F9250}"/>
    <cellStyle name="Normal 9 3 2 2 3 4" xfId="17962" xr:uid="{0BD4307B-971A-45C9-A86B-C70F972967CF}"/>
    <cellStyle name="Normal 9 3 2 2 3 5" xfId="9528" xr:uid="{3D0E7638-CE27-4F43-AEAF-3E121D329A05}"/>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24737" xr:uid="{8A4C50C1-EE59-494F-BB45-514647EE8342}"/>
    <cellStyle name="Normal 9 3 2 2 4 2 2 3" xfId="16303" xr:uid="{607415A8-BE8A-4B9C-980C-C2896DFFECE3}"/>
    <cellStyle name="Normal 9 3 2 2 4 2 3" xfId="20520" xr:uid="{7F0C1C0A-3AFF-49E9-9D22-FD6AECBBB5B3}"/>
    <cellStyle name="Normal 9 3 2 2 4 2 4" xfId="12086" xr:uid="{004D1D0A-1D7A-41AB-980C-BF78BA6929D1}"/>
    <cellStyle name="Normal 9 3 2 2 4 3" xfId="5720" xr:uid="{00000000-0005-0000-0000-0000C71F0000}"/>
    <cellStyle name="Normal 9 3 2 2 4 3 2" xfId="22592" xr:uid="{B5DA617F-7FE1-4364-A6AA-E583E8244745}"/>
    <cellStyle name="Normal 9 3 2 2 4 3 3" xfId="14158" xr:uid="{B06DCF71-BB1D-492D-9BB2-57E980FAA36A}"/>
    <cellStyle name="Normal 9 3 2 2 4 4" xfId="18375" xr:uid="{AC87E6D3-3E80-4AD7-9ACB-BBC2737549D2}"/>
    <cellStyle name="Normal 9 3 2 2 4 5" xfId="9941" xr:uid="{AECE94E9-20EC-4AA9-8D12-C7BB4F83C814}"/>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25150" xr:uid="{F541CE37-6460-4A82-A794-AB6292C5E310}"/>
    <cellStyle name="Normal 9 3 2 2 5 2 2 3" xfId="16716" xr:uid="{6DA38C19-9E58-4AF7-B590-CA6C4BD859B8}"/>
    <cellStyle name="Normal 9 3 2 2 5 2 3" xfId="20933" xr:uid="{D5B0F096-001C-453A-AEEE-82B30BD957F7}"/>
    <cellStyle name="Normal 9 3 2 2 5 2 4" xfId="12499" xr:uid="{C8540D81-53CB-449E-A744-2D08481210F2}"/>
    <cellStyle name="Normal 9 3 2 2 5 3" xfId="6133" xr:uid="{00000000-0005-0000-0000-0000CB1F0000}"/>
    <cellStyle name="Normal 9 3 2 2 5 3 2" xfId="23005" xr:uid="{27B64CE2-3244-4E91-B536-0A880C3F1518}"/>
    <cellStyle name="Normal 9 3 2 2 5 3 3" xfId="14571" xr:uid="{EAE887D4-B0F1-446B-82F1-2E3B03D32E3E}"/>
    <cellStyle name="Normal 9 3 2 2 5 4" xfId="18788" xr:uid="{02EA9FDF-1A85-4633-82A2-00FBA127DC5D}"/>
    <cellStyle name="Normal 9 3 2 2 5 5" xfId="10354" xr:uid="{5F303AA0-626C-4760-A9BB-D644FF5F3CAF}"/>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25563" xr:uid="{B49A8625-E61B-4042-B9D3-2D5728E185D6}"/>
    <cellStyle name="Normal 9 3 2 2 6 2 2 3" xfId="17129" xr:uid="{CEE69E43-A972-4ABD-8075-453DC0831126}"/>
    <cellStyle name="Normal 9 3 2 2 6 2 3" xfId="21346" xr:uid="{853C582D-DC75-42ED-ACF9-84469AD828FD}"/>
    <cellStyle name="Normal 9 3 2 2 6 2 4" xfId="12912" xr:uid="{55CB6A64-2198-4401-A769-F082F62219A7}"/>
    <cellStyle name="Normal 9 3 2 2 6 3" xfId="6546" xr:uid="{00000000-0005-0000-0000-0000CF1F0000}"/>
    <cellStyle name="Normal 9 3 2 2 6 3 2" xfId="23418" xr:uid="{52F4AB83-1630-4267-89E0-FF324220DAAC}"/>
    <cellStyle name="Normal 9 3 2 2 6 3 3" xfId="14984" xr:uid="{D9E411FB-98C6-442E-85E6-264DB4861570}"/>
    <cellStyle name="Normal 9 3 2 2 6 4" xfId="19201" xr:uid="{699B322B-EAD9-4E55-8FE6-8C8FCE0A45E4}"/>
    <cellStyle name="Normal 9 3 2 2 6 5" xfId="10767" xr:uid="{D24261BB-32BA-4EE8-A220-4C9502B39938}"/>
    <cellStyle name="Normal 9 3 2 2 7" xfId="2675" xr:uid="{00000000-0005-0000-0000-0000D01F0000}"/>
    <cellStyle name="Normal 9 3 2 2 7 2" xfId="6959" xr:uid="{00000000-0005-0000-0000-0000D11F0000}"/>
    <cellStyle name="Normal 9 3 2 2 7 2 2" xfId="23831" xr:uid="{844592C9-4832-45BC-B50C-FD3CA5CDEC2F}"/>
    <cellStyle name="Normal 9 3 2 2 7 2 3" xfId="15397" xr:uid="{F7A0ED36-EDAC-4884-9F92-1D5A00C6CFF6}"/>
    <cellStyle name="Normal 9 3 2 2 7 3" xfId="19614" xr:uid="{3E81F667-1C55-4257-AB67-AF9F16906DCF}"/>
    <cellStyle name="Normal 9 3 2 2 7 4" xfId="11180" xr:uid="{BE6CAA38-AF22-4415-B317-1516FF5ECA20}"/>
    <cellStyle name="Normal 9 3 2 2 8" xfId="4894" xr:uid="{00000000-0005-0000-0000-0000D21F0000}"/>
    <cellStyle name="Normal 9 3 2 2 8 2" xfId="21766" xr:uid="{CC3E552C-7F94-411D-AEC5-B3EDAF91A8C2}"/>
    <cellStyle name="Normal 9 3 2 2 8 3" xfId="13332" xr:uid="{8EDE583D-A662-411F-B2CD-8EB88B1131AF}"/>
    <cellStyle name="Normal 9 3 2 2 9" xfId="17549" xr:uid="{7CBB121B-C495-4FD7-8BF8-26A76B995DB4}"/>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24326" xr:uid="{477F92D9-64C2-403C-B749-53DDA7A4B0E9}"/>
    <cellStyle name="Normal 9 3 2 3 2 2 2 3" xfId="15892" xr:uid="{8ED96341-464B-4FF8-AD32-DB073224A89C}"/>
    <cellStyle name="Normal 9 3 2 3 2 2 3" xfId="20109" xr:uid="{1CABEA9B-2BC1-4E82-A132-37F530EDFD25}"/>
    <cellStyle name="Normal 9 3 2 3 2 2 4" xfId="11675" xr:uid="{8D72DC3C-DC88-48C9-9990-3F3BE0E607C6}"/>
    <cellStyle name="Normal 9 3 2 3 2 3" xfId="5309" xr:uid="{00000000-0005-0000-0000-0000D71F0000}"/>
    <cellStyle name="Normal 9 3 2 3 2 3 2" xfId="22181" xr:uid="{A9DDC7C5-1162-4D1A-9666-DFC59CBFDDDD}"/>
    <cellStyle name="Normal 9 3 2 3 2 3 3" xfId="13747" xr:uid="{7C5B160D-B755-42A3-B68B-E211B0D7B7F1}"/>
    <cellStyle name="Normal 9 3 2 3 2 4" xfId="17964" xr:uid="{2DAC121B-76A2-4C58-ABBF-52D1072E5E5E}"/>
    <cellStyle name="Normal 9 3 2 3 2 5" xfId="9530" xr:uid="{51EFA51B-F62F-4147-B5EC-F95794248B86}"/>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24739" xr:uid="{027D1644-0BA2-44C6-A457-E98ED4EE0C38}"/>
    <cellStyle name="Normal 9 3 2 3 3 2 2 3" xfId="16305" xr:uid="{8F07B577-61CE-4347-A7D0-0900396AFF73}"/>
    <cellStyle name="Normal 9 3 2 3 3 2 3" xfId="20522" xr:uid="{761AB03A-9EA1-4999-9209-B7B1C403B2DA}"/>
    <cellStyle name="Normal 9 3 2 3 3 2 4" xfId="12088" xr:uid="{11553CE7-DF9D-4881-97ED-372A17E2E7F9}"/>
    <cellStyle name="Normal 9 3 2 3 3 3" xfId="5722" xr:uid="{00000000-0005-0000-0000-0000DB1F0000}"/>
    <cellStyle name="Normal 9 3 2 3 3 3 2" xfId="22594" xr:uid="{2A4283CE-1B17-45B1-BE10-0AC26C18BC3B}"/>
    <cellStyle name="Normal 9 3 2 3 3 3 3" xfId="14160" xr:uid="{FDE126EB-352F-47E4-BC81-2A789735DB97}"/>
    <cellStyle name="Normal 9 3 2 3 3 4" xfId="18377" xr:uid="{BBCE99A0-B822-40E2-A3BC-FE03F72B2E3F}"/>
    <cellStyle name="Normal 9 3 2 3 3 5" xfId="9943" xr:uid="{CA60B2B4-298E-4393-B415-96B0C3E922AC}"/>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25152" xr:uid="{03121D43-7941-474D-91F0-20123E1CB4F1}"/>
    <cellStyle name="Normal 9 3 2 3 4 2 2 3" xfId="16718" xr:uid="{61B092C7-F95C-4735-856E-B9DE9DC6FB32}"/>
    <cellStyle name="Normal 9 3 2 3 4 2 3" xfId="20935" xr:uid="{B11B1C11-57ED-40C6-A106-6FD5B1A61934}"/>
    <cellStyle name="Normal 9 3 2 3 4 2 4" xfId="12501" xr:uid="{2BCB28AA-058C-4702-A335-A50EF4EFFF92}"/>
    <cellStyle name="Normal 9 3 2 3 4 3" xfId="6135" xr:uid="{00000000-0005-0000-0000-0000DF1F0000}"/>
    <cellStyle name="Normal 9 3 2 3 4 3 2" xfId="23007" xr:uid="{C14D8271-BFFE-4EE5-89C8-6BB456DC015F}"/>
    <cellStyle name="Normal 9 3 2 3 4 3 3" xfId="14573" xr:uid="{0554B42E-C295-42DC-8516-519154579828}"/>
    <cellStyle name="Normal 9 3 2 3 4 4" xfId="18790" xr:uid="{FA2D9327-67C2-4867-908E-97430EF26944}"/>
    <cellStyle name="Normal 9 3 2 3 4 5" xfId="10356" xr:uid="{B15DF8AC-0545-4E22-87CC-DDE01034785E}"/>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25565" xr:uid="{37AA4784-12C7-4C40-939D-288C981CA8A0}"/>
    <cellStyle name="Normal 9 3 2 3 5 2 2 3" xfId="17131" xr:uid="{E534C755-F0C0-4A02-8386-C09EFE7B3CF1}"/>
    <cellStyle name="Normal 9 3 2 3 5 2 3" xfId="21348" xr:uid="{12CCC94B-F1E8-42D5-AD25-9F2197B20D3A}"/>
    <cellStyle name="Normal 9 3 2 3 5 2 4" xfId="12914" xr:uid="{5FD4F662-4CC6-437E-82A2-BF09E7D607ED}"/>
    <cellStyle name="Normal 9 3 2 3 5 3" xfId="6548" xr:uid="{00000000-0005-0000-0000-0000E31F0000}"/>
    <cellStyle name="Normal 9 3 2 3 5 3 2" xfId="23420" xr:uid="{FF3DCCF7-4190-4C29-8DB1-C2C9F5368596}"/>
    <cellStyle name="Normal 9 3 2 3 5 3 3" xfId="14986" xr:uid="{34A2E7AC-E05A-47E1-831E-18190E5D4D73}"/>
    <cellStyle name="Normal 9 3 2 3 5 4" xfId="19203" xr:uid="{C4941551-C8FD-4AD5-9A75-CA2AD7A95D6B}"/>
    <cellStyle name="Normal 9 3 2 3 5 5" xfId="10769" xr:uid="{BCD5D408-0624-4F94-89C2-C06AE3347E08}"/>
    <cellStyle name="Normal 9 3 2 3 6" xfId="2677" xr:uid="{00000000-0005-0000-0000-0000E41F0000}"/>
    <cellStyle name="Normal 9 3 2 3 6 2" xfId="6961" xr:uid="{00000000-0005-0000-0000-0000E51F0000}"/>
    <cellStyle name="Normal 9 3 2 3 6 2 2" xfId="23833" xr:uid="{3FE1F19F-A7A6-49A6-A7C3-63990CC67C08}"/>
    <cellStyle name="Normal 9 3 2 3 6 2 3" xfId="15399" xr:uid="{88406F89-E61B-477D-835C-7197E8E4E7D0}"/>
    <cellStyle name="Normal 9 3 2 3 6 3" xfId="19616" xr:uid="{D56089CB-B71E-4014-9912-09D010C33EE3}"/>
    <cellStyle name="Normal 9 3 2 3 6 4" xfId="11182" xr:uid="{DB35956D-B779-40E4-8ABB-34F771DD6A2A}"/>
    <cellStyle name="Normal 9 3 2 3 7" xfId="4896" xr:uid="{00000000-0005-0000-0000-0000E61F0000}"/>
    <cellStyle name="Normal 9 3 2 3 7 2" xfId="21768" xr:uid="{32D6C0C7-0F2B-4089-B056-81D40B597604}"/>
    <cellStyle name="Normal 9 3 2 3 7 3" xfId="13334" xr:uid="{7CDA46B0-6BDF-4EEB-A616-12056EC53717}"/>
    <cellStyle name="Normal 9 3 2 3 8" xfId="17551" xr:uid="{7A6F6532-65CD-4DFE-80BB-692BCE1F8BF2}"/>
    <cellStyle name="Normal 9 3 2 3 9" xfId="9117" xr:uid="{3C2F1D1F-D357-4501-9842-AC9A6C4253B4}"/>
    <cellStyle name="Normal 9 3 2 4" xfId="995" xr:uid="{00000000-0005-0000-0000-0000E71F0000}"/>
    <cellStyle name="Normal 9 3 2 4 2" xfId="3228" xr:uid="{00000000-0005-0000-0000-0000E81F0000}"/>
    <cellStyle name="Normal 9 3 2 4 2 2" xfId="7451" xr:uid="{00000000-0005-0000-0000-0000E91F0000}"/>
    <cellStyle name="Normal 9 3 2 4 2 2 2" xfId="24323" xr:uid="{67C30ECB-0712-4366-936E-E36042B85D2E}"/>
    <cellStyle name="Normal 9 3 2 4 2 2 3" xfId="15889" xr:uid="{496EA273-9BD6-4A42-8DA4-03EA09703D6A}"/>
    <cellStyle name="Normal 9 3 2 4 2 3" xfId="20106" xr:uid="{9B5DA77A-A2A1-4FA5-A404-24DA3EA9E06B}"/>
    <cellStyle name="Normal 9 3 2 4 2 4" xfId="11672" xr:uid="{0AB8D2B8-5166-4CAC-A3D3-7E52B7F58AAA}"/>
    <cellStyle name="Normal 9 3 2 4 3" xfId="5306" xr:uid="{00000000-0005-0000-0000-0000EA1F0000}"/>
    <cellStyle name="Normal 9 3 2 4 3 2" xfId="22178" xr:uid="{508835E5-F6BE-4B56-9019-A4148BB97A8C}"/>
    <cellStyle name="Normal 9 3 2 4 3 3" xfId="13744" xr:uid="{F7A21C35-A26E-448F-8D1E-8D3BFAEF47C3}"/>
    <cellStyle name="Normal 9 3 2 4 4" xfId="17961" xr:uid="{678B5B89-F847-488C-9EE6-151CB6586FEB}"/>
    <cellStyle name="Normal 9 3 2 4 5" xfId="9527" xr:uid="{0DBA77C5-EF71-4E51-BC25-56A97B9641AA}"/>
    <cellStyle name="Normal 9 3 2 5" xfId="1411" xr:uid="{00000000-0005-0000-0000-0000EB1F0000}"/>
    <cellStyle name="Normal 9 3 2 5 2" xfId="3641" xr:uid="{00000000-0005-0000-0000-0000EC1F0000}"/>
    <cellStyle name="Normal 9 3 2 5 2 2" xfId="7864" xr:uid="{00000000-0005-0000-0000-0000ED1F0000}"/>
    <cellStyle name="Normal 9 3 2 5 2 2 2" xfId="24736" xr:uid="{6BBC1BA7-6AF6-4C6A-8046-7D3F8FF45708}"/>
    <cellStyle name="Normal 9 3 2 5 2 2 3" xfId="16302" xr:uid="{C7B40596-8399-4ED0-A736-B8A29D73494B}"/>
    <cellStyle name="Normal 9 3 2 5 2 3" xfId="20519" xr:uid="{6C81C335-E6DD-44AD-B276-5D3A50C2787A}"/>
    <cellStyle name="Normal 9 3 2 5 2 4" xfId="12085" xr:uid="{63934795-50C3-4455-A5BD-5271E2641888}"/>
    <cellStyle name="Normal 9 3 2 5 3" xfId="5719" xr:uid="{00000000-0005-0000-0000-0000EE1F0000}"/>
    <cellStyle name="Normal 9 3 2 5 3 2" xfId="22591" xr:uid="{32BCA54E-AD5E-4F8D-BEE8-A34DB8571DDE}"/>
    <cellStyle name="Normal 9 3 2 5 3 3" xfId="14157" xr:uid="{EF7A472B-C406-4043-B826-50B4EB2C636F}"/>
    <cellStyle name="Normal 9 3 2 5 4" xfId="18374" xr:uid="{555212DA-EB06-4A35-BEF7-14256995856F}"/>
    <cellStyle name="Normal 9 3 2 5 5" xfId="9940" xr:uid="{B5B98148-4B11-48EA-8D90-D8DA6B9B5129}"/>
    <cellStyle name="Normal 9 3 2 6" xfId="1824" xr:uid="{00000000-0005-0000-0000-0000EF1F0000}"/>
    <cellStyle name="Normal 9 3 2 6 2" xfId="4054" xr:uid="{00000000-0005-0000-0000-0000F01F0000}"/>
    <cellStyle name="Normal 9 3 2 6 2 2" xfId="8277" xr:uid="{00000000-0005-0000-0000-0000F11F0000}"/>
    <cellStyle name="Normal 9 3 2 6 2 2 2" xfId="25149" xr:uid="{16297CF2-3889-455A-808B-2C72855B5069}"/>
    <cellStyle name="Normal 9 3 2 6 2 2 3" xfId="16715" xr:uid="{AEE9F71F-363A-45CE-B201-B1D0AFBDCE37}"/>
    <cellStyle name="Normal 9 3 2 6 2 3" xfId="20932" xr:uid="{D25615AB-4C42-4D39-911E-EF7A8069FF64}"/>
    <cellStyle name="Normal 9 3 2 6 2 4" xfId="12498" xr:uid="{213C0679-6975-4824-9A78-658CF990E4D3}"/>
    <cellStyle name="Normal 9 3 2 6 3" xfId="6132" xr:uid="{00000000-0005-0000-0000-0000F21F0000}"/>
    <cellStyle name="Normal 9 3 2 6 3 2" xfId="23004" xr:uid="{E73E55A3-2E95-4AB2-BB18-AA4AD45D1216}"/>
    <cellStyle name="Normal 9 3 2 6 3 3" xfId="14570" xr:uid="{4D7097D1-2584-4973-9C25-8B9B31015AE8}"/>
    <cellStyle name="Normal 9 3 2 6 4" xfId="18787" xr:uid="{13477426-27C1-49C4-830D-7F75D6EFCE8E}"/>
    <cellStyle name="Normal 9 3 2 6 5" xfId="10353" xr:uid="{2934AAEC-9125-4575-8C87-BC59381A6551}"/>
    <cellStyle name="Normal 9 3 2 7" xfId="2238" xr:uid="{00000000-0005-0000-0000-0000F31F0000}"/>
    <cellStyle name="Normal 9 3 2 7 2" xfId="4467" xr:uid="{00000000-0005-0000-0000-0000F41F0000}"/>
    <cellStyle name="Normal 9 3 2 7 2 2" xfId="8690" xr:uid="{00000000-0005-0000-0000-0000F51F0000}"/>
    <cellStyle name="Normal 9 3 2 7 2 2 2" xfId="25562" xr:uid="{88E2E25C-2C46-4F6B-90B8-0A57521BF2B5}"/>
    <cellStyle name="Normal 9 3 2 7 2 2 3" xfId="17128" xr:uid="{E8766FD1-24C2-4D0C-9CD2-F0E549AA7373}"/>
    <cellStyle name="Normal 9 3 2 7 2 3" xfId="21345" xr:uid="{3828BDF0-733C-4A81-A28C-D0BAFE74DCC5}"/>
    <cellStyle name="Normal 9 3 2 7 2 4" xfId="12911" xr:uid="{88DB1D92-B254-4021-9BF4-87DFC290930D}"/>
    <cellStyle name="Normal 9 3 2 7 3" xfId="6545" xr:uid="{00000000-0005-0000-0000-0000F61F0000}"/>
    <cellStyle name="Normal 9 3 2 7 3 2" xfId="23417" xr:uid="{14B4CE5D-28EB-4F11-AF1D-099D86F8CFC1}"/>
    <cellStyle name="Normal 9 3 2 7 3 3" xfId="14983" xr:uid="{0C3D339E-BB98-4289-88B5-7E57449BEC5B}"/>
    <cellStyle name="Normal 9 3 2 7 4" xfId="19200" xr:uid="{5D1C4CCD-6BEB-4170-BBB7-D39DFBB7C6A2}"/>
    <cellStyle name="Normal 9 3 2 7 5" xfId="10766" xr:uid="{FBBDCDE5-1508-4D3E-A4C1-42831822890B}"/>
    <cellStyle name="Normal 9 3 2 8" xfId="2674" xr:uid="{00000000-0005-0000-0000-0000F71F0000}"/>
    <cellStyle name="Normal 9 3 2 8 2" xfId="6958" xr:uid="{00000000-0005-0000-0000-0000F81F0000}"/>
    <cellStyle name="Normal 9 3 2 8 2 2" xfId="23830" xr:uid="{76E6323D-BE8B-492B-B5A0-B7E859C91A18}"/>
    <cellStyle name="Normal 9 3 2 8 2 3" xfId="15396" xr:uid="{44CBEA27-4BBF-48E3-B206-E7D87E5223AE}"/>
    <cellStyle name="Normal 9 3 2 8 3" xfId="19613" xr:uid="{E8559F87-EFDD-4E74-B364-FA373D59EE9E}"/>
    <cellStyle name="Normal 9 3 2 8 4" xfId="11179" xr:uid="{33FA4CCE-C070-45CC-916F-C3F96F83A78F}"/>
    <cellStyle name="Normal 9 3 2 9" xfId="4893" xr:uid="{00000000-0005-0000-0000-0000F91F0000}"/>
    <cellStyle name="Normal 9 3 2 9 2" xfId="21765" xr:uid="{CCB4213E-D1E5-4910-85CB-E2DF5DE56310}"/>
    <cellStyle name="Normal 9 3 2 9 3" xfId="13331" xr:uid="{980166D5-D28C-4F7F-A1AF-D60877228D68}"/>
    <cellStyle name="Normal 9 3 3" xfId="532" xr:uid="{00000000-0005-0000-0000-0000FA1F0000}"/>
    <cellStyle name="Normal 9 3 3 10" xfId="9118" xr:uid="{989301BD-D5D9-44D3-8FD6-2E118072F321}"/>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24328" xr:uid="{FEBE966B-658A-4724-9F68-9492EC8A15EA}"/>
    <cellStyle name="Normal 9 3 3 2 2 2 2 3" xfId="15894" xr:uid="{7929EA8F-106E-40AA-9CD0-74051A8EE0CF}"/>
    <cellStyle name="Normal 9 3 3 2 2 2 3" xfId="20111" xr:uid="{20E3CE72-E152-4888-8C4C-25718FA409C3}"/>
    <cellStyle name="Normal 9 3 3 2 2 2 4" xfId="11677" xr:uid="{453C9013-7351-40E7-8A7B-1F3F1769CE9D}"/>
    <cellStyle name="Normal 9 3 3 2 2 3" xfId="5311" xr:uid="{00000000-0005-0000-0000-0000FF1F0000}"/>
    <cellStyle name="Normal 9 3 3 2 2 3 2" xfId="22183" xr:uid="{156B3A4A-A69D-4EEE-8107-4D45BC04EA95}"/>
    <cellStyle name="Normal 9 3 3 2 2 3 3" xfId="13749" xr:uid="{30FAF6DA-657C-49AC-8ACA-F033B11E2CEB}"/>
    <cellStyle name="Normal 9 3 3 2 2 4" xfId="17966" xr:uid="{AC7520E8-6547-46B4-962C-2CC7FB8AE2B4}"/>
    <cellStyle name="Normal 9 3 3 2 2 5" xfId="9532" xr:uid="{7E204115-B4C2-4323-95E1-A37A7FDC0F20}"/>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24741" xr:uid="{7BF8D20A-39E1-4C63-983B-0E1DA230A227}"/>
    <cellStyle name="Normal 9 3 3 2 3 2 2 3" xfId="16307" xr:uid="{4736EAD1-5ECE-40E6-AE66-B92801BE455D}"/>
    <cellStyle name="Normal 9 3 3 2 3 2 3" xfId="20524" xr:uid="{A3C26958-C5E0-44A1-A37F-155A025350AA}"/>
    <cellStyle name="Normal 9 3 3 2 3 2 4" xfId="12090" xr:uid="{43C13CC0-2379-41EA-8B2F-8A64F5A2914C}"/>
    <cellStyle name="Normal 9 3 3 2 3 3" xfId="5724" xr:uid="{00000000-0005-0000-0000-000003200000}"/>
    <cellStyle name="Normal 9 3 3 2 3 3 2" xfId="22596" xr:uid="{9F02209A-A314-4394-A8BC-287266DBA789}"/>
    <cellStyle name="Normal 9 3 3 2 3 3 3" xfId="14162" xr:uid="{137E0192-E025-417B-A738-7A00B2B282A4}"/>
    <cellStyle name="Normal 9 3 3 2 3 4" xfId="18379" xr:uid="{757186F1-08EA-4EF6-96FF-E89BD245BBA8}"/>
    <cellStyle name="Normal 9 3 3 2 3 5" xfId="9945" xr:uid="{C80E628F-FE7D-4ECE-8402-5FF05E82F937}"/>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25154" xr:uid="{D1727E38-AD6B-4FB2-BB7B-7FE361F9A2CD}"/>
    <cellStyle name="Normal 9 3 3 2 4 2 2 3" xfId="16720" xr:uid="{2266924A-6253-4E81-A951-2F333DC52F21}"/>
    <cellStyle name="Normal 9 3 3 2 4 2 3" xfId="20937" xr:uid="{A0FFF033-8A2F-4AB1-BB99-BF58606EAC2E}"/>
    <cellStyle name="Normal 9 3 3 2 4 2 4" xfId="12503" xr:uid="{6331DDEA-87BB-4366-A6C0-8AFE7EEE344E}"/>
    <cellStyle name="Normal 9 3 3 2 4 3" xfId="6137" xr:uid="{00000000-0005-0000-0000-000007200000}"/>
    <cellStyle name="Normal 9 3 3 2 4 3 2" xfId="23009" xr:uid="{FD4F40F4-DAF4-4A35-81CE-903D4CA1508C}"/>
    <cellStyle name="Normal 9 3 3 2 4 3 3" xfId="14575" xr:uid="{ECF1A2FE-C928-4543-8E91-28FF466C9F95}"/>
    <cellStyle name="Normal 9 3 3 2 4 4" xfId="18792" xr:uid="{6D3FB518-F10B-4998-8A87-ED48B9E509DE}"/>
    <cellStyle name="Normal 9 3 3 2 4 5" xfId="10358" xr:uid="{FA57EDE6-B95E-4C57-9D35-2B0A58C0914F}"/>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25567" xr:uid="{0BF435B4-5A99-42ED-9043-6D1802A84D4D}"/>
    <cellStyle name="Normal 9 3 3 2 5 2 2 3" xfId="17133" xr:uid="{4EDA6DA7-5E6C-4502-9642-A5309122C67D}"/>
    <cellStyle name="Normal 9 3 3 2 5 2 3" xfId="21350" xr:uid="{330CBB04-009F-483A-85E7-C4D6F16EE0DA}"/>
    <cellStyle name="Normal 9 3 3 2 5 2 4" xfId="12916" xr:uid="{205C003F-31EE-4E9C-90B4-636B41F45791}"/>
    <cellStyle name="Normal 9 3 3 2 5 3" xfId="6550" xr:uid="{00000000-0005-0000-0000-00000B200000}"/>
    <cellStyle name="Normal 9 3 3 2 5 3 2" xfId="23422" xr:uid="{9EEBC448-6E1C-43A0-A2BE-EDA4B90F3A46}"/>
    <cellStyle name="Normal 9 3 3 2 5 3 3" xfId="14988" xr:uid="{C3FB689C-CE1D-436E-916A-6F1C9D8C5E90}"/>
    <cellStyle name="Normal 9 3 3 2 5 4" xfId="19205" xr:uid="{70D0FD1B-8B53-4DAB-AFD1-1CE5A810AAA0}"/>
    <cellStyle name="Normal 9 3 3 2 5 5" xfId="10771" xr:uid="{21F59060-F07F-4182-B59F-82DC36BAED46}"/>
    <cellStyle name="Normal 9 3 3 2 6" xfId="2679" xr:uid="{00000000-0005-0000-0000-00000C200000}"/>
    <cellStyle name="Normal 9 3 3 2 6 2" xfId="6963" xr:uid="{00000000-0005-0000-0000-00000D200000}"/>
    <cellStyle name="Normal 9 3 3 2 6 2 2" xfId="23835" xr:uid="{DAD09170-2F03-41CA-B75E-2820E6314525}"/>
    <cellStyle name="Normal 9 3 3 2 6 2 3" xfId="15401" xr:uid="{F9C01BA9-3CF6-4CAE-83EF-959F00715501}"/>
    <cellStyle name="Normal 9 3 3 2 6 3" xfId="19618" xr:uid="{25EE8117-1D49-41B7-A421-23539FF63CB5}"/>
    <cellStyle name="Normal 9 3 3 2 6 4" xfId="11184" xr:uid="{C28BF174-83AD-481A-83A2-3DB428722E95}"/>
    <cellStyle name="Normal 9 3 3 2 7" xfId="4898" xr:uid="{00000000-0005-0000-0000-00000E200000}"/>
    <cellStyle name="Normal 9 3 3 2 7 2" xfId="21770" xr:uid="{35364A5C-8B94-4D9E-BB17-2693EB49CF11}"/>
    <cellStyle name="Normal 9 3 3 2 7 3" xfId="13336" xr:uid="{A5AFE065-20EB-401A-B9B3-C3A06AAAE950}"/>
    <cellStyle name="Normal 9 3 3 2 8" xfId="17553" xr:uid="{4B8ADCC2-FFF6-4486-A464-CC129C3340A2}"/>
    <cellStyle name="Normal 9 3 3 2 9" xfId="9119" xr:uid="{13A2A7AB-FADE-4C2A-952C-E9CA394DC8BF}"/>
    <cellStyle name="Normal 9 3 3 3" xfId="999" xr:uid="{00000000-0005-0000-0000-00000F200000}"/>
    <cellStyle name="Normal 9 3 3 3 2" xfId="3232" xr:uid="{00000000-0005-0000-0000-000010200000}"/>
    <cellStyle name="Normal 9 3 3 3 2 2" xfId="7455" xr:uid="{00000000-0005-0000-0000-000011200000}"/>
    <cellStyle name="Normal 9 3 3 3 2 2 2" xfId="24327" xr:uid="{34F81600-3C7E-4263-88BF-2D9304A18D34}"/>
    <cellStyle name="Normal 9 3 3 3 2 2 3" xfId="15893" xr:uid="{64CFAD1C-542B-45F3-AEF5-C01E7C2561DD}"/>
    <cellStyle name="Normal 9 3 3 3 2 3" xfId="20110" xr:uid="{6A8DCF31-58DD-4278-AE1C-BDD32C5E7A54}"/>
    <cellStyle name="Normal 9 3 3 3 2 4" xfId="11676" xr:uid="{D2119940-8897-407F-8878-409B7F3CCF04}"/>
    <cellStyle name="Normal 9 3 3 3 3" xfId="5310" xr:uid="{00000000-0005-0000-0000-000012200000}"/>
    <cellStyle name="Normal 9 3 3 3 3 2" xfId="22182" xr:uid="{6B4DB1CF-6776-457A-87E3-757877571C39}"/>
    <cellStyle name="Normal 9 3 3 3 3 3" xfId="13748" xr:uid="{4FDDF81C-255C-40D2-ABA7-59A14A4C1378}"/>
    <cellStyle name="Normal 9 3 3 3 4" xfId="17965" xr:uid="{149D37D4-F36D-4C69-BA26-C303E0F14845}"/>
    <cellStyle name="Normal 9 3 3 3 5" xfId="9531" xr:uid="{70FA4B89-5CAC-4E2A-BE23-EBDBAC16A473}"/>
    <cellStyle name="Normal 9 3 3 4" xfId="1415" xr:uid="{00000000-0005-0000-0000-000013200000}"/>
    <cellStyle name="Normal 9 3 3 4 2" xfId="3645" xr:uid="{00000000-0005-0000-0000-000014200000}"/>
    <cellStyle name="Normal 9 3 3 4 2 2" xfId="7868" xr:uid="{00000000-0005-0000-0000-000015200000}"/>
    <cellStyle name="Normal 9 3 3 4 2 2 2" xfId="24740" xr:uid="{0E8C65D1-3D8F-46C9-A2FD-973E64E3E191}"/>
    <cellStyle name="Normal 9 3 3 4 2 2 3" xfId="16306" xr:uid="{BCD20A8B-F392-49B0-B58C-B65EA6D23368}"/>
    <cellStyle name="Normal 9 3 3 4 2 3" xfId="20523" xr:uid="{80A7B78B-3AF5-450C-8645-6C23D7162579}"/>
    <cellStyle name="Normal 9 3 3 4 2 4" xfId="12089" xr:uid="{64219620-2716-430E-8EA2-453094F4E4A5}"/>
    <cellStyle name="Normal 9 3 3 4 3" xfId="5723" xr:uid="{00000000-0005-0000-0000-000016200000}"/>
    <cellStyle name="Normal 9 3 3 4 3 2" xfId="22595" xr:uid="{CB3E0789-DE77-4717-BE55-A601CEC3D188}"/>
    <cellStyle name="Normal 9 3 3 4 3 3" xfId="14161" xr:uid="{6FC5F93F-6043-4A93-8FDC-E68B92FB6AA3}"/>
    <cellStyle name="Normal 9 3 3 4 4" xfId="18378" xr:uid="{982EFBF3-7AE8-4FD5-9FF7-C753D4158AE0}"/>
    <cellStyle name="Normal 9 3 3 4 5" xfId="9944" xr:uid="{EC92996A-ADD2-4D98-85B0-762B6911D9C7}"/>
    <cellStyle name="Normal 9 3 3 5" xfId="1828" xr:uid="{00000000-0005-0000-0000-000017200000}"/>
    <cellStyle name="Normal 9 3 3 5 2" xfId="4058" xr:uid="{00000000-0005-0000-0000-000018200000}"/>
    <cellStyle name="Normal 9 3 3 5 2 2" xfId="8281" xr:uid="{00000000-0005-0000-0000-000019200000}"/>
    <cellStyle name="Normal 9 3 3 5 2 2 2" xfId="25153" xr:uid="{F9FDCFB4-120A-4D5D-B623-8DBD4DA67DD5}"/>
    <cellStyle name="Normal 9 3 3 5 2 2 3" xfId="16719" xr:uid="{3DE1D388-B335-49C0-8F99-E9E9AA7ED03D}"/>
    <cellStyle name="Normal 9 3 3 5 2 3" xfId="20936" xr:uid="{96E782DA-6631-43F7-B153-BF346D771E54}"/>
    <cellStyle name="Normal 9 3 3 5 2 4" xfId="12502" xr:uid="{2A52377E-50D5-4D64-AD8A-63752C2730DB}"/>
    <cellStyle name="Normal 9 3 3 5 3" xfId="6136" xr:uid="{00000000-0005-0000-0000-00001A200000}"/>
    <cellStyle name="Normal 9 3 3 5 3 2" xfId="23008" xr:uid="{17DB9A16-28C0-4393-BCF4-6919145B77DC}"/>
    <cellStyle name="Normal 9 3 3 5 3 3" xfId="14574" xr:uid="{F6739A17-AB26-4C1F-85A5-0EFDEA915DEA}"/>
    <cellStyle name="Normal 9 3 3 5 4" xfId="18791" xr:uid="{E42EF9E1-4EBB-4D3F-8485-68678DA63E64}"/>
    <cellStyle name="Normal 9 3 3 5 5" xfId="10357" xr:uid="{B7BCE889-FB2A-4136-951E-FDB5E0D57E47}"/>
    <cellStyle name="Normal 9 3 3 6" xfId="2242" xr:uid="{00000000-0005-0000-0000-00001B200000}"/>
    <cellStyle name="Normal 9 3 3 6 2" xfId="4471" xr:uid="{00000000-0005-0000-0000-00001C200000}"/>
    <cellStyle name="Normal 9 3 3 6 2 2" xfId="8694" xr:uid="{00000000-0005-0000-0000-00001D200000}"/>
    <cellStyle name="Normal 9 3 3 6 2 2 2" xfId="25566" xr:uid="{43A057A7-DCB6-49C7-BE99-A5B6A16B6F73}"/>
    <cellStyle name="Normal 9 3 3 6 2 2 3" xfId="17132" xr:uid="{26E18FCB-5ACE-4D79-AF1B-95B6B5C83C6A}"/>
    <cellStyle name="Normal 9 3 3 6 2 3" xfId="21349" xr:uid="{D1E7DB54-79E4-41C4-B47E-0287E4DD8A60}"/>
    <cellStyle name="Normal 9 3 3 6 2 4" xfId="12915" xr:uid="{FB8762EE-A1AB-4CDB-BEBA-081807C9ECD3}"/>
    <cellStyle name="Normal 9 3 3 6 3" xfId="6549" xr:uid="{00000000-0005-0000-0000-00001E200000}"/>
    <cellStyle name="Normal 9 3 3 6 3 2" xfId="23421" xr:uid="{DE98DF10-FDEB-49F5-8B56-4F907C1AA09D}"/>
    <cellStyle name="Normal 9 3 3 6 3 3" xfId="14987" xr:uid="{77D4AB6E-EF19-456A-B901-CF4D44CB55BF}"/>
    <cellStyle name="Normal 9 3 3 6 4" xfId="19204" xr:uid="{0186FAEB-3D7D-4C2F-BCF3-15B3889609E7}"/>
    <cellStyle name="Normal 9 3 3 6 5" xfId="10770" xr:uid="{A11BC003-6587-4537-BEDB-21755F14AC4B}"/>
    <cellStyle name="Normal 9 3 3 7" xfId="2678" xr:uid="{00000000-0005-0000-0000-00001F200000}"/>
    <cellStyle name="Normal 9 3 3 7 2" xfId="6962" xr:uid="{00000000-0005-0000-0000-000020200000}"/>
    <cellStyle name="Normal 9 3 3 7 2 2" xfId="23834" xr:uid="{E35CC998-B3AC-445B-808C-065E03C7ACC5}"/>
    <cellStyle name="Normal 9 3 3 7 2 3" xfId="15400" xr:uid="{13BDBCBB-42E2-49E3-AC13-1390B9BABE89}"/>
    <cellStyle name="Normal 9 3 3 7 3" xfId="19617" xr:uid="{72BA4C33-2C2E-4300-A213-0DCE48DBDA86}"/>
    <cellStyle name="Normal 9 3 3 7 4" xfId="11183" xr:uid="{0591B1D8-F633-405F-8C32-4FC34699623C}"/>
    <cellStyle name="Normal 9 3 3 8" xfId="4897" xr:uid="{00000000-0005-0000-0000-000021200000}"/>
    <cellStyle name="Normal 9 3 3 8 2" xfId="21769" xr:uid="{0F1324EE-9132-49BC-8318-C40E536C6D38}"/>
    <cellStyle name="Normal 9 3 3 8 3" xfId="13335" xr:uid="{2372D6D3-88D8-4A76-8089-36A4FEFB451B}"/>
    <cellStyle name="Normal 9 3 3 9" xfId="17552" xr:uid="{1FD5FFA3-0A5C-4761-8263-0B62798CAAD1}"/>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24329" xr:uid="{DE965139-7C26-4942-BDEA-68DF14549B55}"/>
    <cellStyle name="Normal 9 3 4 2 2 2 3" xfId="15895" xr:uid="{82E2DBFB-80AD-4BC5-BAF4-D17985BF5B98}"/>
    <cellStyle name="Normal 9 3 4 2 2 3" xfId="20112" xr:uid="{07710DFD-47E3-48DA-83CD-67C5A6BC5939}"/>
    <cellStyle name="Normal 9 3 4 2 2 4" xfId="11678" xr:uid="{E491B78A-E46B-4CBB-8E2A-E49CCF82034D}"/>
    <cellStyle name="Normal 9 3 4 2 3" xfId="5312" xr:uid="{00000000-0005-0000-0000-000026200000}"/>
    <cellStyle name="Normal 9 3 4 2 3 2" xfId="22184" xr:uid="{041CBF80-1749-46CC-B56C-065B93CE8E39}"/>
    <cellStyle name="Normal 9 3 4 2 3 3" xfId="13750" xr:uid="{C600A9E1-C24F-4753-A581-51B1425E12B4}"/>
    <cellStyle name="Normal 9 3 4 2 4" xfId="17967" xr:uid="{C1A7DC82-309B-4F87-9B3D-994F2E8BA99F}"/>
    <cellStyle name="Normal 9 3 4 2 5" xfId="9533" xr:uid="{6075B473-3B7A-4725-9BD4-EAA05EA1517F}"/>
    <cellStyle name="Normal 9 3 4 3" xfId="1417" xr:uid="{00000000-0005-0000-0000-000027200000}"/>
    <cellStyle name="Normal 9 3 4 3 2" xfId="3647" xr:uid="{00000000-0005-0000-0000-000028200000}"/>
    <cellStyle name="Normal 9 3 4 3 2 2" xfId="7870" xr:uid="{00000000-0005-0000-0000-000029200000}"/>
    <cellStyle name="Normal 9 3 4 3 2 2 2" xfId="24742" xr:uid="{FBADF823-7889-4ECE-BDEC-5907FC783306}"/>
    <cellStyle name="Normal 9 3 4 3 2 2 3" xfId="16308" xr:uid="{958DEE89-17EB-4210-8148-0BCE9061AF58}"/>
    <cellStyle name="Normal 9 3 4 3 2 3" xfId="20525" xr:uid="{5C167A3F-4925-404D-962C-7BA46D76B255}"/>
    <cellStyle name="Normal 9 3 4 3 2 4" xfId="12091" xr:uid="{93568E5D-AD17-4AA7-B9B8-769FC28A903E}"/>
    <cellStyle name="Normal 9 3 4 3 3" xfId="5725" xr:uid="{00000000-0005-0000-0000-00002A200000}"/>
    <cellStyle name="Normal 9 3 4 3 3 2" xfId="22597" xr:uid="{320E1C38-FF39-4E92-B2A2-3343A69786D2}"/>
    <cellStyle name="Normal 9 3 4 3 3 3" xfId="14163" xr:uid="{9C8F3448-8CDE-4F91-B5CC-FE352A204895}"/>
    <cellStyle name="Normal 9 3 4 3 4" xfId="18380" xr:uid="{D0C24D55-447F-4B56-BFA0-833167922016}"/>
    <cellStyle name="Normal 9 3 4 3 5" xfId="9946" xr:uid="{723F635B-28D1-41CD-8628-5998ED7DEA29}"/>
    <cellStyle name="Normal 9 3 4 4" xfId="1830" xr:uid="{00000000-0005-0000-0000-00002B200000}"/>
    <cellStyle name="Normal 9 3 4 4 2" xfId="4060" xr:uid="{00000000-0005-0000-0000-00002C200000}"/>
    <cellStyle name="Normal 9 3 4 4 2 2" xfId="8283" xr:uid="{00000000-0005-0000-0000-00002D200000}"/>
    <cellStyle name="Normal 9 3 4 4 2 2 2" xfId="25155" xr:uid="{EAAFC689-4AE2-4D81-9304-E197040CC2E1}"/>
    <cellStyle name="Normal 9 3 4 4 2 2 3" xfId="16721" xr:uid="{CD0AF757-A96C-4AB6-8882-B5608F939641}"/>
    <cellStyle name="Normal 9 3 4 4 2 3" xfId="20938" xr:uid="{E0EC0177-3CA6-4593-B78A-44D090D59CDC}"/>
    <cellStyle name="Normal 9 3 4 4 2 4" xfId="12504" xr:uid="{6D12BB3F-A2C6-4950-9917-CD604D749895}"/>
    <cellStyle name="Normal 9 3 4 4 3" xfId="6138" xr:uid="{00000000-0005-0000-0000-00002E200000}"/>
    <cellStyle name="Normal 9 3 4 4 3 2" xfId="23010" xr:uid="{77D056D4-3F10-4512-B2B2-69BA3601761D}"/>
    <cellStyle name="Normal 9 3 4 4 3 3" xfId="14576" xr:uid="{CE1F0215-42F9-42CD-BB3A-37935C937EB5}"/>
    <cellStyle name="Normal 9 3 4 4 4" xfId="18793" xr:uid="{419EA83E-4E36-4DDD-B790-D853B91CB4B8}"/>
    <cellStyle name="Normal 9 3 4 4 5" xfId="10359" xr:uid="{A729166B-1B6B-4F6C-B782-392B9F98A16F}"/>
    <cellStyle name="Normal 9 3 4 5" xfId="2244" xr:uid="{00000000-0005-0000-0000-00002F200000}"/>
    <cellStyle name="Normal 9 3 4 5 2" xfId="4473" xr:uid="{00000000-0005-0000-0000-000030200000}"/>
    <cellStyle name="Normal 9 3 4 5 2 2" xfId="8696" xr:uid="{00000000-0005-0000-0000-000031200000}"/>
    <cellStyle name="Normal 9 3 4 5 2 2 2" xfId="25568" xr:uid="{AB8269BE-F7BC-4175-8DB8-741BBED27F57}"/>
    <cellStyle name="Normal 9 3 4 5 2 2 3" xfId="17134" xr:uid="{4D403B61-2DDF-478E-BCD4-718FF72163F0}"/>
    <cellStyle name="Normal 9 3 4 5 2 3" xfId="21351" xr:uid="{44658A24-C3CC-4F84-BBBD-FBB64E2FBD4B}"/>
    <cellStyle name="Normal 9 3 4 5 2 4" xfId="12917" xr:uid="{B24AF6A2-7150-4E13-A1A3-00BFDA5FCA7E}"/>
    <cellStyle name="Normal 9 3 4 5 3" xfId="6551" xr:uid="{00000000-0005-0000-0000-000032200000}"/>
    <cellStyle name="Normal 9 3 4 5 3 2" xfId="23423" xr:uid="{E6E9247A-BC84-4380-BDDB-072E94C2E09B}"/>
    <cellStyle name="Normal 9 3 4 5 3 3" xfId="14989" xr:uid="{9E73FAF5-7E88-4FEA-9B80-F97794D33D76}"/>
    <cellStyle name="Normal 9 3 4 5 4" xfId="19206" xr:uid="{2AA6BF9B-905C-404C-BF4B-02FD46650B41}"/>
    <cellStyle name="Normal 9 3 4 5 5" xfId="10772" xr:uid="{26C9EDA1-9CD0-45BB-89B0-89C654CD239F}"/>
    <cellStyle name="Normal 9 3 4 6" xfId="2680" xr:uid="{00000000-0005-0000-0000-000033200000}"/>
    <cellStyle name="Normal 9 3 4 6 2" xfId="6964" xr:uid="{00000000-0005-0000-0000-000034200000}"/>
    <cellStyle name="Normal 9 3 4 6 2 2" xfId="23836" xr:uid="{0AED51D9-9B6E-4EBB-B30F-DF6822B8475D}"/>
    <cellStyle name="Normal 9 3 4 6 2 3" xfId="15402" xr:uid="{E677A47A-CAD8-44A3-9E32-504550F27030}"/>
    <cellStyle name="Normal 9 3 4 6 3" xfId="19619" xr:uid="{03E8FBA5-0CCC-47C1-A88C-C02FDD34E1C6}"/>
    <cellStyle name="Normal 9 3 4 6 4" xfId="11185" xr:uid="{A16420CF-A299-4091-8055-BC7C7E0E4FC9}"/>
    <cellStyle name="Normal 9 3 4 7" xfId="4899" xr:uid="{00000000-0005-0000-0000-000035200000}"/>
    <cellStyle name="Normal 9 3 4 7 2" xfId="21771" xr:uid="{6D128867-2883-41FE-99BA-E28A712BD72A}"/>
    <cellStyle name="Normal 9 3 4 7 3" xfId="13337" xr:uid="{49EE199A-6B2B-45C5-9A37-B37512886D07}"/>
    <cellStyle name="Normal 9 3 4 8" xfId="17554" xr:uid="{E3402AA7-7D8C-4200-9F75-3ACF4E3D8BA2}"/>
    <cellStyle name="Normal 9 3 4 9" xfId="9120" xr:uid="{3AD536B0-B3D5-4475-955C-ECA8D6A5F7EA}"/>
    <cellStyle name="Normal 9 3 5" xfId="994" xr:uid="{00000000-0005-0000-0000-000036200000}"/>
    <cellStyle name="Normal 9 3 5 2" xfId="3227" xr:uid="{00000000-0005-0000-0000-000037200000}"/>
    <cellStyle name="Normal 9 3 5 2 2" xfId="7450" xr:uid="{00000000-0005-0000-0000-000038200000}"/>
    <cellStyle name="Normal 9 3 5 2 2 2" xfId="24322" xr:uid="{11770DA4-14E0-48CD-BC32-73085F84BBA6}"/>
    <cellStyle name="Normal 9 3 5 2 2 3" xfId="15888" xr:uid="{FFC39FDE-2EEF-4C7A-91CB-8E6CA9DC0F0B}"/>
    <cellStyle name="Normal 9 3 5 2 3" xfId="20105" xr:uid="{9F1E51DA-F2C0-4AD6-AEAF-724089B57FCA}"/>
    <cellStyle name="Normal 9 3 5 2 4" xfId="11671" xr:uid="{BB8453A6-6908-4C81-87B4-91D94262CB16}"/>
    <cellStyle name="Normal 9 3 5 3" xfId="5305" xr:uid="{00000000-0005-0000-0000-000039200000}"/>
    <cellStyle name="Normal 9 3 5 3 2" xfId="22177" xr:uid="{3D7315EC-99B1-447F-B653-0DE44294FDCD}"/>
    <cellStyle name="Normal 9 3 5 3 3" xfId="13743" xr:uid="{504EF97F-B9DE-4CEE-98C5-6F07981732BE}"/>
    <cellStyle name="Normal 9 3 5 4" xfId="17960" xr:uid="{24300E5C-D2E8-4109-9746-75C106D84AC5}"/>
    <cellStyle name="Normal 9 3 5 5" xfId="9526" xr:uid="{F916AE28-2DC3-4590-9289-6FF188F55FDE}"/>
    <cellStyle name="Normal 9 3 6" xfId="1410" xr:uid="{00000000-0005-0000-0000-00003A200000}"/>
    <cellStyle name="Normal 9 3 6 2" xfId="3640" xr:uid="{00000000-0005-0000-0000-00003B200000}"/>
    <cellStyle name="Normal 9 3 6 2 2" xfId="7863" xr:uid="{00000000-0005-0000-0000-00003C200000}"/>
    <cellStyle name="Normal 9 3 6 2 2 2" xfId="24735" xr:uid="{ED5A8211-6AFB-4814-974E-D12CE60C3D46}"/>
    <cellStyle name="Normal 9 3 6 2 2 3" xfId="16301" xr:uid="{C336661D-26C4-471B-ABFF-F6E5E49DC9C2}"/>
    <cellStyle name="Normal 9 3 6 2 3" xfId="20518" xr:uid="{0C87299B-1F75-485B-A596-103C875261C9}"/>
    <cellStyle name="Normal 9 3 6 2 4" xfId="12084" xr:uid="{14DA8D92-CB90-4634-B32B-C5E5024E208B}"/>
    <cellStyle name="Normal 9 3 6 3" xfId="5718" xr:uid="{00000000-0005-0000-0000-00003D200000}"/>
    <cellStyle name="Normal 9 3 6 3 2" xfId="22590" xr:uid="{CE6CFC4F-20ED-4D86-9F2C-F098DB42FF34}"/>
    <cellStyle name="Normal 9 3 6 3 3" xfId="14156" xr:uid="{F27104FC-75FF-4D57-A4CB-601088D76DF6}"/>
    <cellStyle name="Normal 9 3 6 4" xfId="18373" xr:uid="{0EBA9A19-0B0D-4E9D-8F35-7153D9F4A79F}"/>
    <cellStyle name="Normal 9 3 6 5" xfId="9939" xr:uid="{CAA9302F-8B27-4827-BDE1-891C2C7123F6}"/>
    <cellStyle name="Normal 9 3 7" xfId="1823" xr:uid="{00000000-0005-0000-0000-00003E200000}"/>
    <cellStyle name="Normal 9 3 7 2" xfId="4053" xr:uid="{00000000-0005-0000-0000-00003F200000}"/>
    <cellStyle name="Normal 9 3 7 2 2" xfId="8276" xr:uid="{00000000-0005-0000-0000-000040200000}"/>
    <cellStyle name="Normal 9 3 7 2 2 2" xfId="25148" xr:uid="{8A44092E-E1DA-4AC8-B6D4-5DE1916003EE}"/>
    <cellStyle name="Normal 9 3 7 2 2 3" xfId="16714" xr:uid="{C93C3473-D9BC-4549-81A9-F086ED6B7ACF}"/>
    <cellStyle name="Normal 9 3 7 2 3" xfId="20931" xr:uid="{A90AFC1E-131E-43FF-82A1-9F5F0D4325C7}"/>
    <cellStyle name="Normal 9 3 7 2 4" xfId="12497" xr:uid="{CC7D1DCD-56CB-49F6-8CED-475B1853C230}"/>
    <cellStyle name="Normal 9 3 7 3" xfId="6131" xr:uid="{00000000-0005-0000-0000-000041200000}"/>
    <cellStyle name="Normal 9 3 7 3 2" xfId="23003" xr:uid="{98107B75-B780-4FB3-A04A-D2EB36F74691}"/>
    <cellStyle name="Normal 9 3 7 3 3" xfId="14569" xr:uid="{A964A914-D353-44B8-9608-EB831BD3B4B5}"/>
    <cellStyle name="Normal 9 3 7 4" xfId="18786" xr:uid="{627CFFB9-47C1-4F34-986F-7BD3537BBD31}"/>
    <cellStyle name="Normal 9 3 7 5" xfId="10352" xr:uid="{4D2B4796-0DE9-45EA-A4B3-85DACD591829}"/>
    <cellStyle name="Normal 9 3 8" xfId="2237" xr:uid="{00000000-0005-0000-0000-000042200000}"/>
    <cellStyle name="Normal 9 3 8 2" xfId="4466" xr:uid="{00000000-0005-0000-0000-000043200000}"/>
    <cellStyle name="Normal 9 3 8 2 2" xfId="8689" xr:uid="{00000000-0005-0000-0000-000044200000}"/>
    <cellStyle name="Normal 9 3 8 2 2 2" xfId="25561" xr:uid="{09E8BCC3-36FB-4033-B91B-431F88A8AE71}"/>
    <cellStyle name="Normal 9 3 8 2 2 3" xfId="17127" xr:uid="{9F30A0DE-D9BF-49B5-A490-A28CA74BBE8A}"/>
    <cellStyle name="Normal 9 3 8 2 3" xfId="21344" xr:uid="{440BD3EB-037F-42B9-9B0F-380DA6CBEE6E}"/>
    <cellStyle name="Normal 9 3 8 2 4" xfId="12910" xr:uid="{E06C6540-EF24-4E18-A719-CC8FF8AFF63C}"/>
    <cellStyle name="Normal 9 3 8 3" xfId="6544" xr:uid="{00000000-0005-0000-0000-000045200000}"/>
    <cellStyle name="Normal 9 3 8 3 2" xfId="23416" xr:uid="{F4868D52-8BC3-494B-9ADE-B80C90A3F799}"/>
    <cellStyle name="Normal 9 3 8 3 3" xfId="14982" xr:uid="{2AB64A3A-3B25-4063-9558-A6D69A2F1C6B}"/>
    <cellStyle name="Normal 9 3 8 4" xfId="19199" xr:uid="{D14DA463-DE74-443D-A5E9-916A04C2E7F9}"/>
    <cellStyle name="Normal 9 3 8 5" xfId="10765" xr:uid="{BB87862B-8649-4892-94FA-26B819B6D094}"/>
    <cellStyle name="Normal 9 3 9" xfId="2673" xr:uid="{00000000-0005-0000-0000-000046200000}"/>
    <cellStyle name="Normal 9 3 9 2" xfId="6957" xr:uid="{00000000-0005-0000-0000-000047200000}"/>
    <cellStyle name="Normal 9 3 9 2 2" xfId="23829" xr:uid="{13B06AF2-D37F-4403-9063-D58BA13D5A7D}"/>
    <cellStyle name="Normal 9 3 9 2 3" xfId="15395" xr:uid="{0B88467E-08EA-44AB-86C1-29A4F2F38541}"/>
    <cellStyle name="Normal 9 3 9 3" xfId="19612" xr:uid="{FA3161F0-8002-4288-A9BE-2EEA28735C5C}"/>
    <cellStyle name="Normal 9 3 9 4" xfId="11178" xr:uid="{D9FB82A6-2C5E-449B-AF6E-CD916B03D08F}"/>
    <cellStyle name="Normal 9 4" xfId="535" xr:uid="{00000000-0005-0000-0000-000048200000}"/>
    <cellStyle name="Normal 9 4 2" xfId="1002" xr:uid="{00000000-0005-0000-0000-000049200000}"/>
    <cellStyle name="Normal 9 5" xfId="536" xr:uid="{00000000-0005-0000-0000-00004A200000}"/>
    <cellStyle name="Normal 9 5 10" xfId="9121" xr:uid="{F9E5D15A-58DC-4025-9D25-3C6474E6D15A}"/>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24331" xr:uid="{D558C4F0-E00C-4831-A35E-549582261946}"/>
    <cellStyle name="Normal 9 5 2 2 2 2 3" xfId="15897" xr:uid="{47EABBBA-7928-4E2C-8824-0AF9DA53EAB9}"/>
    <cellStyle name="Normal 9 5 2 2 2 3" xfId="20114" xr:uid="{10C01B65-22DC-43F0-909C-162096919D77}"/>
    <cellStyle name="Normal 9 5 2 2 2 4" xfId="11680" xr:uid="{59AC5EA7-E109-498B-97F5-3BF242B237D9}"/>
    <cellStyle name="Normal 9 5 2 2 3" xfId="5314" xr:uid="{00000000-0005-0000-0000-00004F200000}"/>
    <cellStyle name="Normal 9 5 2 2 3 2" xfId="22186" xr:uid="{10594EFE-4599-427B-B3F2-272C077440DB}"/>
    <cellStyle name="Normal 9 5 2 2 3 3" xfId="13752" xr:uid="{BFFFB139-30EF-418E-8029-39146E928024}"/>
    <cellStyle name="Normal 9 5 2 2 4" xfId="17969" xr:uid="{8B5FB476-2F14-4EE9-8836-15EDF37BCCE4}"/>
    <cellStyle name="Normal 9 5 2 2 5" xfId="9535" xr:uid="{E796CB20-C4F5-4F6D-A82B-4ACED2B5EBED}"/>
    <cellStyle name="Normal 9 5 2 3" xfId="1419" xr:uid="{00000000-0005-0000-0000-000050200000}"/>
    <cellStyle name="Normal 9 5 2 3 2" xfId="3649" xr:uid="{00000000-0005-0000-0000-000051200000}"/>
    <cellStyle name="Normal 9 5 2 3 2 2" xfId="7872" xr:uid="{00000000-0005-0000-0000-000052200000}"/>
    <cellStyle name="Normal 9 5 2 3 2 2 2" xfId="24744" xr:uid="{8D36A024-AC5F-44CE-A8DF-434163630A5F}"/>
    <cellStyle name="Normal 9 5 2 3 2 2 3" xfId="16310" xr:uid="{DC6F6957-024D-4027-BB36-9ACE356EE214}"/>
    <cellStyle name="Normal 9 5 2 3 2 3" xfId="20527" xr:uid="{0451CFF2-82EC-4CC1-A0B0-2AD49351D4CF}"/>
    <cellStyle name="Normal 9 5 2 3 2 4" xfId="12093" xr:uid="{9392DDBB-0EFB-4C57-8359-C7FFF9B7DB2D}"/>
    <cellStyle name="Normal 9 5 2 3 3" xfId="5727" xr:uid="{00000000-0005-0000-0000-000053200000}"/>
    <cellStyle name="Normal 9 5 2 3 3 2" xfId="22599" xr:uid="{F54E4E4A-3866-474A-83B7-384A4D2D339A}"/>
    <cellStyle name="Normal 9 5 2 3 3 3" xfId="14165" xr:uid="{45E11507-D624-475C-BF83-AF025312B5C2}"/>
    <cellStyle name="Normal 9 5 2 3 4" xfId="18382" xr:uid="{4B0DDBA6-9828-4832-ADC3-D7755AAAEAC4}"/>
    <cellStyle name="Normal 9 5 2 3 5" xfId="9948" xr:uid="{B8030FF5-B89C-4CEB-9726-D7DAC8F51FFD}"/>
    <cellStyle name="Normal 9 5 2 4" xfId="1832" xr:uid="{00000000-0005-0000-0000-000054200000}"/>
    <cellStyle name="Normal 9 5 2 4 2" xfId="4062" xr:uid="{00000000-0005-0000-0000-000055200000}"/>
    <cellStyle name="Normal 9 5 2 4 2 2" xfId="8285" xr:uid="{00000000-0005-0000-0000-000056200000}"/>
    <cellStyle name="Normal 9 5 2 4 2 2 2" xfId="25157" xr:uid="{70B96850-0D7D-4D2B-938F-64AE3C496BE1}"/>
    <cellStyle name="Normal 9 5 2 4 2 2 3" xfId="16723" xr:uid="{20D251A3-BB3A-4560-B998-021B8A51CED3}"/>
    <cellStyle name="Normal 9 5 2 4 2 3" xfId="20940" xr:uid="{75208C12-3936-41AB-99C1-0B825B5D9113}"/>
    <cellStyle name="Normal 9 5 2 4 2 4" xfId="12506" xr:uid="{A4F0A023-C954-4B31-951C-ED6F14915000}"/>
    <cellStyle name="Normal 9 5 2 4 3" xfId="6140" xr:uid="{00000000-0005-0000-0000-000057200000}"/>
    <cellStyle name="Normal 9 5 2 4 3 2" xfId="23012" xr:uid="{E7BD3173-52CF-48E6-9406-5CEB6D66807C}"/>
    <cellStyle name="Normal 9 5 2 4 3 3" xfId="14578" xr:uid="{FC106DE1-E9D9-4875-806A-2C4F35753AB6}"/>
    <cellStyle name="Normal 9 5 2 4 4" xfId="18795" xr:uid="{157F3DBD-74F5-49A1-A994-F78288045457}"/>
    <cellStyle name="Normal 9 5 2 4 5" xfId="10361" xr:uid="{8F6E6622-5CD8-4F89-B76B-4249A72E59E5}"/>
    <cellStyle name="Normal 9 5 2 5" xfId="2246" xr:uid="{00000000-0005-0000-0000-000058200000}"/>
    <cellStyle name="Normal 9 5 2 5 2" xfId="4475" xr:uid="{00000000-0005-0000-0000-000059200000}"/>
    <cellStyle name="Normal 9 5 2 5 2 2" xfId="8698" xr:uid="{00000000-0005-0000-0000-00005A200000}"/>
    <cellStyle name="Normal 9 5 2 5 2 2 2" xfId="25570" xr:uid="{88E93AAA-0C5A-42F6-91F2-BEDEF33B678F}"/>
    <cellStyle name="Normal 9 5 2 5 2 2 3" xfId="17136" xr:uid="{F90EC113-0F96-4835-A733-A26C97558ABD}"/>
    <cellStyle name="Normal 9 5 2 5 2 3" xfId="21353" xr:uid="{B21B79DA-87B0-41B0-99BD-8976202A2CDE}"/>
    <cellStyle name="Normal 9 5 2 5 2 4" xfId="12919" xr:uid="{86EE40B3-6236-4290-84C8-979F885C3286}"/>
    <cellStyle name="Normal 9 5 2 5 3" xfId="6553" xr:uid="{00000000-0005-0000-0000-00005B200000}"/>
    <cellStyle name="Normal 9 5 2 5 3 2" xfId="23425" xr:uid="{34EBDD6F-200A-401F-80CA-FA1B1C6222F7}"/>
    <cellStyle name="Normal 9 5 2 5 3 3" xfId="14991" xr:uid="{7E828357-B3B5-4094-8483-2EC2E8574B4C}"/>
    <cellStyle name="Normal 9 5 2 5 4" xfId="19208" xr:uid="{E2782B69-EA16-46E2-915E-48803BA4AB9E}"/>
    <cellStyle name="Normal 9 5 2 5 5" xfId="10774" xr:uid="{866D6D70-8BD8-40CC-A51C-D803F79B5702}"/>
    <cellStyle name="Normal 9 5 2 6" xfId="2682" xr:uid="{00000000-0005-0000-0000-00005C200000}"/>
    <cellStyle name="Normal 9 5 2 6 2" xfId="6966" xr:uid="{00000000-0005-0000-0000-00005D200000}"/>
    <cellStyle name="Normal 9 5 2 6 2 2" xfId="23838" xr:uid="{1B57D4E1-9AA7-4D6A-8E80-BA650CF8316E}"/>
    <cellStyle name="Normal 9 5 2 6 2 3" xfId="15404" xr:uid="{26B04D2B-58B3-4332-94D9-1831EFD69564}"/>
    <cellStyle name="Normal 9 5 2 6 3" xfId="19621" xr:uid="{9A15F6D2-B5F8-465A-B16C-7191DCE7A087}"/>
    <cellStyle name="Normal 9 5 2 6 4" xfId="11187" xr:uid="{D22F38DE-0DBA-455D-8D27-C7575CD84D0A}"/>
    <cellStyle name="Normal 9 5 2 7" xfId="4901" xr:uid="{00000000-0005-0000-0000-00005E200000}"/>
    <cellStyle name="Normal 9 5 2 7 2" xfId="21773" xr:uid="{87E703C8-F6DA-422D-BD2E-2E74798392B0}"/>
    <cellStyle name="Normal 9 5 2 7 3" xfId="13339" xr:uid="{ECD50128-F9B6-4105-BCBE-DC1E4E9D9F82}"/>
    <cellStyle name="Normal 9 5 2 8" xfId="17556" xr:uid="{601DC6F3-C69A-411C-BE6B-19E86751B05A}"/>
    <cellStyle name="Normal 9 5 2 9" xfId="9122" xr:uid="{68BB0D4B-99A4-4AB3-B9B7-EC6DC55BA3AA}"/>
    <cellStyle name="Normal 9 5 3" xfId="1003" xr:uid="{00000000-0005-0000-0000-00005F200000}"/>
    <cellStyle name="Normal 9 5 3 2" xfId="3235" xr:uid="{00000000-0005-0000-0000-000060200000}"/>
    <cellStyle name="Normal 9 5 3 2 2" xfId="7458" xr:uid="{00000000-0005-0000-0000-000061200000}"/>
    <cellStyle name="Normal 9 5 3 2 2 2" xfId="24330" xr:uid="{FC60EEB6-55D9-45AB-9FB3-CCE6958FCB0A}"/>
    <cellStyle name="Normal 9 5 3 2 2 3" xfId="15896" xr:uid="{6FBB3718-53A8-49B0-89FA-FE43287941D2}"/>
    <cellStyle name="Normal 9 5 3 2 3" xfId="20113" xr:uid="{CB557032-79BB-4C9F-880A-2D76F6DADA33}"/>
    <cellStyle name="Normal 9 5 3 2 4" xfId="11679" xr:uid="{BE756BCD-FA55-4DA8-B93A-46F5D7FC9BBC}"/>
    <cellStyle name="Normal 9 5 3 3" xfId="5313" xr:uid="{00000000-0005-0000-0000-000062200000}"/>
    <cellStyle name="Normal 9 5 3 3 2" xfId="22185" xr:uid="{31B1EFCB-6418-4E76-B6D2-F38E110A662B}"/>
    <cellStyle name="Normal 9 5 3 3 3" xfId="13751" xr:uid="{AEE08082-9D13-4ADD-BCC8-05204E8FF3A8}"/>
    <cellStyle name="Normal 9 5 3 4" xfId="17968" xr:uid="{1BF8F2D5-4487-4415-BA4E-FE023C8A4CFF}"/>
    <cellStyle name="Normal 9 5 3 5" xfId="9534" xr:uid="{93ED5CED-4665-4AC9-9896-91B0C15C6643}"/>
    <cellStyle name="Normal 9 5 4" xfId="1418" xr:uid="{00000000-0005-0000-0000-000063200000}"/>
    <cellStyle name="Normal 9 5 4 2" xfId="3648" xr:uid="{00000000-0005-0000-0000-000064200000}"/>
    <cellStyle name="Normal 9 5 4 2 2" xfId="7871" xr:uid="{00000000-0005-0000-0000-000065200000}"/>
    <cellStyle name="Normal 9 5 4 2 2 2" xfId="24743" xr:uid="{017B19A5-03C6-4654-AEDD-CD9AA2ADFD05}"/>
    <cellStyle name="Normal 9 5 4 2 2 3" xfId="16309" xr:uid="{24C5F6BE-37FF-4D0E-A3EC-85601121968B}"/>
    <cellStyle name="Normal 9 5 4 2 3" xfId="20526" xr:uid="{3B1523D6-396A-4E0F-B967-2BBDB0544EA4}"/>
    <cellStyle name="Normal 9 5 4 2 4" xfId="12092" xr:uid="{4B926102-8DE4-4B5B-BF2B-4A1081AB8974}"/>
    <cellStyle name="Normal 9 5 4 3" xfId="5726" xr:uid="{00000000-0005-0000-0000-000066200000}"/>
    <cellStyle name="Normal 9 5 4 3 2" xfId="22598" xr:uid="{C406BEB9-9B6C-4CEA-A460-6A2B8C0B4890}"/>
    <cellStyle name="Normal 9 5 4 3 3" xfId="14164" xr:uid="{63AE3964-B587-4D60-9FF4-6C1F523B09D2}"/>
    <cellStyle name="Normal 9 5 4 4" xfId="18381" xr:uid="{1BE39BCC-5223-465A-853E-C9A8775B7277}"/>
    <cellStyle name="Normal 9 5 4 5" xfId="9947" xr:uid="{5326D6E6-C0DA-404B-AC16-BBE8AED14F6A}"/>
    <cellStyle name="Normal 9 5 5" xfId="1831" xr:uid="{00000000-0005-0000-0000-000067200000}"/>
    <cellStyle name="Normal 9 5 5 2" xfId="4061" xr:uid="{00000000-0005-0000-0000-000068200000}"/>
    <cellStyle name="Normal 9 5 5 2 2" xfId="8284" xr:uid="{00000000-0005-0000-0000-000069200000}"/>
    <cellStyle name="Normal 9 5 5 2 2 2" xfId="25156" xr:uid="{2DA7623A-73C5-466D-91A3-9D4B095B8BAF}"/>
    <cellStyle name="Normal 9 5 5 2 2 3" xfId="16722" xr:uid="{1CA5EA6D-13D2-4577-90C0-2BA9EA8ACAB8}"/>
    <cellStyle name="Normal 9 5 5 2 3" xfId="20939" xr:uid="{DFF971F9-8183-4099-8934-8FC8ABC1FCE6}"/>
    <cellStyle name="Normal 9 5 5 2 4" xfId="12505" xr:uid="{69B9BF11-A3A0-4A26-9893-00D25E822790}"/>
    <cellStyle name="Normal 9 5 5 3" xfId="6139" xr:uid="{00000000-0005-0000-0000-00006A200000}"/>
    <cellStyle name="Normal 9 5 5 3 2" xfId="23011" xr:uid="{54CB926D-014E-4E45-8D6C-53A5C3014B4E}"/>
    <cellStyle name="Normal 9 5 5 3 3" xfId="14577" xr:uid="{2CECF6FE-F7D1-4392-BADF-65BDBC542279}"/>
    <cellStyle name="Normal 9 5 5 4" xfId="18794" xr:uid="{03C00B52-755C-478F-8416-272E82E91898}"/>
    <cellStyle name="Normal 9 5 5 5" xfId="10360" xr:uid="{DD450DD4-B4B1-47AD-BE10-4D7B3F103401}"/>
    <cellStyle name="Normal 9 5 6" xfId="2245" xr:uid="{00000000-0005-0000-0000-00006B200000}"/>
    <cellStyle name="Normal 9 5 6 2" xfId="4474" xr:uid="{00000000-0005-0000-0000-00006C200000}"/>
    <cellStyle name="Normal 9 5 6 2 2" xfId="8697" xr:uid="{00000000-0005-0000-0000-00006D200000}"/>
    <cellStyle name="Normal 9 5 6 2 2 2" xfId="25569" xr:uid="{3DE8DBD8-0205-4184-8353-0F46537AF254}"/>
    <cellStyle name="Normal 9 5 6 2 2 3" xfId="17135" xr:uid="{D543BC39-3484-4CC8-8B15-AE2005935CBA}"/>
    <cellStyle name="Normal 9 5 6 2 3" xfId="21352" xr:uid="{DC6DD9F2-3EFF-4660-876C-D572DAAD95F8}"/>
    <cellStyle name="Normal 9 5 6 2 4" xfId="12918" xr:uid="{344F33A0-FEB0-47C9-ACF7-1209D2C46E70}"/>
    <cellStyle name="Normal 9 5 6 3" xfId="6552" xr:uid="{00000000-0005-0000-0000-00006E200000}"/>
    <cellStyle name="Normal 9 5 6 3 2" xfId="23424" xr:uid="{A4D13B4A-5C0B-4EC7-8F38-C2F6016D8F3A}"/>
    <cellStyle name="Normal 9 5 6 3 3" xfId="14990" xr:uid="{2C45F7C6-78A6-49CC-BCB8-9A78C7B58318}"/>
    <cellStyle name="Normal 9 5 6 4" xfId="19207" xr:uid="{10B7D706-1A69-4288-93FF-7E20E4E8A39A}"/>
    <cellStyle name="Normal 9 5 6 5" xfId="10773" xr:uid="{E612DB54-B85D-47D8-A472-BFDD0AEC1CA5}"/>
    <cellStyle name="Normal 9 5 7" xfId="2681" xr:uid="{00000000-0005-0000-0000-00006F200000}"/>
    <cellStyle name="Normal 9 5 7 2" xfId="6965" xr:uid="{00000000-0005-0000-0000-000070200000}"/>
    <cellStyle name="Normal 9 5 7 2 2" xfId="23837" xr:uid="{14BDF377-1ACB-467F-B3C5-F66B913B77C5}"/>
    <cellStyle name="Normal 9 5 7 2 3" xfId="15403" xr:uid="{CB0B0F35-AF43-4253-B0B4-F5C3384AA88D}"/>
    <cellStyle name="Normal 9 5 7 3" xfId="19620" xr:uid="{54F4AE58-D272-430B-BD59-E7C34D1B3A3C}"/>
    <cellStyle name="Normal 9 5 7 4" xfId="11186" xr:uid="{E55DB89A-D622-495D-BA32-9A323AD2FC15}"/>
    <cellStyle name="Normal 9 5 8" xfId="4900" xr:uid="{00000000-0005-0000-0000-000071200000}"/>
    <cellStyle name="Normal 9 5 8 2" xfId="21772" xr:uid="{3DA70AA3-5867-4E93-B2B9-792EE51AAE84}"/>
    <cellStyle name="Normal 9 5 8 3" xfId="13338" xr:uid="{D4CDA0A0-FA9D-420F-B51B-B66A0CFE4D4E}"/>
    <cellStyle name="Normal 9 5 9" xfId="17555" xr:uid="{5763F02A-E311-4F47-A1BB-509A4B544F6D}"/>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24332" xr:uid="{FED6ECD1-5696-4F22-B3EF-DD1E29F7FF8C}"/>
    <cellStyle name="Normal 9 6 2 2 2 3" xfId="15898" xr:uid="{8754768F-6DEF-49EF-9A59-634CCFF8BC30}"/>
    <cellStyle name="Normal 9 6 2 2 3" xfId="20115" xr:uid="{84C995EB-6AA0-428F-B5E4-8C9146D881A4}"/>
    <cellStyle name="Normal 9 6 2 2 4" xfId="11681" xr:uid="{8A7FC1A0-509C-4E92-9B4B-D9011B1FFDA8}"/>
    <cellStyle name="Normal 9 6 2 3" xfId="5315" xr:uid="{00000000-0005-0000-0000-000076200000}"/>
    <cellStyle name="Normal 9 6 2 3 2" xfId="22187" xr:uid="{57E1A34C-6AC2-45D9-AAAD-276D726592F9}"/>
    <cellStyle name="Normal 9 6 2 3 3" xfId="13753" xr:uid="{8BD789FF-8240-4AD1-9E83-1B559DFC37CF}"/>
    <cellStyle name="Normal 9 6 2 4" xfId="17970" xr:uid="{69A9E4A0-D0FC-4297-B480-6CA9D399FBB8}"/>
    <cellStyle name="Normal 9 6 2 5" xfId="9536" xr:uid="{11DCB40C-41F6-4EB2-957D-0F44B8F39C6F}"/>
    <cellStyle name="Normal 9 6 3" xfId="1420" xr:uid="{00000000-0005-0000-0000-000077200000}"/>
    <cellStyle name="Normal 9 6 3 2" xfId="3650" xr:uid="{00000000-0005-0000-0000-000078200000}"/>
    <cellStyle name="Normal 9 6 3 2 2" xfId="7873" xr:uid="{00000000-0005-0000-0000-000079200000}"/>
    <cellStyle name="Normal 9 6 3 2 2 2" xfId="24745" xr:uid="{F3A51A20-EC04-4F55-A680-0A6A4B9CE991}"/>
    <cellStyle name="Normal 9 6 3 2 2 3" xfId="16311" xr:uid="{0BBE507F-E447-4E1F-BAC1-307BAAF636DA}"/>
    <cellStyle name="Normal 9 6 3 2 3" xfId="20528" xr:uid="{CE50770A-457C-4984-B886-0CFE045F4908}"/>
    <cellStyle name="Normal 9 6 3 2 4" xfId="12094" xr:uid="{1809FEB1-8C5B-4A39-91D0-8275595AD3E1}"/>
    <cellStyle name="Normal 9 6 3 3" xfId="5728" xr:uid="{00000000-0005-0000-0000-00007A200000}"/>
    <cellStyle name="Normal 9 6 3 3 2" xfId="22600" xr:uid="{DDE4BEF4-2F43-4231-88BA-BFB7265DF374}"/>
    <cellStyle name="Normal 9 6 3 3 3" xfId="14166" xr:uid="{D9C3275E-3B62-4010-89F0-BD0F3FEEE135}"/>
    <cellStyle name="Normal 9 6 3 4" xfId="18383" xr:uid="{E45E7FFC-001C-41D9-BE1B-ACC916FF6D7F}"/>
    <cellStyle name="Normal 9 6 3 5" xfId="9949" xr:uid="{A07AEBC9-ED5F-4335-A093-9FDC18894EF6}"/>
    <cellStyle name="Normal 9 6 4" xfId="1833" xr:uid="{00000000-0005-0000-0000-00007B200000}"/>
    <cellStyle name="Normal 9 6 4 2" xfId="4063" xr:uid="{00000000-0005-0000-0000-00007C200000}"/>
    <cellStyle name="Normal 9 6 4 2 2" xfId="8286" xr:uid="{00000000-0005-0000-0000-00007D200000}"/>
    <cellStyle name="Normal 9 6 4 2 2 2" xfId="25158" xr:uid="{384108AC-6CBD-49DF-9EB0-68145DFC0E07}"/>
    <cellStyle name="Normal 9 6 4 2 2 3" xfId="16724" xr:uid="{1A29CCB0-5F31-4A65-99BD-3A0C291BE985}"/>
    <cellStyle name="Normal 9 6 4 2 3" xfId="20941" xr:uid="{F1382EF3-9B13-4394-A08C-12A1639D9CD5}"/>
    <cellStyle name="Normal 9 6 4 2 4" xfId="12507" xr:uid="{FEE7AACE-8EA7-43A1-AF0C-62E70C64322D}"/>
    <cellStyle name="Normal 9 6 4 3" xfId="6141" xr:uid="{00000000-0005-0000-0000-00007E200000}"/>
    <cellStyle name="Normal 9 6 4 3 2" xfId="23013" xr:uid="{4BDBE968-FA7A-48B3-A8C4-C09EDD2E84B2}"/>
    <cellStyle name="Normal 9 6 4 3 3" xfId="14579" xr:uid="{0579F1A2-0716-4C6C-BBF3-28C295CEA937}"/>
    <cellStyle name="Normal 9 6 4 4" xfId="18796" xr:uid="{AFD58512-DA11-4EA1-A190-DC217717D8C9}"/>
    <cellStyle name="Normal 9 6 4 5" xfId="10362" xr:uid="{EB30BB04-4000-4F52-B6B4-6B5345A7906A}"/>
    <cellStyle name="Normal 9 6 5" xfId="2247" xr:uid="{00000000-0005-0000-0000-00007F200000}"/>
    <cellStyle name="Normal 9 6 5 2" xfId="4476" xr:uid="{00000000-0005-0000-0000-000080200000}"/>
    <cellStyle name="Normal 9 6 5 2 2" xfId="8699" xr:uid="{00000000-0005-0000-0000-000081200000}"/>
    <cellStyle name="Normal 9 6 5 2 2 2" xfId="25571" xr:uid="{5F39E61A-7DA5-4A5C-893A-1A4E341A6E67}"/>
    <cellStyle name="Normal 9 6 5 2 2 3" xfId="17137" xr:uid="{CCA7C0E8-2719-431A-9ED7-03AB635737AD}"/>
    <cellStyle name="Normal 9 6 5 2 3" xfId="21354" xr:uid="{4475F0DE-0E78-419D-B940-4C0C8A234573}"/>
    <cellStyle name="Normal 9 6 5 2 4" xfId="12920" xr:uid="{F2CAFD90-03D3-4AD3-A4D6-82BD7E33C0D3}"/>
    <cellStyle name="Normal 9 6 5 3" xfId="6554" xr:uid="{00000000-0005-0000-0000-000082200000}"/>
    <cellStyle name="Normal 9 6 5 3 2" xfId="23426" xr:uid="{AC6801B7-8937-44F9-9624-D90A81529579}"/>
    <cellStyle name="Normal 9 6 5 3 3" xfId="14992" xr:uid="{5BA6BE74-B76E-4349-BAFC-E3C7FC09EB88}"/>
    <cellStyle name="Normal 9 6 5 4" xfId="19209" xr:uid="{177F44A2-123C-49A1-AC23-D8ECD8A04733}"/>
    <cellStyle name="Normal 9 6 5 5" xfId="10775" xr:uid="{C9503AEB-03EB-4AC2-B6D8-876B62EBF7B4}"/>
    <cellStyle name="Normal 9 6 6" xfId="2683" xr:uid="{00000000-0005-0000-0000-000083200000}"/>
    <cellStyle name="Normal 9 6 6 2" xfId="6967" xr:uid="{00000000-0005-0000-0000-000084200000}"/>
    <cellStyle name="Normal 9 6 6 2 2" xfId="23839" xr:uid="{80FFABBC-9BF6-452C-962E-3D81E5F788B9}"/>
    <cellStyle name="Normal 9 6 6 2 3" xfId="15405" xr:uid="{56DC0206-9C66-4C02-A992-4B8407EB2DA2}"/>
    <cellStyle name="Normal 9 6 6 3" xfId="19622" xr:uid="{65170818-3C96-43EA-8A66-06C61758E57E}"/>
    <cellStyle name="Normal 9 6 6 4" xfId="11188" xr:uid="{25AB3947-9045-47F7-A1A9-108A691E4FC1}"/>
    <cellStyle name="Normal 9 6 7" xfId="4902" xr:uid="{00000000-0005-0000-0000-000085200000}"/>
    <cellStyle name="Normal 9 6 7 2" xfId="21774" xr:uid="{EA6A4B58-C5C9-4DC9-8439-B40E6A2F7D92}"/>
    <cellStyle name="Normal 9 6 7 3" xfId="13340" xr:uid="{FFB88A53-62D9-485C-9CE7-E08754083349}"/>
    <cellStyle name="Normal 9 6 8" xfId="17557" xr:uid="{B73195EE-631C-4D12-9611-7270120F2FAD}"/>
    <cellStyle name="Normal 9 6 9" xfId="9123" xr:uid="{09DD4CA3-F2D3-4F02-A558-FECBCF96AF08}"/>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23920" xr:uid="{C7380A4C-5DC8-4754-B94A-5C4C118CBA84}"/>
    <cellStyle name="Note 2 2 10 2 3" xfId="15486" xr:uid="{CBD461A6-2CE9-405C-AC06-1E904102DCEB}"/>
    <cellStyle name="Note 2 2 10 3" xfId="19703" xr:uid="{A964CB6B-4785-4F39-8FF3-B420857BF8C3}"/>
    <cellStyle name="Note 2 2 10 4" xfId="11269" xr:uid="{E36E1915-5BE7-4441-BE7B-E5F5D5DBB70F}"/>
    <cellStyle name="Note 2 2 11" xfId="4903" xr:uid="{00000000-0005-0000-0000-000094200000}"/>
    <cellStyle name="Note 2 2 11 2" xfId="21775" xr:uid="{AB50B9EC-D1C7-482A-BAB9-BEA73C327981}"/>
    <cellStyle name="Note 2 2 11 3" xfId="13341" xr:uid="{6B066309-5F9A-418E-8802-9EE933D1FEC9}"/>
    <cellStyle name="Note 2 2 12" xfId="17558" xr:uid="{6485A3B3-565E-4636-91CA-83D655786495}"/>
    <cellStyle name="Note 2 2 13" xfId="9124" xr:uid="{D8B7C0E2-6AAD-40A4-845D-6A9574619ECF}"/>
    <cellStyle name="Note 2 2 2" xfId="546" xr:uid="{00000000-0005-0000-0000-000095200000}"/>
    <cellStyle name="Note 2 2 2 10" xfId="4904" xr:uid="{00000000-0005-0000-0000-000096200000}"/>
    <cellStyle name="Note 2 2 2 10 2" xfId="21776" xr:uid="{C73C79AA-B33B-4D74-AD58-A21C2258B232}"/>
    <cellStyle name="Note 2 2 2 10 3" xfId="13342" xr:uid="{A78318D2-D652-415F-BA78-526C4B90B08E}"/>
    <cellStyle name="Note 2 2 2 11" xfId="17559" xr:uid="{FB401EEE-A99D-4F67-BBEB-8970F62B3143}"/>
    <cellStyle name="Note 2 2 2 12" xfId="9125" xr:uid="{1843A5FE-763C-46BC-8ADF-7DB70613C0BB}"/>
    <cellStyle name="Note 2 2 2 2" xfId="547" xr:uid="{00000000-0005-0000-0000-000097200000}"/>
    <cellStyle name="Note 2 2 2 2 10" xfId="17560" xr:uid="{9828F6DB-BC01-403E-A6DA-C0A4C7A7FAF7}"/>
    <cellStyle name="Note 2 2 2 2 11" xfId="9126" xr:uid="{58132E60-F8C0-429E-8461-2C4B67C80616}"/>
    <cellStyle name="Note 2 2 2 2 2" xfId="1008" xr:uid="{00000000-0005-0000-0000-000098200000}"/>
    <cellStyle name="Note 2 2 2 2 2 2" xfId="3240" xr:uid="{00000000-0005-0000-0000-000099200000}"/>
    <cellStyle name="Note 2 2 2 2 2 2 2" xfId="7463" xr:uid="{00000000-0005-0000-0000-00009A200000}"/>
    <cellStyle name="Note 2 2 2 2 2 2 2 2" xfId="24335" xr:uid="{97CA24C1-40C0-4AC9-994C-83EFC4DC5286}"/>
    <cellStyle name="Note 2 2 2 2 2 2 2 3" xfId="15901" xr:uid="{C1ADE044-C224-425B-AFA4-DE3032EC4773}"/>
    <cellStyle name="Note 2 2 2 2 2 2 3" xfId="20118" xr:uid="{FA274DCD-2EFA-4339-A6AD-1867B376D499}"/>
    <cellStyle name="Note 2 2 2 2 2 2 4" xfId="11684" xr:uid="{619E4AB3-A556-47C4-BC0A-230B5C3D782D}"/>
    <cellStyle name="Note 2 2 2 2 2 3" xfId="5318" xr:uid="{00000000-0005-0000-0000-00009B200000}"/>
    <cellStyle name="Note 2 2 2 2 2 3 2" xfId="22190" xr:uid="{26057883-AC37-459E-A65C-839AF6CD3F9D}"/>
    <cellStyle name="Note 2 2 2 2 2 3 3" xfId="13756" xr:uid="{FED2646E-6BCB-409E-A546-08371E9D5446}"/>
    <cellStyle name="Note 2 2 2 2 2 4" xfId="17973" xr:uid="{23C4666A-5FF7-41BE-8863-10060B1F99F2}"/>
    <cellStyle name="Note 2 2 2 2 2 5" xfId="9539" xr:uid="{25FC33BF-1579-4864-87D9-3FE9161EF8E4}"/>
    <cellStyle name="Note 2 2 2 2 3" xfId="1423" xr:uid="{00000000-0005-0000-0000-00009C200000}"/>
    <cellStyle name="Note 2 2 2 2 3 2" xfId="3653" xr:uid="{00000000-0005-0000-0000-00009D200000}"/>
    <cellStyle name="Note 2 2 2 2 3 2 2" xfId="7876" xr:uid="{00000000-0005-0000-0000-00009E200000}"/>
    <cellStyle name="Note 2 2 2 2 3 2 2 2" xfId="24748" xr:uid="{5F3A935A-69A8-4209-B754-284446ABA696}"/>
    <cellStyle name="Note 2 2 2 2 3 2 2 3" xfId="16314" xr:uid="{3E55DED5-4E5A-4968-A9B1-15017B3844A3}"/>
    <cellStyle name="Note 2 2 2 2 3 2 3" xfId="20531" xr:uid="{A7D3BE11-EEED-4364-A976-C15171A28C73}"/>
    <cellStyle name="Note 2 2 2 2 3 2 4" xfId="12097" xr:uid="{DFFED510-FCEE-4B0C-A9D7-1AF11EA5CEA4}"/>
    <cellStyle name="Note 2 2 2 2 3 3" xfId="5731" xr:uid="{00000000-0005-0000-0000-00009F200000}"/>
    <cellStyle name="Note 2 2 2 2 3 3 2" xfId="22603" xr:uid="{4713C652-2A70-4A94-A9CB-EB1FCAB34B41}"/>
    <cellStyle name="Note 2 2 2 2 3 3 3" xfId="14169" xr:uid="{B28227AD-C5F5-4AF1-AE54-FD60DBD4F930}"/>
    <cellStyle name="Note 2 2 2 2 3 4" xfId="18386" xr:uid="{5F6FA16C-9454-49E3-A243-5B0573334394}"/>
    <cellStyle name="Note 2 2 2 2 3 5" xfId="9952" xr:uid="{68E61EA4-85A0-4ED2-828C-AC5A68C1699A}"/>
    <cellStyle name="Note 2 2 2 2 4" xfId="1837" xr:uid="{00000000-0005-0000-0000-0000A0200000}"/>
    <cellStyle name="Note 2 2 2 2 4 2" xfId="4066" xr:uid="{00000000-0005-0000-0000-0000A1200000}"/>
    <cellStyle name="Note 2 2 2 2 4 2 2" xfId="8289" xr:uid="{00000000-0005-0000-0000-0000A2200000}"/>
    <cellStyle name="Note 2 2 2 2 4 2 2 2" xfId="25161" xr:uid="{3477E9C3-0A3C-4263-B8A5-08BC4C88D954}"/>
    <cellStyle name="Note 2 2 2 2 4 2 2 3" xfId="16727" xr:uid="{0BBDA82F-88F3-4043-BDAA-E4F8FFF2E0BD}"/>
    <cellStyle name="Note 2 2 2 2 4 2 3" xfId="20944" xr:uid="{98463919-4380-471B-9D09-AE7D398933FE}"/>
    <cellStyle name="Note 2 2 2 2 4 2 4" xfId="12510" xr:uid="{2F737C5C-5074-463B-B8B1-C6908EF2B979}"/>
    <cellStyle name="Note 2 2 2 2 4 3" xfId="6144" xr:uid="{00000000-0005-0000-0000-0000A3200000}"/>
    <cellStyle name="Note 2 2 2 2 4 3 2" xfId="23016" xr:uid="{38BA36E0-5324-4DEE-B034-F3E29C8344D2}"/>
    <cellStyle name="Note 2 2 2 2 4 3 3" xfId="14582" xr:uid="{E5593B85-8F4B-4382-A280-3C3F5B09D1A8}"/>
    <cellStyle name="Note 2 2 2 2 4 4" xfId="18799" xr:uid="{4976B5B4-5320-47CF-9DC0-55B1DC3A075F}"/>
    <cellStyle name="Note 2 2 2 2 4 5" xfId="10365" xr:uid="{E9E224A9-59BA-4F8F-BA6A-39737F246EB0}"/>
    <cellStyle name="Note 2 2 2 2 5" xfId="2250" xr:uid="{00000000-0005-0000-0000-0000A4200000}"/>
    <cellStyle name="Note 2 2 2 2 5 2" xfId="4479" xr:uid="{00000000-0005-0000-0000-0000A5200000}"/>
    <cellStyle name="Note 2 2 2 2 5 2 2" xfId="8702" xr:uid="{00000000-0005-0000-0000-0000A6200000}"/>
    <cellStyle name="Note 2 2 2 2 5 2 2 2" xfId="25574" xr:uid="{A5FB28B6-2520-48F3-B2BE-CBE1F334D0F7}"/>
    <cellStyle name="Note 2 2 2 2 5 2 2 3" xfId="17140" xr:uid="{52A73C06-33B8-43D5-8B69-AF203BD0A9A7}"/>
    <cellStyle name="Note 2 2 2 2 5 2 3" xfId="21357" xr:uid="{B4AA259A-D107-416B-BA29-1A6A9B713EC8}"/>
    <cellStyle name="Note 2 2 2 2 5 2 4" xfId="12923" xr:uid="{50FAE573-595D-45D4-BAA6-E5583F93EECF}"/>
    <cellStyle name="Note 2 2 2 2 5 3" xfId="6557" xr:uid="{00000000-0005-0000-0000-0000A7200000}"/>
    <cellStyle name="Note 2 2 2 2 5 3 2" xfId="23429" xr:uid="{2F4563F4-2577-44DE-A1D5-9EC333315086}"/>
    <cellStyle name="Note 2 2 2 2 5 3 3" xfId="14995" xr:uid="{442C1CE3-32FB-48B0-8481-8AEC3C8731D0}"/>
    <cellStyle name="Note 2 2 2 2 5 4" xfId="19212" xr:uid="{D9A5955D-7A29-41C4-8A4D-9DDC0F09560E}"/>
    <cellStyle name="Note 2 2 2 2 5 5" xfId="10778" xr:uid="{144DB35D-EDBC-495C-9CA4-0DCFDD3739AB}"/>
    <cellStyle name="Note 2 2 2 2 6" xfId="2686" xr:uid="{00000000-0005-0000-0000-0000A8200000}"/>
    <cellStyle name="Note 2 2 2 2 6 2" xfId="6970" xr:uid="{00000000-0005-0000-0000-0000A9200000}"/>
    <cellStyle name="Note 2 2 2 2 6 2 2" xfId="23842" xr:uid="{AA42048D-D6BD-453E-A435-226A062ED972}"/>
    <cellStyle name="Note 2 2 2 2 6 2 3" xfId="15408" xr:uid="{7F67C632-9909-456E-AE8C-3171A625B6CC}"/>
    <cellStyle name="Note 2 2 2 2 6 3" xfId="19625" xr:uid="{F2D163DB-60DA-4096-819D-7E2ED7044BF7}"/>
    <cellStyle name="Note 2 2 2 2 6 4" xfId="11191" xr:uid="{252304A5-87A2-4573-8F90-8D7B76CDFE72}"/>
    <cellStyle name="Note 2 2 2 2 7" xfId="2745" xr:uid="{00000000-0005-0000-0000-0000AA200000}"/>
    <cellStyle name="Note 2 2 2 2 8" xfId="2826" xr:uid="{00000000-0005-0000-0000-0000AB200000}"/>
    <cellStyle name="Note 2 2 2 2 8 2" xfId="7050" xr:uid="{00000000-0005-0000-0000-0000AC200000}"/>
    <cellStyle name="Note 2 2 2 2 8 2 2" xfId="23922" xr:uid="{C167B03B-2BF9-4862-80F4-EF6C799FF2C4}"/>
    <cellStyle name="Note 2 2 2 2 8 2 3" xfId="15488" xr:uid="{A97E04EF-F4FC-4FC5-876F-0C7889F6E21C}"/>
    <cellStyle name="Note 2 2 2 2 8 3" xfId="19705" xr:uid="{1E8E7A61-58F8-43E4-9632-716DC713F035}"/>
    <cellStyle name="Note 2 2 2 2 8 4" xfId="11271" xr:uid="{A64E949F-9CE8-4AE9-8A18-B3C76ABF0B61}"/>
    <cellStyle name="Note 2 2 2 2 9" xfId="4905" xr:uid="{00000000-0005-0000-0000-0000AD200000}"/>
    <cellStyle name="Note 2 2 2 2 9 2" xfId="21777" xr:uid="{AF1E68BB-09B0-4230-BBAE-6946393C8E30}"/>
    <cellStyle name="Note 2 2 2 2 9 3" xfId="13343" xr:uid="{0BC22003-3EFB-437F-A67D-E8855E342AE7}"/>
    <cellStyle name="Note 2 2 2 3" xfId="1007" xr:uid="{00000000-0005-0000-0000-0000AE200000}"/>
    <cellStyle name="Note 2 2 2 3 2" xfId="3239" xr:uid="{00000000-0005-0000-0000-0000AF200000}"/>
    <cellStyle name="Note 2 2 2 3 2 2" xfId="7462" xr:uid="{00000000-0005-0000-0000-0000B0200000}"/>
    <cellStyle name="Note 2 2 2 3 2 2 2" xfId="24334" xr:uid="{B743EED0-DFFA-4635-98E2-E9FB72E7F3F4}"/>
    <cellStyle name="Note 2 2 2 3 2 2 3" xfId="15900" xr:uid="{286FB12D-9334-4B08-A1B9-D166750E25E9}"/>
    <cellStyle name="Note 2 2 2 3 2 3" xfId="20117" xr:uid="{BD6AEE40-4905-4968-85B2-5D0A2D3DDF4C}"/>
    <cellStyle name="Note 2 2 2 3 2 4" xfId="11683" xr:uid="{54EC4DCA-4207-475F-8B4C-6BDE5641E38E}"/>
    <cellStyle name="Note 2 2 2 3 3" xfId="5317" xr:uid="{00000000-0005-0000-0000-0000B1200000}"/>
    <cellStyle name="Note 2 2 2 3 3 2" xfId="22189" xr:uid="{CAD05407-42ED-4EBE-A8BD-09320AC9505B}"/>
    <cellStyle name="Note 2 2 2 3 3 3" xfId="13755" xr:uid="{7CEB8318-B7F0-44EE-807E-D361E575C1FF}"/>
    <cellStyle name="Note 2 2 2 3 4" xfId="17972" xr:uid="{782DE11C-05EC-4488-A4A7-FE87305326F9}"/>
    <cellStyle name="Note 2 2 2 3 5" xfId="9538" xr:uid="{C26B020E-EBEC-4DAC-A74A-444FFB44BB71}"/>
    <cellStyle name="Note 2 2 2 4" xfId="1422" xr:uid="{00000000-0005-0000-0000-0000B2200000}"/>
    <cellStyle name="Note 2 2 2 4 2" xfId="3652" xr:uid="{00000000-0005-0000-0000-0000B3200000}"/>
    <cellStyle name="Note 2 2 2 4 2 2" xfId="7875" xr:uid="{00000000-0005-0000-0000-0000B4200000}"/>
    <cellStyle name="Note 2 2 2 4 2 2 2" xfId="24747" xr:uid="{34E4DFE3-339B-44A1-ADF9-525E64ACE333}"/>
    <cellStyle name="Note 2 2 2 4 2 2 3" xfId="16313" xr:uid="{13D7BBF4-C039-4B63-BE1C-5BA0C56BEEF2}"/>
    <cellStyle name="Note 2 2 2 4 2 3" xfId="20530" xr:uid="{D009614F-49C9-4BED-9E33-D8F31892BEFD}"/>
    <cellStyle name="Note 2 2 2 4 2 4" xfId="12096" xr:uid="{7D5196E7-212A-4013-A4A6-590F773F3A57}"/>
    <cellStyle name="Note 2 2 2 4 3" xfId="5730" xr:uid="{00000000-0005-0000-0000-0000B5200000}"/>
    <cellStyle name="Note 2 2 2 4 3 2" xfId="22602" xr:uid="{DB2FC109-176A-4B44-98F8-DA0653ED382B}"/>
    <cellStyle name="Note 2 2 2 4 3 3" xfId="14168" xr:uid="{FB6D0B82-EDB5-425A-A9B0-3CB0FBC56735}"/>
    <cellStyle name="Note 2 2 2 4 4" xfId="18385" xr:uid="{2101F063-8BD6-4F0B-8DE3-128478EF9D11}"/>
    <cellStyle name="Note 2 2 2 4 5" xfId="9951" xr:uid="{115C0F9E-644D-4306-BD81-C6D4766951ED}"/>
    <cellStyle name="Note 2 2 2 5" xfId="1836" xr:uid="{00000000-0005-0000-0000-0000B6200000}"/>
    <cellStyle name="Note 2 2 2 5 2" xfId="4065" xr:uid="{00000000-0005-0000-0000-0000B7200000}"/>
    <cellStyle name="Note 2 2 2 5 2 2" xfId="8288" xr:uid="{00000000-0005-0000-0000-0000B8200000}"/>
    <cellStyle name="Note 2 2 2 5 2 2 2" xfId="25160" xr:uid="{36D81B8A-8079-4B3A-A4AF-60F6315B2989}"/>
    <cellStyle name="Note 2 2 2 5 2 2 3" xfId="16726" xr:uid="{E84D6E93-8D20-488A-B3D3-1DC9BF520FC3}"/>
    <cellStyle name="Note 2 2 2 5 2 3" xfId="20943" xr:uid="{AAE1CC8A-F0CC-4163-B7C7-C932100EA7DC}"/>
    <cellStyle name="Note 2 2 2 5 2 4" xfId="12509" xr:uid="{8B33CCA0-AA8E-43E6-836F-2CD671E31887}"/>
    <cellStyle name="Note 2 2 2 5 3" xfId="6143" xr:uid="{00000000-0005-0000-0000-0000B9200000}"/>
    <cellStyle name="Note 2 2 2 5 3 2" xfId="23015" xr:uid="{E9296A93-7675-4F9B-AF5D-A0A04EA4269D}"/>
    <cellStyle name="Note 2 2 2 5 3 3" xfId="14581" xr:uid="{4C010BF6-C9F5-488E-9759-D6709C6F6A72}"/>
    <cellStyle name="Note 2 2 2 5 4" xfId="18798" xr:uid="{04141A4C-29A1-45D3-9D20-BF5E599B326B}"/>
    <cellStyle name="Note 2 2 2 5 5" xfId="10364" xr:uid="{0ADBEA77-833B-4355-82FD-42583F791214}"/>
    <cellStyle name="Note 2 2 2 6" xfId="2249" xr:uid="{00000000-0005-0000-0000-0000BA200000}"/>
    <cellStyle name="Note 2 2 2 6 2" xfId="4478" xr:uid="{00000000-0005-0000-0000-0000BB200000}"/>
    <cellStyle name="Note 2 2 2 6 2 2" xfId="8701" xr:uid="{00000000-0005-0000-0000-0000BC200000}"/>
    <cellStyle name="Note 2 2 2 6 2 2 2" xfId="25573" xr:uid="{04EE4621-6614-4489-94D9-9A424AF249AD}"/>
    <cellStyle name="Note 2 2 2 6 2 2 3" xfId="17139" xr:uid="{EFE8F3BC-CA48-4D21-89A1-738333CE8DF0}"/>
    <cellStyle name="Note 2 2 2 6 2 3" xfId="21356" xr:uid="{F22B53C2-A262-4A0E-AEEB-757B50D9C84A}"/>
    <cellStyle name="Note 2 2 2 6 2 4" xfId="12922" xr:uid="{DB5B672C-4E7E-409F-A73D-B543C56E5CC7}"/>
    <cellStyle name="Note 2 2 2 6 3" xfId="6556" xr:uid="{00000000-0005-0000-0000-0000BD200000}"/>
    <cellStyle name="Note 2 2 2 6 3 2" xfId="23428" xr:uid="{7D829E05-5796-48E9-A452-8510696C61C3}"/>
    <cellStyle name="Note 2 2 2 6 3 3" xfId="14994" xr:uid="{5C0DFD90-5E19-4736-9C1D-0E57F0A2A2EC}"/>
    <cellStyle name="Note 2 2 2 6 4" xfId="19211" xr:uid="{3114616A-BCB6-4263-A381-D50863EE1200}"/>
    <cellStyle name="Note 2 2 2 6 5" xfId="10777" xr:uid="{1367F515-62B1-4FA9-A94E-EA25C1AB02C3}"/>
    <cellStyle name="Note 2 2 2 7" xfId="2685" xr:uid="{00000000-0005-0000-0000-0000BE200000}"/>
    <cellStyle name="Note 2 2 2 7 2" xfId="6969" xr:uid="{00000000-0005-0000-0000-0000BF200000}"/>
    <cellStyle name="Note 2 2 2 7 2 2" xfId="23841" xr:uid="{F051B179-D0D4-4C90-901B-5D328DD2196F}"/>
    <cellStyle name="Note 2 2 2 7 2 3" xfId="15407" xr:uid="{A4DBA4D8-55CF-41E6-A863-EA471F8ABEDC}"/>
    <cellStyle name="Note 2 2 2 7 3" xfId="19624" xr:uid="{C604930E-C141-4A41-99F7-99B653CBBB1C}"/>
    <cellStyle name="Note 2 2 2 7 4" xfId="11190" xr:uid="{891263F6-25AA-4BE7-8B61-C41A49DEDE74}"/>
    <cellStyle name="Note 2 2 2 8" xfId="2744" xr:uid="{00000000-0005-0000-0000-0000C0200000}"/>
    <cellStyle name="Note 2 2 2 9" xfId="2825" xr:uid="{00000000-0005-0000-0000-0000C1200000}"/>
    <cellStyle name="Note 2 2 2 9 2" xfId="7049" xr:uid="{00000000-0005-0000-0000-0000C2200000}"/>
    <cellStyle name="Note 2 2 2 9 2 2" xfId="23921" xr:uid="{212D304A-FCA7-4FC1-94C9-95D21B997D60}"/>
    <cellStyle name="Note 2 2 2 9 2 3" xfId="15487" xr:uid="{EB195388-7E0B-4750-AF4F-23F9BC03FD00}"/>
    <cellStyle name="Note 2 2 2 9 3" xfId="19704" xr:uid="{2D39F382-E787-4DAE-973D-1BCEB33DDD4D}"/>
    <cellStyle name="Note 2 2 2 9 4" xfId="11270" xr:uid="{9F63144B-7925-449D-8197-FE4A1580B0CC}"/>
    <cellStyle name="Note 2 2 3" xfId="548" xr:uid="{00000000-0005-0000-0000-0000C3200000}"/>
    <cellStyle name="Note 2 2 3 10" xfId="17561" xr:uid="{BA6C4AE3-1824-4A7F-8CF3-50ECA230434A}"/>
    <cellStyle name="Note 2 2 3 11" xfId="9127" xr:uid="{D1AD4064-B9EC-4190-A147-F1E8A2540DE5}"/>
    <cellStyle name="Note 2 2 3 2" xfId="1009" xr:uid="{00000000-0005-0000-0000-0000C4200000}"/>
    <cellStyle name="Note 2 2 3 2 2" xfId="3241" xr:uid="{00000000-0005-0000-0000-0000C5200000}"/>
    <cellStyle name="Note 2 2 3 2 2 2" xfId="7464" xr:uid="{00000000-0005-0000-0000-0000C6200000}"/>
    <cellStyle name="Note 2 2 3 2 2 2 2" xfId="24336" xr:uid="{6802A8B4-64D0-4C11-AC89-697570BF8340}"/>
    <cellStyle name="Note 2 2 3 2 2 2 3" xfId="15902" xr:uid="{551AB223-1BDB-4266-B21F-CE4172AE0F2A}"/>
    <cellStyle name="Note 2 2 3 2 2 3" xfId="20119" xr:uid="{1F56B655-ECB7-44B6-A9E2-4E3659CA05D1}"/>
    <cellStyle name="Note 2 2 3 2 2 4" xfId="11685" xr:uid="{F67C122A-237F-44AE-8BA5-95C4D6E02118}"/>
    <cellStyle name="Note 2 2 3 2 3" xfId="5319" xr:uid="{00000000-0005-0000-0000-0000C7200000}"/>
    <cellStyle name="Note 2 2 3 2 3 2" xfId="22191" xr:uid="{18321203-364F-45C8-9B6B-873F5B90484F}"/>
    <cellStyle name="Note 2 2 3 2 3 3" xfId="13757" xr:uid="{76DBE323-9A43-4642-89E3-FE524F956F98}"/>
    <cellStyle name="Note 2 2 3 2 4" xfId="17974" xr:uid="{F6FCA2DE-0CA7-4E64-ACE0-425D1C9FB5F1}"/>
    <cellStyle name="Note 2 2 3 2 5" xfId="9540" xr:uid="{26C9A1BF-CBD5-4978-BCF4-5C44778E61C0}"/>
    <cellStyle name="Note 2 2 3 3" xfId="1424" xr:uid="{00000000-0005-0000-0000-0000C8200000}"/>
    <cellStyle name="Note 2 2 3 3 2" xfId="3654" xr:uid="{00000000-0005-0000-0000-0000C9200000}"/>
    <cellStyle name="Note 2 2 3 3 2 2" xfId="7877" xr:uid="{00000000-0005-0000-0000-0000CA200000}"/>
    <cellStyle name="Note 2 2 3 3 2 2 2" xfId="24749" xr:uid="{AF8E2A11-2623-4C1E-8267-CA984689C2F5}"/>
    <cellStyle name="Note 2 2 3 3 2 2 3" xfId="16315" xr:uid="{05F2CBE1-3631-4A43-8376-19743BC0BAB8}"/>
    <cellStyle name="Note 2 2 3 3 2 3" xfId="20532" xr:uid="{F4C13389-2B5F-4382-B740-8D1C3EC7313E}"/>
    <cellStyle name="Note 2 2 3 3 2 4" xfId="12098" xr:uid="{44C69322-AB71-4FDC-AC5A-0F75123DEBA2}"/>
    <cellStyle name="Note 2 2 3 3 3" xfId="5732" xr:uid="{00000000-0005-0000-0000-0000CB200000}"/>
    <cellStyle name="Note 2 2 3 3 3 2" xfId="22604" xr:uid="{DA3AA09F-1DD3-44DE-8C5A-F26D2CDDC3E3}"/>
    <cellStyle name="Note 2 2 3 3 3 3" xfId="14170" xr:uid="{16CF3F2F-89AD-4003-9E26-83FE25E66459}"/>
    <cellStyle name="Note 2 2 3 3 4" xfId="18387" xr:uid="{4329B8E1-4528-4212-9B04-163CCBBA47D3}"/>
    <cellStyle name="Note 2 2 3 3 5" xfId="9953" xr:uid="{F0B9611E-6151-4404-A3E1-8F541273747F}"/>
    <cellStyle name="Note 2 2 3 4" xfId="1838" xr:uid="{00000000-0005-0000-0000-0000CC200000}"/>
    <cellStyle name="Note 2 2 3 4 2" xfId="4067" xr:uid="{00000000-0005-0000-0000-0000CD200000}"/>
    <cellStyle name="Note 2 2 3 4 2 2" xfId="8290" xr:uid="{00000000-0005-0000-0000-0000CE200000}"/>
    <cellStyle name="Note 2 2 3 4 2 2 2" xfId="25162" xr:uid="{46259494-AAB8-4F96-878D-C95127628876}"/>
    <cellStyle name="Note 2 2 3 4 2 2 3" xfId="16728" xr:uid="{EC37AAAA-1117-44B1-96C0-4A25A6B62F3D}"/>
    <cellStyle name="Note 2 2 3 4 2 3" xfId="20945" xr:uid="{E5BF30E7-518D-487F-ABC4-65F7618B1FB3}"/>
    <cellStyle name="Note 2 2 3 4 2 4" xfId="12511" xr:uid="{571B9821-3920-4984-941A-FBC698F9690D}"/>
    <cellStyle name="Note 2 2 3 4 3" xfId="6145" xr:uid="{00000000-0005-0000-0000-0000CF200000}"/>
    <cellStyle name="Note 2 2 3 4 3 2" xfId="23017" xr:uid="{5C3BC432-4248-4ACC-B8F3-3B66C02794F7}"/>
    <cellStyle name="Note 2 2 3 4 3 3" xfId="14583" xr:uid="{03668C69-8279-4267-9805-B96E6F6190D7}"/>
    <cellStyle name="Note 2 2 3 4 4" xfId="18800" xr:uid="{98DB8C73-A359-4933-B979-CEE62B0F6D54}"/>
    <cellStyle name="Note 2 2 3 4 5" xfId="10366" xr:uid="{37DB42B5-8843-404A-8D9E-665AFDB8D7BB}"/>
    <cellStyle name="Note 2 2 3 5" xfId="2251" xr:uid="{00000000-0005-0000-0000-0000D0200000}"/>
    <cellStyle name="Note 2 2 3 5 2" xfId="4480" xr:uid="{00000000-0005-0000-0000-0000D1200000}"/>
    <cellStyle name="Note 2 2 3 5 2 2" xfId="8703" xr:uid="{00000000-0005-0000-0000-0000D2200000}"/>
    <cellStyle name="Note 2 2 3 5 2 2 2" xfId="25575" xr:uid="{C5A85151-1229-4E7D-B57F-178D14237B8F}"/>
    <cellStyle name="Note 2 2 3 5 2 2 3" xfId="17141" xr:uid="{BFCF0BF5-07B5-45BE-841F-43F4E0F28B9C}"/>
    <cellStyle name="Note 2 2 3 5 2 3" xfId="21358" xr:uid="{82BCFA69-97A5-4BE6-AFB9-3510C4E622FD}"/>
    <cellStyle name="Note 2 2 3 5 2 4" xfId="12924" xr:uid="{0E47F911-8731-474D-935F-239B79FDAE39}"/>
    <cellStyle name="Note 2 2 3 5 3" xfId="6558" xr:uid="{00000000-0005-0000-0000-0000D3200000}"/>
    <cellStyle name="Note 2 2 3 5 3 2" xfId="23430" xr:uid="{74E63F7A-3F1D-4459-BDA0-27748315DEE5}"/>
    <cellStyle name="Note 2 2 3 5 3 3" xfId="14996" xr:uid="{3B9A8468-FF9C-4C97-AF23-80A5E6FFAA07}"/>
    <cellStyle name="Note 2 2 3 5 4" xfId="19213" xr:uid="{525121B3-6819-429C-BAA0-39A8A060DA71}"/>
    <cellStyle name="Note 2 2 3 5 5" xfId="10779" xr:uid="{CC22EC10-1DB6-482E-81B0-9DBA00820CAE}"/>
    <cellStyle name="Note 2 2 3 6" xfId="2687" xr:uid="{00000000-0005-0000-0000-0000D4200000}"/>
    <cellStyle name="Note 2 2 3 6 2" xfId="6971" xr:uid="{00000000-0005-0000-0000-0000D5200000}"/>
    <cellStyle name="Note 2 2 3 6 2 2" xfId="23843" xr:uid="{1F959EFD-41CD-4EC8-A113-AF0EF0033925}"/>
    <cellStyle name="Note 2 2 3 6 2 3" xfId="15409" xr:uid="{DEA153AE-018B-412A-B2A4-E0CDF0C16241}"/>
    <cellStyle name="Note 2 2 3 6 3" xfId="19626" xr:uid="{FCA25D9A-8CE3-4F01-B588-63195DC2BD8E}"/>
    <cellStyle name="Note 2 2 3 6 4" xfId="11192" xr:uid="{72A06F14-D3AF-41BF-A5AE-1EF977BF141A}"/>
    <cellStyle name="Note 2 2 3 7" xfId="2746" xr:uid="{00000000-0005-0000-0000-0000D6200000}"/>
    <cellStyle name="Note 2 2 3 8" xfId="2827" xr:uid="{00000000-0005-0000-0000-0000D7200000}"/>
    <cellStyle name="Note 2 2 3 8 2" xfId="7051" xr:uid="{00000000-0005-0000-0000-0000D8200000}"/>
    <cellStyle name="Note 2 2 3 8 2 2" xfId="23923" xr:uid="{E32E26CA-C729-4B5C-BD77-98683166E839}"/>
    <cellStyle name="Note 2 2 3 8 2 3" xfId="15489" xr:uid="{3120FE3F-A78D-4861-988D-144B4636DAC6}"/>
    <cellStyle name="Note 2 2 3 8 3" xfId="19706" xr:uid="{9C17C068-3640-4A3A-9E78-FFBB2B256D67}"/>
    <cellStyle name="Note 2 2 3 8 4" xfId="11272" xr:uid="{D0B27705-D4EF-445E-8B66-393B21287013}"/>
    <cellStyle name="Note 2 2 3 9" xfId="4906" xr:uid="{00000000-0005-0000-0000-0000D9200000}"/>
    <cellStyle name="Note 2 2 3 9 2" xfId="21778" xr:uid="{FEE18A5A-D4A1-459C-AAB7-41B4ACB43AAF}"/>
    <cellStyle name="Note 2 2 3 9 3" xfId="13344" xr:uid="{E78DC271-9C9C-4DB0-BB4F-5821725FDF00}"/>
    <cellStyle name="Note 2 2 4" xfId="1006" xr:uid="{00000000-0005-0000-0000-0000DA200000}"/>
    <cellStyle name="Note 2 2 4 2" xfId="3238" xr:uid="{00000000-0005-0000-0000-0000DB200000}"/>
    <cellStyle name="Note 2 2 4 2 2" xfId="7461" xr:uid="{00000000-0005-0000-0000-0000DC200000}"/>
    <cellStyle name="Note 2 2 4 2 2 2" xfId="24333" xr:uid="{01BDC8DF-5C2C-415A-B1DC-1960662E7F51}"/>
    <cellStyle name="Note 2 2 4 2 2 3" xfId="15899" xr:uid="{10283320-84BB-4CA2-9B56-1DA9000C41CC}"/>
    <cellStyle name="Note 2 2 4 2 3" xfId="20116" xr:uid="{4F971997-3496-4868-AE43-D74B07E3A9EC}"/>
    <cellStyle name="Note 2 2 4 2 4" xfId="11682" xr:uid="{808C3BBB-296B-4FF6-9A32-3597115E8E06}"/>
    <cellStyle name="Note 2 2 4 3" xfId="5316" xr:uid="{00000000-0005-0000-0000-0000DD200000}"/>
    <cellStyle name="Note 2 2 4 3 2" xfId="22188" xr:uid="{248F34F0-0B46-4C0A-B724-B700D23B207F}"/>
    <cellStyle name="Note 2 2 4 3 3" xfId="13754" xr:uid="{40A55401-1526-49B4-9A36-120731C6877E}"/>
    <cellStyle name="Note 2 2 4 4" xfId="17971" xr:uid="{70DB355D-D053-4571-BA0A-FA8E3E31C2D7}"/>
    <cellStyle name="Note 2 2 4 5" xfId="9537" xr:uid="{CA2A325C-0171-4CEE-8AC7-E6C0E8E0DB5B}"/>
    <cellStyle name="Note 2 2 5" xfId="1421" xr:uid="{00000000-0005-0000-0000-0000DE200000}"/>
    <cellStyle name="Note 2 2 5 2" xfId="3651" xr:uid="{00000000-0005-0000-0000-0000DF200000}"/>
    <cellStyle name="Note 2 2 5 2 2" xfId="7874" xr:uid="{00000000-0005-0000-0000-0000E0200000}"/>
    <cellStyle name="Note 2 2 5 2 2 2" xfId="24746" xr:uid="{5B26594A-464E-4BCE-B990-FE81CC97C429}"/>
    <cellStyle name="Note 2 2 5 2 2 3" xfId="16312" xr:uid="{D4725E84-8253-446E-AA81-752DE1B3B0FF}"/>
    <cellStyle name="Note 2 2 5 2 3" xfId="20529" xr:uid="{6F6C6A61-74A1-4AAF-88C9-F123134BF614}"/>
    <cellStyle name="Note 2 2 5 2 4" xfId="12095" xr:uid="{47ADC542-946B-4340-B408-AA1F8C9D7420}"/>
    <cellStyle name="Note 2 2 5 3" xfId="5729" xr:uid="{00000000-0005-0000-0000-0000E1200000}"/>
    <cellStyle name="Note 2 2 5 3 2" xfId="22601" xr:uid="{6B7FC625-E8AB-4391-A182-0568620770C9}"/>
    <cellStyle name="Note 2 2 5 3 3" xfId="14167" xr:uid="{3EA15981-46FA-4C8F-BE41-A54F68F8CF27}"/>
    <cellStyle name="Note 2 2 5 4" xfId="18384" xr:uid="{980859E7-D922-4799-9138-32C04D73E12D}"/>
    <cellStyle name="Note 2 2 5 5" xfId="9950" xr:uid="{DD51CF12-7633-4B5B-A777-62C7658D247B}"/>
    <cellStyle name="Note 2 2 6" xfId="1835" xr:uid="{00000000-0005-0000-0000-0000E2200000}"/>
    <cellStyle name="Note 2 2 6 2" xfId="4064" xr:uid="{00000000-0005-0000-0000-0000E3200000}"/>
    <cellStyle name="Note 2 2 6 2 2" xfId="8287" xr:uid="{00000000-0005-0000-0000-0000E4200000}"/>
    <cellStyle name="Note 2 2 6 2 2 2" xfId="25159" xr:uid="{ECC84EE8-50C4-4ED9-8752-0940A06E1F2D}"/>
    <cellStyle name="Note 2 2 6 2 2 3" xfId="16725" xr:uid="{F3AF9559-D8FC-4F2F-AB49-F06C76DD3FF0}"/>
    <cellStyle name="Note 2 2 6 2 3" xfId="20942" xr:uid="{D0901173-977C-4878-B7E3-4C49B20FA82C}"/>
    <cellStyle name="Note 2 2 6 2 4" xfId="12508" xr:uid="{52EF8664-A281-4591-A840-DC5AFD211D6D}"/>
    <cellStyle name="Note 2 2 6 3" xfId="6142" xr:uid="{00000000-0005-0000-0000-0000E5200000}"/>
    <cellStyle name="Note 2 2 6 3 2" xfId="23014" xr:uid="{3E7C2707-C297-42C5-BE45-55C4B914E822}"/>
    <cellStyle name="Note 2 2 6 3 3" xfId="14580" xr:uid="{1C7C88FD-4950-4BCD-BB89-A6C79ED3400F}"/>
    <cellStyle name="Note 2 2 6 4" xfId="18797" xr:uid="{D5AA6494-FB3C-4D4A-B1B4-6202213E3975}"/>
    <cellStyle name="Note 2 2 6 5" xfId="10363" xr:uid="{DA1FF7BE-6B0F-4F41-9507-A84A38551F71}"/>
    <cellStyle name="Note 2 2 7" xfId="2248" xr:uid="{00000000-0005-0000-0000-0000E6200000}"/>
    <cellStyle name="Note 2 2 7 2" xfId="4477" xr:uid="{00000000-0005-0000-0000-0000E7200000}"/>
    <cellStyle name="Note 2 2 7 2 2" xfId="8700" xr:uid="{00000000-0005-0000-0000-0000E8200000}"/>
    <cellStyle name="Note 2 2 7 2 2 2" xfId="25572" xr:uid="{C909CD82-9803-4108-96BF-5CF1EA1ECF02}"/>
    <cellStyle name="Note 2 2 7 2 2 3" xfId="17138" xr:uid="{2C17E37C-4D58-44F1-A4B8-3C9BF6DEC96E}"/>
    <cellStyle name="Note 2 2 7 2 3" xfId="21355" xr:uid="{32B06B26-EFF8-406C-BE19-6A848A92EF8E}"/>
    <cellStyle name="Note 2 2 7 2 4" xfId="12921" xr:uid="{A376A766-5846-4BEA-B0AD-7BA1AED299C7}"/>
    <cellStyle name="Note 2 2 7 3" xfId="6555" xr:uid="{00000000-0005-0000-0000-0000E9200000}"/>
    <cellStyle name="Note 2 2 7 3 2" xfId="23427" xr:uid="{4C6C20B2-9BAB-4EBE-A159-BEF058D4FA74}"/>
    <cellStyle name="Note 2 2 7 3 3" xfId="14993" xr:uid="{CFA817F7-F816-4C91-9F40-1813F4564532}"/>
    <cellStyle name="Note 2 2 7 4" xfId="19210" xr:uid="{2736A446-AEFD-4A05-B0BF-EC976ECC7282}"/>
    <cellStyle name="Note 2 2 7 5" xfId="10776" xr:uid="{9B720170-FB5C-4440-8994-1D3407AF9611}"/>
    <cellStyle name="Note 2 2 8" xfId="2684" xr:uid="{00000000-0005-0000-0000-0000EA200000}"/>
    <cellStyle name="Note 2 2 8 2" xfId="6968" xr:uid="{00000000-0005-0000-0000-0000EB200000}"/>
    <cellStyle name="Note 2 2 8 2 2" xfId="23840" xr:uid="{13E15517-6C7F-4104-A7C7-57617B8151AE}"/>
    <cellStyle name="Note 2 2 8 2 3" xfId="15406" xr:uid="{5621B5E1-6272-4EAE-B20F-C1E40768F36A}"/>
    <cellStyle name="Note 2 2 8 3" xfId="19623" xr:uid="{868D47AD-8209-454E-BB69-C06EB623AE46}"/>
    <cellStyle name="Note 2 2 8 4" xfId="11189" xr:uid="{8DDA3C7F-8C6F-421F-93C1-E036E2765EEA}"/>
    <cellStyle name="Note 2 2 9" xfId="2743" xr:uid="{00000000-0005-0000-0000-0000EC200000}"/>
    <cellStyle name="Note 2 3" xfId="549" xr:uid="{00000000-0005-0000-0000-0000ED200000}"/>
    <cellStyle name="Note 2 3 10" xfId="4907" xr:uid="{00000000-0005-0000-0000-0000EE200000}"/>
    <cellStyle name="Note 2 3 10 2" xfId="21779" xr:uid="{E0AE1F3D-73D6-4458-98F2-3BA16F791F90}"/>
    <cellStyle name="Note 2 3 10 3" xfId="13345" xr:uid="{54418C5D-21BF-40C4-AAE2-9180CD0D05F2}"/>
    <cellStyle name="Note 2 3 11" xfId="17562" xr:uid="{10242CE2-94F0-4A62-8C33-D13869862099}"/>
    <cellStyle name="Note 2 3 12" xfId="9128" xr:uid="{09DCC44C-8CF5-4DC0-8B06-B6BC196FC9BB}"/>
    <cellStyle name="Note 2 3 2" xfId="550" xr:uid="{00000000-0005-0000-0000-0000EF200000}"/>
    <cellStyle name="Note 2 3 2 10" xfId="17563" xr:uid="{7D782F88-2CBC-4469-9956-31342CBDF06A}"/>
    <cellStyle name="Note 2 3 2 11" xfId="9129" xr:uid="{58F8E7CB-45F3-44EB-A1C4-E8C33C15B557}"/>
    <cellStyle name="Note 2 3 2 2" xfId="1011" xr:uid="{00000000-0005-0000-0000-0000F0200000}"/>
    <cellStyle name="Note 2 3 2 2 2" xfId="3243" xr:uid="{00000000-0005-0000-0000-0000F1200000}"/>
    <cellStyle name="Note 2 3 2 2 2 2" xfId="7466" xr:uid="{00000000-0005-0000-0000-0000F2200000}"/>
    <cellStyle name="Note 2 3 2 2 2 2 2" xfId="24338" xr:uid="{0DC51FB7-D5EE-4F56-8F4C-AEA3FCD99220}"/>
    <cellStyle name="Note 2 3 2 2 2 2 3" xfId="15904" xr:uid="{161BE38D-3654-4020-95A7-303FC793A6DD}"/>
    <cellStyle name="Note 2 3 2 2 2 3" xfId="20121" xr:uid="{FEC04F45-6D85-4AEF-B469-C926A6EA4AA3}"/>
    <cellStyle name="Note 2 3 2 2 2 4" xfId="11687" xr:uid="{72A7D871-AA98-4C18-8915-BA66176BAA66}"/>
    <cellStyle name="Note 2 3 2 2 3" xfId="5321" xr:uid="{00000000-0005-0000-0000-0000F3200000}"/>
    <cellStyle name="Note 2 3 2 2 3 2" xfId="22193" xr:uid="{3A9618CB-9B00-4BE4-8044-795E393AFFD3}"/>
    <cellStyle name="Note 2 3 2 2 3 3" xfId="13759" xr:uid="{FB229C39-CC78-48FD-A6F7-78B6DF93D490}"/>
    <cellStyle name="Note 2 3 2 2 4" xfId="17976" xr:uid="{AD388220-9E8B-4FBA-9793-55C2A8FC41EA}"/>
    <cellStyle name="Note 2 3 2 2 5" xfId="9542" xr:uid="{CE33F329-6234-4B28-A45C-355537570474}"/>
    <cellStyle name="Note 2 3 2 3" xfId="1426" xr:uid="{00000000-0005-0000-0000-0000F4200000}"/>
    <cellStyle name="Note 2 3 2 3 2" xfId="3656" xr:uid="{00000000-0005-0000-0000-0000F5200000}"/>
    <cellStyle name="Note 2 3 2 3 2 2" xfId="7879" xr:uid="{00000000-0005-0000-0000-0000F6200000}"/>
    <cellStyle name="Note 2 3 2 3 2 2 2" xfId="24751" xr:uid="{B2CA3DFA-6488-42D6-89FD-55AAD619C478}"/>
    <cellStyle name="Note 2 3 2 3 2 2 3" xfId="16317" xr:uid="{B6FED1D0-CB65-4939-8489-A892B27FE016}"/>
    <cellStyle name="Note 2 3 2 3 2 3" xfId="20534" xr:uid="{FA687A42-49C7-42A7-B356-802DAE8AC90C}"/>
    <cellStyle name="Note 2 3 2 3 2 4" xfId="12100" xr:uid="{1EEC6FAF-A92E-448F-A4E5-80F008ADD4AD}"/>
    <cellStyle name="Note 2 3 2 3 3" xfId="5734" xr:uid="{00000000-0005-0000-0000-0000F7200000}"/>
    <cellStyle name="Note 2 3 2 3 3 2" xfId="22606" xr:uid="{374E1AF8-DAAE-4F02-AA23-D143839B504A}"/>
    <cellStyle name="Note 2 3 2 3 3 3" xfId="14172" xr:uid="{5D73E591-B668-41D0-89D1-414DFFEFD067}"/>
    <cellStyle name="Note 2 3 2 3 4" xfId="18389" xr:uid="{CD63CDD9-ECB4-4658-88D3-F4E53E1FF42C}"/>
    <cellStyle name="Note 2 3 2 3 5" xfId="9955" xr:uid="{B597A873-541D-435A-A4FD-174D97B15960}"/>
    <cellStyle name="Note 2 3 2 4" xfId="1840" xr:uid="{00000000-0005-0000-0000-0000F8200000}"/>
    <cellStyle name="Note 2 3 2 4 2" xfId="4069" xr:uid="{00000000-0005-0000-0000-0000F9200000}"/>
    <cellStyle name="Note 2 3 2 4 2 2" xfId="8292" xr:uid="{00000000-0005-0000-0000-0000FA200000}"/>
    <cellStyle name="Note 2 3 2 4 2 2 2" xfId="25164" xr:uid="{85DABA8D-ED5F-402E-B28D-C6BE3488E06B}"/>
    <cellStyle name="Note 2 3 2 4 2 2 3" xfId="16730" xr:uid="{527D5847-0D74-4548-A613-5CCDCF5C5114}"/>
    <cellStyle name="Note 2 3 2 4 2 3" xfId="20947" xr:uid="{DE752C2C-BB48-4153-8618-C0CB27B78667}"/>
    <cellStyle name="Note 2 3 2 4 2 4" xfId="12513" xr:uid="{FA15AE58-C599-410E-8F12-4E9B32F70B84}"/>
    <cellStyle name="Note 2 3 2 4 3" xfId="6147" xr:uid="{00000000-0005-0000-0000-0000FB200000}"/>
    <cellStyle name="Note 2 3 2 4 3 2" xfId="23019" xr:uid="{06E4BA01-89AA-4248-9384-672D20EE59AC}"/>
    <cellStyle name="Note 2 3 2 4 3 3" xfId="14585" xr:uid="{FC7CD224-6E89-49C9-9149-FC5695746C2F}"/>
    <cellStyle name="Note 2 3 2 4 4" xfId="18802" xr:uid="{2F269867-EC57-4665-B9E6-FE07764237DB}"/>
    <cellStyle name="Note 2 3 2 4 5" xfId="10368" xr:uid="{EDE69B35-F73B-49C8-94DA-A3AC9EDBDD9D}"/>
    <cellStyle name="Note 2 3 2 5" xfId="2253" xr:uid="{00000000-0005-0000-0000-0000FC200000}"/>
    <cellStyle name="Note 2 3 2 5 2" xfId="4482" xr:uid="{00000000-0005-0000-0000-0000FD200000}"/>
    <cellStyle name="Note 2 3 2 5 2 2" xfId="8705" xr:uid="{00000000-0005-0000-0000-0000FE200000}"/>
    <cellStyle name="Note 2 3 2 5 2 2 2" xfId="25577" xr:uid="{F1C3E284-27E4-4C8B-B507-CEA43D12A68A}"/>
    <cellStyle name="Note 2 3 2 5 2 2 3" xfId="17143" xr:uid="{43FF1353-6E33-4D86-99DB-9ED9E435D9FF}"/>
    <cellStyle name="Note 2 3 2 5 2 3" xfId="21360" xr:uid="{A2B352B2-6226-4C2A-B6CE-1B07B3D0D63D}"/>
    <cellStyle name="Note 2 3 2 5 2 4" xfId="12926" xr:uid="{87DC557D-BF7A-4093-8CF0-B2629FB2EC0D}"/>
    <cellStyle name="Note 2 3 2 5 3" xfId="6560" xr:uid="{00000000-0005-0000-0000-0000FF200000}"/>
    <cellStyle name="Note 2 3 2 5 3 2" xfId="23432" xr:uid="{11729FFB-7605-421C-B638-E22C1167D1DE}"/>
    <cellStyle name="Note 2 3 2 5 3 3" xfId="14998" xr:uid="{5714C155-9260-41A2-A1CC-7DDF83162980}"/>
    <cellStyle name="Note 2 3 2 5 4" xfId="19215" xr:uid="{2720746E-B80C-45C6-885D-6547FB02D01E}"/>
    <cellStyle name="Note 2 3 2 5 5" xfId="10781" xr:uid="{327B4198-1375-4A50-92CC-5CA999AFE924}"/>
    <cellStyle name="Note 2 3 2 6" xfId="2689" xr:uid="{00000000-0005-0000-0000-000000210000}"/>
    <cellStyle name="Note 2 3 2 6 2" xfId="6973" xr:uid="{00000000-0005-0000-0000-000001210000}"/>
    <cellStyle name="Note 2 3 2 6 2 2" xfId="23845" xr:uid="{9929770D-E13A-4136-86D5-046F9C4D79C2}"/>
    <cellStyle name="Note 2 3 2 6 2 3" xfId="15411" xr:uid="{6D91FA55-04AD-403A-B7D6-DE385061452B}"/>
    <cellStyle name="Note 2 3 2 6 3" xfId="19628" xr:uid="{DF81F240-0CD0-4903-A0B6-E496DF158C47}"/>
    <cellStyle name="Note 2 3 2 6 4" xfId="11194" xr:uid="{21AA5F7C-F704-4DC9-8AFA-4AA87770BC25}"/>
    <cellStyle name="Note 2 3 2 7" xfId="2748" xr:uid="{00000000-0005-0000-0000-000002210000}"/>
    <cellStyle name="Note 2 3 2 8" xfId="2829" xr:uid="{00000000-0005-0000-0000-000003210000}"/>
    <cellStyle name="Note 2 3 2 8 2" xfId="7053" xr:uid="{00000000-0005-0000-0000-000004210000}"/>
    <cellStyle name="Note 2 3 2 8 2 2" xfId="23925" xr:uid="{91C0427A-764B-4BA0-89F8-541E8AF7EC9A}"/>
    <cellStyle name="Note 2 3 2 8 2 3" xfId="15491" xr:uid="{98F23C68-7CC1-41F1-B4F4-ED956FF79717}"/>
    <cellStyle name="Note 2 3 2 8 3" xfId="19708" xr:uid="{4768A180-1887-41C7-89A7-2707D0615515}"/>
    <cellStyle name="Note 2 3 2 8 4" xfId="11274" xr:uid="{14C6AE01-E535-4CBF-9CEA-DF83DAA481C1}"/>
    <cellStyle name="Note 2 3 2 9" xfId="4908" xr:uid="{00000000-0005-0000-0000-000005210000}"/>
    <cellStyle name="Note 2 3 2 9 2" xfId="21780" xr:uid="{607E5302-9315-43A9-9EE7-02DCC199B6FA}"/>
    <cellStyle name="Note 2 3 2 9 3" xfId="13346" xr:uid="{6DA23B58-0A85-47B9-BE4D-3A88D7D2D349}"/>
    <cellStyle name="Note 2 3 3" xfId="1010" xr:uid="{00000000-0005-0000-0000-000006210000}"/>
    <cellStyle name="Note 2 3 3 2" xfId="3242" xr:uid="{00000000-0005-0000-0000-000007210000}"/>
    <cellStyle name="Note 2 3 3 2 2" xfId="7465" xr:uid="{00000000-0005-0000-0000-000008210000}"/>
    <cellStyle name="Note 2 3 3 2 2 2" xfId="24337" xr:uid="{6A3B9BF9-89E2-4F57-8397-390E9DD162E6}"/>
    <cellStyle name="Note 2 3 3 2 2 3" xfId="15903" xr:uid="{E74CC0F9-9074-4B4E-8341-96B7459B824F}"/>
    <cellStyle name="Note 2 3 3 2 3" xfId="20120" xr:uid="{88411053-BA3A-492F-A589-DD0151C72494}"/>
    <cellStyle name="Note 2 3 3 2 4" xfId="11686" xr:uid="{D155216B-5966-4065-A430-B27D912D88F4}"/>
    <cellStyle name="Note 2 3 3 3" xfId="5320" xr:uid="{00000000-0005-0000-0000-000009210000}"/>
    <cellStyle name="Note 2 3 3 3 2" xfId="22192" xr:uid="{9FBAACBB-E32F-4280-A9C0-8BFE7B12B290}"/>
    <cellStyle name="Note 2 3 3 3 3" xfId="13758" xr:uid="{BE3CCBEB-3FFA-4BA4-BCF4-EACC2ADD8731}"/>
    <cellStyle name="Note 2 3 3 4" xfId="17975" xr:uid="{7FD62972-C5FA-401F-83AB-73D9C0702CF0}"/>
    <cellStyle name="Note 2 3 3 5" xfId="9541" xr:uid="{E38CE120-3FD4-4517-A579-A14113090A4C}"/>
    <cellStyle name="Note 2 3 4" xfId="1425" xr:uid="{00000000-0005-0000-0000-00000A210000}"/>
    <cellStyle name="Note 2 3 4 2" xfId="3655" xr:uid="{00000000-0005-0000-0000-00000B210000}"/>
    <cellStyle name="Note 2 3 4 2 2" xfId="7878" xr:uid="{00000000-0005-0000-0000-00000C210000}"/>
    <cellStyle name="Note 2 3 4 2 2 2" xfId="24750" xr:uid="{EA107C33-2617-4F82-9653-87BA59390A48}"/>
    <cellStyle name="Note 2 3 4 2 2 3" xfId="16316" xr:uid="{8F0EBB4A-B822-4067-8AA3-0E070DAD9C1D}"/>
    <cellStyle name="Note 2 3 4 2 3" xfId="20533" xr:uid="{83338256-A164-47E9-BAC0-865C4DAF0E96}"/>
    <cellStyle name="Note 2 3 4 2 4" xfId="12099" xr:uid="{8CE1E7F7-C9DB-4546-AC78-DC02BE023C7D}"/>
    <cellStyle name="Note 2 3 4 3" xfId="5733" xr:uid="{00000000-0005-0000-0000-00000D210000}"/>
    <cellStyle name="Note 2 3 4 3 2" xfId="22605" xr:uid="{6DC8C19C-D9C0-485F-992D-B50C43CB4BE9}"/>
    <cellStyle name="Note 2 3 4 3 3" xfId="14171" xr:uid="{9996A520-A116-4B73-B800-7D8FF7AF2ACC}"/>
    <cellStyle name="Note 2 3 4 4" xfId="18388" xr:uid="{2844C9B8-41C8-4E71-BA41-472D2E16C8E1}"/>
    <cellStyle name="Note 2 3 4 5" xfId="9954" xr:uid="{D4821F7E-7C43-4747-B124-E0FAE3863121}"/>
    <cellStyle name="Note 2 3 5" xfId="1839" xr:uid="{00000000-0005-0000-0000-00000E210000}"/>
    <cellStyle name="Note 2 3 5 2" xfId="4068" xr:uid="{00000000-0005-0000-0000-00000F210000}"/>
    <cellStyle name="Note 2 3 5 2 2" xfId="8291" xr:uid="{00000000-0005-0000-0000-000010210000}"/>
    <cellStyle name="Note 2 3 5 2 2 2" xfId="25163" xr:uid="{01418EFC-81D8-41B6-A50A-6227530DAB5F}"/>
    <cellStyle name="Note 2 3 5 2 2 3" xfId="16729" xr:uid="{B6BDE150-03AF-4A57-8170-2C7B58B48146}"/>
    <cellStyle name="Note 2 3 5 2 3" xfId="20946" xr:uid="{32E823AE-AA8E-4106-A510-0C548262BCEE}"/>
    <cellStyle name="Note 2 3 5 2 4" xfId="12512" xr:uid="{567B257E-19C4-47AF-BA56-6492A001B2DB}"/>
    <cellStyle name="Note 2 3 5 3" xfId="6146" xr:uid="{00000000-0005-0000-0000-000011210000}"/>
    <cellStyle name="Note 2 3 5 3 2" xfId="23018" xr:uid="{3D1295A5-4D34-46FB-8FFF-ED708271A6DE}"/>
    <cellStyle name="Note 2 3 5 3 3" xfId="14584" xr:uid="{467B95ED-554B-4FED-A1E2-A8165B5D1F1D}"/>
    <cellStyle name="Note 2 3 5 4" xfId="18801" xr:uid="{53C7F0DB-2E15-4770-847A-8D2C0B735DBF}"/>
    <cellStyle name="Note 2 3 5 5" xfId="10367" xr:uid="{51792DDA-C37C-4890-BB85-0A4DBFA7626E}"/>
    <cellStyle name="Note 2 3 6" xfId="2252" xr:uid="{00000000-0005-0000-0000-000012210000}"/>
    <cellStyle name="Note 2 3 6 2" xfId="4481" xr:uid="{00000000-0005-0000-0000-000013210000}"/>
    <cellStyle name="Note 2 3 6 2 2" xfId="8704" xr:uid="{00000000-0005-0000-0000-000014210000}"/>
    <cellStyle name="Note 2 3 6 2 2 2" xfId="25576" xr:uid="{F7A4E140-24F6-4072-BB69-4A06AEADFE04}"/>
    <cellStyle name="Note 2 3 6 2 2 3" xfId="17142" xr:uid="{9E88FDA5-543E-44E1-8D1C-829172A578D5}"/>
    <cellStyle name="Note 2 3 6 2 3" xfId="21359" xr:uid="{48F0D67A-577E-47E4-B82C-DED3515FAC1D}"/>
    <cellStyle name="Note 2 3 6 2 4" xfId="12925" xr:uid="{2A23951F-2C43-4734-81F5-7D05F97089A8}"/>
    <cellStyle name="Note 2 3 6 3" xfId="6559" xr:uid="{00000000-0005-0000-0000-000015210000}"/>
    <cellStyle name="Note 2 3 6 3 2" xfId="23431" xr:uid="{A3395969-3D4C-4F34-8AAB-17CE5AF6234E}"/>
    <cellStyle name="Note 2 3 6 3 3" xfId="14997" xr:uid="{AF25410F-0BB5-4636-BA4D-7FF7BA9C5FD0}"/>
    <cellStyle name="Note 2 3 6 4" xfId="19214" xr:uid="{91DE4D20-0DE4-4F3A-8A8F-30DB11EAD11F}"/>
    <cellStyle name="Note 2 3 6 5" xfId="10780" xr:uid="{9CDCB786-F02F-4F76-8A9A-5E762935DF1E}"/>
    <cellStyle name="Note 2 3 7" xfId="2688" xr:uid="{00000000-0005-0000-0000-000016210000}"/>
    <cellStyle name="Note 2 3 7 2" xfId="6972" xr:uid="{00000000-0005-0000-0000-000017210000}"/>
    <cellStyle name="Note 2 3 7 2 2" xfId="23844" xr:uid="{2E911B65-C7DB-4942-9DE4-92CC312DFFBA}"/>
    <cellStyle name="Note 2 3 7 2 3" xfId="15410" xr:uid="{E6FB7320-1E21-410A-A3B3-3C8F7ACFCAB6}"/>
    <cellStyle name="Note 2 3 7 3" xfId="19627" xr:uid="{C2155DD2-3C16-4A56-BB41-81A6C4C42213}"/>
    <cellStyle name="Note 2 3 7 4" xfId="11193" xr:uid="{0F74DECA-953C-4B8B-A898-3F62345DE43A}"/>
    <cellStyle name="Note 2 3 8" xfId="2747" xr:uid="{00000000-0005-0000-0000-000018210000}"/>
    <cellStyle name="Note 2 3 9" xfId="2828" xr:uid="{00000000-0005-0000-0000-000019210000}"/>
    <cellStyle name="Note 2 3 9 2" xfId="7052" xr:uid="{00000000-0005-0000-0000-00001A210000}"/>
    <cellStyle name="Note 2 3 9 2 2" xfId="23924" xr:uid="{90A3F427-7D26-49E6-B9B3-71E3370B2FB6}"/>
    <cellStyle name="Note 2 3 9 2 3" xfId="15490" xr:uid="{DBF7262A-7FB8-4CF8-94BA-87A8564F61AD}"/>
    <cellStyle name="Note 2 3 9 3" xfId="19707" xr:uid="{F89060C2-1C6B-4816-B807-39F8E90A68FB}"/>
    <cellStyle name="Note 2 3 9 4" xfId="11273" xr:uid="{4D973327-74A0-4FFC-AFE3-5D84C7063776}"/>
    <cellStyle name="Note 2 4" xfId="551" xr:uid="{00000000-0005-0000-0000-00001B210000}"/>
    <cellStyle name="Note 2 4 10" xfId="17564" xr:uid="{B8B1F5E2-F367-4294-B07C-8FBBFFC64054}"/>
    <cellStyle name="Note 2 4 11" xfId="9130" xr:uid="{8A271526-7808-4390-A6BB-624162E26F28}"/>
    <cellStyle name="Note 2 4 2" xfId="1012" xr:uid="{00000000-0005-0000-0000-00001C210000}"/>
    <cellStyle name="Note 2 4 2 2" xfId="3244" xr:uid="{00000000-0005-0000-0000-00001D210000}"/>
    <cellStyle name="Note 2 4 2 2 2" xfId="7467" xr:uid="{00000000-0005-0000-0000-00001E210000}"/>
    <cellStyle name="Note 2 4 2 2 2 2" xfId="24339" xr:uid="{E516EE30-20EA-4ABC-84B4-966A0048F373}"/>
    <cellStyle name="Note 2 4 2 2 2 3" xfId="15905" xr:uid="{6ACD902E-4F76-413E-BE24-343BD3492EFC}"/>
    <cellStyle name="Note 2 4 2 2 3" xfId="20122" xr:uid="{A1B2AD85-768E-46CD-BF5F-F1E0F41ECAF4}"/>
    <cellStyle name="Note 2 4 2 2 4" xfId="11688" xr:uid="{8E716965-B606-47B6-8EA1-D6B1A4E441CD}"/>
    <cellStyle name="Note 2 4 2 3" xfId="5322" xr:uid="{00000000-0005-0000-0000-00001F210000}"/>
    <cellStyle name="Note 2 4 2 3 2" xfId="22194" xr:uid="{D944CB45-36A0-4235-BA50-E648EFB48061}"/>
    <cellStyle name="Note 2 4 2 3 3" xfId="13760" xr:uid="{45FFAAD8-3BB5-4CA8-B120-02506BA15DF3}"/>
    <cellStyle name="Note 2 4 2 4" xfId="17977" xr:uid="{06518505-6C8C-486A-AF05-9DF28C05E5F9}"/>
    <cellStyle name="Note 2 4 2 5" xfId="9543" xr:uid="{0F41C69A-734B-4DFB-B3D3-2F9F009E1DED}"/>
    <cellStyle name="Note 2 4 3" xfId="1427" xr:uid="{00000000-0005-0000-0000-000020210000}"/>
    <cellStyle name="Note 2 4 3 2" xfId="3657" xr:uid="{00000000-0005-0000-0000-000021210000}"/>
    <cellStyle name="Note 2 4 3 2 2" xfId="7880" xr:uid="{00000000-0005-0000-0000-000022210000}"/>
    <cellStyle name="Note 2 4 3 2 2 2" xfId="24752" xr:uid="{5F521461-89BA-4626-85EA-7C3B51C04D07}"/>
    <cellStyle name="Note 2 4 3 2 2 3" xfId="16318" xr:uid="{2940333A-7225-4EED-844D-C92F362B624D}"/>
    <cellStyle name="Note 2 4 3 2 3" xfId="20535" xr:uid="{B4363E77-EE77-4FEA-94C3-D9EA364F10ED}"/>
    <cellStyle name="Note 2 4 3 2 4" xfId="12101" xr:uid="{0F25104E-84DD-4E26-83E0-A2836B89A337}"/>
    <cellStyle name="Note 2 4 3 3" xfId="5735" xr:uid="{00000000-0005-0000-0000-000023210000}"/>
    <cellStyle name="Note 2 4 3 3 2" xfId="22607" xr:uid="{CBA3C4FB-11D9-4156-A21F-554B1BDE4E6E}"/>
    <cellStyle name="Note 2 4 3 3 3" xfId="14173" xr:uid="{F3459CD0-300D-4AB2-807F-C707FFA0D172}"/>
    <cellStyle name="Note 2 4 3 4" xfId="18390" xr:uid="{C0A3661B-02FC-4820-9EBC-D537B458EA9F}"/>
    <cellStyle name="Note 2 4 3 5" xfId="9956" xr:uid="{CDFD1954-A04C-45F7-BD9A-63C44E6DBC95}"/>
    <cellStyle name="Note 2 4 4" xfId="1841" xr:uid="{00000000-0005-0000-0000-000024210000}"/>
    <cellStyle name="Note 2 4 4 2" xfId="4070" xr:uid="{00000000-0005-0000-0000-000025210000}"/>
    <cellStyle name="Note 2 4 4 2 2" xfId="8293" xr:uid="{00000000-0005-0000-0000-000026210000}"/>
    <cellStyle name="Note 2 4 4 2 2 2" xfId="25165" xr:uid="{4AF0D0B0-B87D-4DCD-8405-D39856E381E1}"/>
    <cellStyle name="Note 2 4 4 2 2 3" xfId="16731" xr:uid="{44B93E79-4D97-425E-944C-00965DF5F4A1}"/>
    <cellStyle name="Note 2 4 4 2 3" xfId="20948" xr:uid="{A8EFA05A-2A91-4AD5-AA2E-3D16C56D6202}"/>
    <cellStyle name="Note 2 4 4 2 4" xfId="12514" xr:uid="{D7920CA6-B63B-4A33-9C0F-668BEAFBF184}"/>
    <cellStyle name="Note 2 4 4 3" xfId="6148" xr:uid="{00000000-0005-0000-0000-000027210000}"/>
    <cellStyle name="Note 2 4 4 3 2" xfId="23020" xr:uid="{CEF3AC49-DD7F-4688-BB9A-E7BD401BE742}"/>
    <cellStyle name="Note 2 4 4 3 3" xfId="14586" xr:uid="{B4A68754-CBF3-4623-90B7-FDDF7CECFE56}"/>
    <cellStyle name="Note 2 4 4 4" xfId="18803" xr:uid="{752D6EED-39E7-4BB2-9538-66312E05CBDC}"/>
    <cellStyle name="Note 2 4 4 5" xfId="10369" xr:uid="{C2D1BC2C-98FB-4E11-81D6-A8A0B399270C}"/>
    <cellStyle name="Note 2 4 5" xfId="2254" xr:uid="{00000000-0005-0000-0000-000028210000}"/>
    <cellStyle name="Note 2 4 5 2" xfId="4483" xr:uid="{00000000-0005-0000-0000-000029210000}"/>
    <cellStyle name="Note 2 4 5 2 2" xfId="8706" xr:uid="{00000000-0005-0000-0000-00002A210000}"/>
    <cellStyle name="Note 2 4 5 2 2 2" xfId="25578" xr:uid="{D0FE9421-BB6A-44A7-A0E3-B412B2EF3B76}"/>
    <cellStyle name="Note 2 4 5 2 2 3" xfId="17144" xr:uid="{CB1254C9-7120-4F1E-A7DF-0C69237D0AAB}"/>
    <cellStyle name="Note 2 4 5 2 3" xfId="21361" xr:uid="{38078533-41D1-4025-B8F1-6777BD92A57E}"/>
    <cellStyle name="Note 2 4 5 2 4" xfId="12927" xr:uid="{9760FD4A-D80B-4A7E-94F8-C8D73D25831A}"/>
    <cellStyle name="Note 2 4 5 3" xfId="6561" xr:uid="{00000000-0005-0000-0000-00002B210000}"/>
    <cellStyle name="Note 2 4 5 3 2" xfId="23433" xr:uid="{4E602740-C24A-487F-8693-C1D545B39887}"/>
    <cellStyle name="Note 2 4 5 3 3" xfId="14999" xr:uid="{CB873CBC-74CE-435D-B24D-412E9B2F1018}"/>
    <cellStyle name="Note 2 4 5 4" xfId="19216" xr:uid="{9363AC50-A04B-462E-A435-950F812415E8}"/>
    <cellStyle name="Note 2 4 5 5" xfId="10782" xr:uid="{6126DF14-2474-4740-8DD0-90EB844BB979}"/>
    <cellStyle name="Note 2 4 6" xfId="2690" xr:uid="{00000000-0005-0000-0000-00002C210000}"/>
    <cellStyle name="Note 2 4 6 2" xfId="6974" xr:uid="{00000000-0005-0000-0000-00002D210000}"/>
    <cellStyle name="Note 2 4 6 2 2" xfId="23846" xr:uid="{B3A4C15F-4260-49AA-8927-E043477E0148}"/>
    <cellStyle name="Note 2 4 6 2 3" xfId="15412" xr:uid="{1C92367D-D465-4A03-BB62-3E4F69BB9D3D}"/>
    <cellStyle name="Note 2 4 6 3" xfId="19629" xr:uid="{496F2DD2-B8B7-462D-BB22-2DB6283037A1}"/>
    <cellStyle name="Note 2 4 6 4" xfId="11195" xr:uid="{4DB05A28-5CD8-4FEE-9394-B62132D79021}"/>
    <cellStyle name="Note 2 4 7" xfId="2749" xr:uid="{00000000-0005-0000-0000-00002E210000}"/>
    <cellStyle name="Note 2 4 8" xfId="2830" xr:uid="{00000000-0005-0000-0000-00002F210000}"/>
    <cellStyle name="Note 2 4 8 2" xfId="7054" xr:uid="{00000000-0005-0000-0000-000030210000}"/>
    <cellStyle name="Note 2 4 8 2 2" xfId="23926" xr:uid="{D14DB4A3-12AE-43A2-8829-54D224B1FC3F}"/>
    <cellStyle name="Note 2 4 8 2 3" xfId="15492" xr:uid="{5C722AB8-00E7-441C-8011-B1793CCE2463}"/>
    <cellStyle name="Note 2 4 8 3" xfId="19709" xr:uid="{2B7461D2-3C65-4EFB-B5E0-A2F0CFE1AFB7}"/>
    <cellStyle name="Note 2 4 8 4" xfId="11275" xr:uid="{952E1B80-7E41-4C2A-8E45-EA74AB7738A4}"/>
    <cellStyle name="Note 2 4 9" xfId="4909" xr:uid="{00000000-0005-0000-0000-000031210000}"/>
    <cellStyle name="Note 2 4 9 2" xfId="21781" xr:uid="{FE2BF57A-F132-4AA4-AF72-795062546E76}"/>
    <cellStyle name="Note 2 4 9 3" xfId="13347" xr:uid="{87CC0C26-E186-469F-9285-07445995554D}"/>
    <cellStyle name="Note 2 5" xfId="552" xr:uid="{00000000-0005-0000-0000-000032210000}"/>
    <cellStyle name="Note 2 5 10" xfId="17565" xr:uid="{96808417-6B21-4CFA-BAC8-4AE1210795B8}"/>
    <cellStyle name="Note 2 5 11" xfId="9131" xr:uid="{746A71FD-ED02-486D-AEC6-83AA7B735DB1}"/>
    <cellStyle name="Note 2 5 2" xfId="1013" xr:uid="{00000000-0005-0000-0000-000033210000}"/>
    <cellStyle name="Note 2 5 2 2" xfId="3245" xr:uid="{00000000-0005-0000-0000-000034210000}"/>
    <cellStyle name="Note 2 5 2 2 2" xfId="7468" xr:uid="{00000000-0005-0000-0000-000035210000}"/>
    <cellStyle name="Note 2 5 2 2 2 2" xfId="24340" xr:uid="{5DA06EFA-86B5-48AA-9319-26A460FECEAD}"/>
    <cellStyle name="Note 2 5 2 2 2 3" xfId="15906" xr:uid="{47F4B2E3-7410-4FCC-BF96-0955CD1A6F62}"/>
    <cellStyle name="Note 2 5 2 2 3" xfId="20123" xr:uid="{0020673D-B7DE-40AC-9F46-F868C04B5F06}"/>
    <cellStyle name="Note 2 5 2 2 4" xfId="11689" xr:uid="{1F6D4493-4F54-455B-82E5-BE51098D43C3}"/>
    <cellStyle name="Note 2 5 2 3" xfId="5323" xr:uid="{00000000-0005-0000-0000-000036210000}"/>
    <cellStyle name="Note 2 5 2 3 2" xfId="22195" xr:uid="{693729D0-D6D5-4933-A40A-6C72256388CA}"/>
    <cellStyle name="Note 2 5 2 3 3" xfId="13761" xr:uid="{66F2DA82-74F2-4180-A92C-14EE6C884AD5}"/>
    <cellStyle name="Note 2 5 2 4" xfId="17978" xr:uid="{DD6A9F4F-9FDC-4A9B-9DFB-CDD51161B6F2}"/>
    <cellStyle name="Note 2 5 2 5" xfId="9544" xr:uid="{E6651251-3F40-4BF0-BA58-15F6F6553C44}"/>
    <cellStyle name="Note 2 5 3" xfId="1428" xr:uid="{00000000-0005-0000-0000-000037210000}"/>
    <cellStyle name="Note 2 5 3 2" xfId="3658" xr:uid="{00000000-0005-0000-0000-000038210000}"/>
    <cellStyle name="Note 2 5 3 2 2" xfId="7881" xr:uid="{00000000-0005-0000-0000-000039210000}"/>
    <cellStyle name="Note 2 5 3 2 2 2" xfId="24753" xr:uid="{0E559F97-75BE-4019-93E4-2F0C598A34C7}"/>
    <cellStyle name="Note 2 5 3 2 2 3" xfId="16319" xr:uid="{513EA46B-3B09-47CF-9682-B4776727D48B}"/>
    <cellStyle name="Note 2 5 3 2 3" xfId="20536" xr:uid="{CABCB250-4764-491B-8C53-8ACA35D03BBA}"/>
    <cellStyle name="Note 2 5 3 2 4" xfId="12102" xr:uid="{C497C551-0BAB-4A50-A4B6-690F0BF68043}"/>
    <cellStyle name="Note 2 5 3 3" xfId="5736" xr:uid="{00000000-0005-0000-0000-00003A210000}"/>
    <cellStyle name="Note 2 5 3 3 2" xfId="22608" xr:uid="{11C88352-C3ED-4D9B-8C65-C88B3B557AD6}"/>
    <cellStyle name="Note 2 5 3 3 3" xfId="14174" xr:uid="{134D42A8-F72C-435F-80DB-5A96FD1195D7}"/>
    <cellStyle name="Note 2 5 3 4" xfId="18391" xr:uid="{42C9AE61-7A01-4374-968D-7D0F561347E6}"/>
    <cellStyle name="Note 2 5 3 5" xfId="9957" xr:uid="{9D6E39E7-7FA1-4A20-B736-87E4CAC0470F}"/>
    <cellStyle name="Note 2 5 4" xfId="1842" xr:uid="{00000000-0005-0000-0000-00003B210000}"/>
    <cellStyle name="Note 2 5 4 2" xfId="4071" xr:uid="{00000000-0005-0000-0000-00003C210000}"/>
    <cellStyle name="Note 2 5 4 2 2" xfId="8294" xr:uid="{00000000-0005-0000-0000-00003D210000}"/>
    <cellStyle name="Note 2 5 4 2 2 2" xfId="25166" xr:uid="{B1A6EC32-877A-4FE5-93EE-7CE849F1DC9E}"/>
    <cellStyle name="Note 2 5 4 2 2 3" xfId="16732" xr:uid="{BA98E229-4DE2-42CB-AFBC-2A5C32921B7B}"/>
    <cellStyle name="Note 2 5 4 2 3" xfId="20949" xr:uid="{C40CC143-A5DF-4E4C-9B3E-1E6E47A96AFE}"/>
    <cellStyle name="Note 2 5 4 2 4" xfId="12515" xr:uid="{800AE53A-6BA9-485E-8B40-87844A567956}"/>
    <cellStyle name="Note 2 5 4 3" xfId="6149" xr:uid="{00000000-0005-0000-0000-00003E210000}"/>
    <cellStyle name="Note 2 5 4 3 2" xfId="23021" xr:uid="{14C6E350-6824-4088-B023-55F850E68188}"/>
    <cellStyle name="Note 2 5 4 3 3" xfId="14587" xr:uid="{FEBE41E2-4F82-4B4F-9DC8-B329785CB9D3}"/>
    <cellStyle name="Note 2 5 4 4" xfId="18804" xr:uid="{7E4AB280-26D8-4C15-A892-0C88CBFF44A6}"/>
    <cellStyle name="Note 2 5 4 5" xfId="10370" xr:uid="{4DA671EB-9CB6-4BC1-9673-CDDF77596C74}"/>
    <cellStyle name="Note 2 5 5" xfId="2255" xr:uid="{00000000-0005-0000-0000-00003F210000}"/>
    <cellStyle name="Note 2 5 5 2" xfId="4484" xr:uid="{00000000-0005-0000-0000-000040210000}"/>
    <cellStyle name="Note 2 5 5 2 2" xfId="8707" xr:uid="{00000000-0005-0000-0000-000041210000}"/>
    <cellStyle name="Note 2 5 5 2 2 2" xfId="25579" xr:uid="{A441E438-6A6E-4765-A087-4519ED9B5239}"/>
    <cellStyle name="Note 2 5 5 2 2 3" xfId="17145" xr:uid="{06224B80-BEC4-471B-876D-872A129441BA}"/>
    <cellStyle name="Note 2 5 5 2 3" xfId="21362" xr:uid="{D47B06B3-1361-4131-9843-932AAD9E5418}"/>
    <cellStyle name="Note 2 5 5 2 4" xfId="12928" xr:uid="{259F7007-4F49-41D0-ADC2-786D830F6D50}"/>
    <cellStyle name="Note 2 5 5 3" xfId="6562" xr:uid="{00000000-0005-0000-0000-000042210000}"/>
    <cellStyle name="Note 2 5 5 3 2" xfId="23434" xr:uid="{2E2D4EC4-98CD-441E-B5A4-9444AA9A4CA1}"/>
    <cellStyle name="Note 2 5 5 3 3" xfId="15000" xr:uid="{44F99D50-00AC-4F1A-AE8E-CC3C29E54C27}"/>
    <cellStyle name="Note 2 5 5 4" xfId="19217" xr:uid="{DB6F8D99-493F-47B8-92C1-6E9AA4E30730}"/>
    <cellStyle name="Note 2 5 5 5" xfId="10783" xr:uid="{88FE06C9-6D7F-4CCB-9E61-D889E7D3E259}"/>
    <cellStyle name="Note 2 5 6" xfId="2691" xr:uid="{00000000-0005-0000-0000-000043210000}"/>
    <cellStyle name="Note 2 5 6 2" xfId="6975" xr:uid="{00000000-0005-0000-0000-000044210000}"/>
    <cellStyle name="Note 2 5 6 2 2" xfId="23847" xr:uid="{02D94D22-1BEE-4872-BA3C-729A195A40D6}"/>
    <cellStyle name="Note 2 5 6 2 3" xfId="15413" xr:uid="{F07C63EF-DB3B-405C-8509-03B9584FB25B}"/>
    <cellStyle name="Note 2 5 6 3" xfId="19630" xr:uid="{55964572-4BA3-43B0-9E32-A9B00B20FA2C}"/>
    <cellStyle name="Note 2 5 6 4" xfId="11196" xr:uid="{28ABFA21-4212-4BF1-BDE2-5B153C20C92E}"/>
    <cellStyle name="Note 2 5 7" xfId="2750" xr:uid="{00000000-0005-0000-0000-000045210000}"/>
    <cellStyle name="Note 2 5 8" xfId="2831" xr:uid="{00000000-0005-0000-0000-000046210000}"/>
    <cellStyle name="Note 2 5 8 2" xfId="7055" xr:uid="{00000000-0005-0000-0000-000047210000}"/>
    <cellStyle name="Note 2 5 8 2 2" xfId="23927" xr:uid="{83D32B6B-3FC5-4E29-8DD8-E0F9EEA538F9}"/>
    <cellStyle name="Note 2 5 8 2 3" xfId="15493" xr:uid="{430CFF1A-2D7E-4A23-9783-829819677755}"/>
    <cellStyle name="Note 2 5 8 3" xfId="19710" xr:uid="{C10AEEC3-AA92-4A70-9E01-0566C979120E}"/>
    <cellStyle name="Note 2 5 8 4" xfId="11276" xr:uid="{120A5683-92FE-4853-8462-73A8C7A214D4}"/>
    <cellStyle name="Note 2 5 9" xfId="4910" xr:uid="{00000000-0005-0000-0000-000048210000}"/>
    <cellStyle name="Note 2 5 9 2" xfId="21782" xr:uid="{59384DFD-5245-4476-BA81-C5741718B118}"/>
    <cellStyle name="Note 2 5 9 3" xfId="13348" xr:uid="{13C3364F-8930-4995-88D8-9D0C1114DD3A}"/>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23928" xr:uid="{0E017DA6-7706-4413-B49F-680BF433849D}"/>
    <cellStyle name="Note 3 2 10 2 3" xfId="15494" xr:uid="{FDF9CFF8-99CE-4315-8EE5-95212AFAD95D}"/>
    <cellStyle name="Note 3 2 10 3" xfId="19711" xr:uid="{1E45CE3C-2164-487F-9253-EFDF9C92276F}"/>
    <cellStyle name="Note 3 2 10 4" xfId="11277" xr:uid="{F1653CB5-647A-407E-AC37-0CA1461679CC}"/>
    <cellStyle name="Note 3 2 11" xfId="4911" xr:uid="{00000000-0005-0000-0000-00004D210000}"/>
    <cellStyle name="Note 3 2 11 2" xfId="21783" xr:uid="{ABE52E05-97F9-4B43-A9E4-D62BF9CF61F4}"/>
    <cellStyle name="Note 3 2 11 3" xfId="13349" xr:uid="{ADB24DF6-0409-4A99-9788-41CA9E8086E6}"/>
    <cellStyle name="Note 3 2 12" xfId="17566" xr:uid="{1B28AD5C-6E97-410B-B860-1B4D1838030C}"/>
    <cellStyle name="Note 3 2 13" xfId="9132" xr:uid="{A584AABA-0BDD-40B1-8C68-03964854B914}"/>
    <cellStyle name="Note 3 2 2" xfId="555" xr:uid="{00000000-0005-0000-0000-00004E210000}"/>
    <cellStyle name="Note 3 2 2 10" xfId="4912" xr:uid="{00000000-0005-0000-0000-00004F210000}"/>
    <cellStyle name="Note 3 2 2 10 2" xfId="21784" xr:uid="{943DFF66-07D7-4C59-AB5E-DC82F4C97EDB}"/>
    <cellStyle name="Note 3 2 2 10 3" xfId="13350" xr:uid="{FD55633D-83DB-4F6C-BC92-EDF931328D76}"/>
    <cellStyle name="Note 3 2 2 11" xfId="17567" xr:uid="{7DFC8EBE-930A-42F2-AB51-FB147BF675F9}"/>
    <cellStyle name="Note 3 2 2 12" xfId="9133" xr:uid="{CDE6DAD6-8706-4801-A9CA-137E9E1C8541}"/>
    <cellStyle name="Note 3 2 2 2" xfId="556" xr:uid="{00000000-0005-0000-0000-000050210000}"/>
    <cellStyle name="Note 3 2 2 2 10" xfId="17568" xr:uid="{7E352B47-58A7-436A-9036-CF78ACCC034B}"/>
    <cellStyle name="Note 3 2 2 2 11" xfId="9134" xr:uid="{2FCF38E2-FE5F-4BEF-AD85-A1FA2554DF20}"/>
    <cellStyle name="Note 3 2 2 2 2" xfId="1016" xr:uid="{00000000-0005-0000-0000-000051210000}"/>
    <cellStyle name="Note 3 2 2 2 2 2" xfId="3248" xr:uid="{00000000-0005-0000-0000-000052210000}"/>
    <cellStyle name="Note 3 2 2 2 2 2 2" xfId="7471" xr:uid="{00000000-0005-0000-0000-000053210000}"/>
    <cellStyle name="Note 3 2 2 2 2 2 2 2" xfId="24343" xr:uid="{E9B8F32C-62D5-423A-8C5C-F2C2E7B05675}"/>
    <cellStyle name="Note 3 2 2 2 2 2 2 3" xfId="15909" xr:uid="{7631819E-985F-426B-80FA-5B64681C0B9E}"/>
    <cellStyle name="Note 3 2 2 2 2 2 3" xfId="20126" xr:uid="{B0F8C267-BB5C-4766-AEE2-B7407A58C9D9}"/>
    <cellStyle name="Note 3 2 2 2 2 2 4" xfId="11692" xr:uid="{48BD303C-3536-4B06-B746-A6D1B76DC212}"/>
    <cellStyle name="Note 3 2 2 2 2 3" xfId="5326" xr:uid="{00000000-0005-0000-0000-000054210000}"/>
    <cellStyle name="Note 3 2 2 2 2 3 2" xfId="22198" xr:uid="{A6A5EB0C-D19B-4EB7-8391-71B7F7C3E390}"/>
    <cellStyle name="Note 3 2 2 2 2 3 3" xfId="13764" xr:uid="{6CDC0971-70C8-4582-AC4C-2BBA006D32AA}"/>
    <cellStyle name="Note 3 2 2 2 2 4" xfId="17981" xr:uid="{2CD7E64F-6CE0-43BB-B80B-C3927F797194}"/>
    <cellStyle name="Note 3 2 2 2 2 5" xfId="9547" xr:uid="{3E54A85B-62C0-4C99-8742-E8454F4C4B7C}"/>
    <cellStyle name="Note 3 2 2 2 3" xfId="1431" xr:uid="{00000000-0005-0000-0000-000055210000}"/>
    <cellStyle name="Note 3 2 2 2 3 2" xfId="3661" xr:uid="{00000000-0005-0000-0000-000056210000}"/>
    <cellStyle name="Note 3 2 2 2 3 2 2" xfId="7884" xr:uid="{00000000-0005-0000-0000-000057210000}"/>
    <cellStyle name="Note 3 2 2 2 3 2 2 2" xfId="24756" xr:uid="{6D2EEF4C-C7A4-48E3-BB86-5E6B04890906}"/>
    <cellStyle name="Note 3 2 2 2 3 2 2 3" xfId="16322" xr:uid="{CA4B2E8E-DDBD-4BF3-BA33-CA3328117A17}"/>
    <cellStyle name="Note 3 2 2 2 3 2 3" xfId="20539" xr:uid="{FCF455BA-301E-4C32-9E75-4AA9C5F38703}"/>
    <cellStyle name="Note 3 2 2 2 3 2 4" xfId="12105" xr:uid="{CE04219D-4829-422D-B505-1F38F37F99A7}"/>
    <cellStyle name="Note 3 2 2 2 3 3" xfId="5739" xr:uid="{00000000-0005-0000-0000-000058210000}"/>
    <cellStyle name="Note 3 2 2 2 3 3 2" xfId="22611" xr:uid="{D889C447-39A0-4B76-A549-39D950005782}"/>
    <cellStyle name="Note 3 2 2 2 3 3 3" xfId="14177" xr:uid="{698F1C98-D487-4309-8A1C-7970F1922943}"/>
    <cellStyle name="Note 3 2 2 2 3 4" xfId="18394" xr:uid="{E0E552BA-667C-4370-A808-C3EB57D4476D}"/>
    <cellStyle name="Note 3 2 2 2 3 5" xfId="9960" xr:uid="{CF389CB3-50BD-4102-8B5F-48F224F136F6}"/>
    <cellStyle name="Note 3 2 2 2 4" xfId="1845" xr:uid="{00000000-0005-0000-0000-000059210000}"/>
    <cellStyle name="Note 3 2 2 2 4 2" xfId="4074" xr:uid="{00000000-0005-0000-0000-00005A210000}"/>
    <cellStyle name="Note 3 2 2 2 4 2 2" xfId="8297" xr:uid="{00000000-0005-0000-0000-00005B210000}"/>
    <cellStyle name="Note 3 2 2 2 4 2 2 2" xfId="25169" xr:uid="{74C07A6B-21FA-4673-8D50-8CA8B5067C6F}"/>
    <cellStyle name="Note 3 2 2 2 4 2 2 3" xfId="16735" xr:uid="{6E7EC42C-1980-406E-9C39-4504A4A9297D}"/>
    <cellStyle name="Note 3 2 2 2 4 2 3" xfId="20952" xr:uid="{1D30B250-3A21-4765-A93B-5E00ED2527FA}"/>
    <cellStyle name="Note 3 2 2 2 4 2 4" xfId="12518" xr:uid="{4B64F445-5B94-41BB-9427-90FDA7D2F9AF}"/>
    <cellStyle name="Note 3 2 2 2 4 3" xfId="6152" xr:uid="{00000000-0005-0000-0000-00005C210000}"/>
    <cellStyle name="Note 3 2 2 2 4 3 2" xfId="23024" xr:uid="{0543030B-733E-464D-82D0-6933B3E213E5}"/>
    <cellStyle name="Note 3 2 2 2 4 3 3" xfId="14590" xr:uid="{1824AF99-48E8-4725-B3F7-BA2C62E65C08}"/>
    <cellStyle name="Note 3 2 2 2 4 4" xfId="18807" xr:uid="{80DF8BBF-FD51-45F6-9B05-C0EACE6E667C}"/>
    <cellStyle name="Note 3 2 2 2 4 5" xfId="10373" xr:uid="{B104A094-81A5-414F-9FFE-EEDD9ACC71A1}"/>
    <cellStyle name="Note 3 2 2 2 5" xfId="2258" xr:uid="{00000000-0005-0000-0000-00005D210000}"/>
    <cellStyle name="Note 3 2 2 2 5 2" xfId="4487" xr:uid="{00000000-0005-0000-0000-00005E210000}"/>
    <cellStyle name="Note 3 2 2 2 5 2 2" xfId="8710" xr:uid="{00000000-0005-0000-0000-00005F210000}"/>
    <cellStyle name="Note 3 2 2 2 5 2 2 2" xfId="25582" xr:uid="{B2640E84-DDF8-4DAB-B387-5F871BB9B852}"/>
    <cellStyle name="Note 3 2 2 2 5 2 2 3" xfId="17148" xr:uid="{B777737E-2AB4-4C2C-9E07-3F0022E95C9D}"/>
    <cellStyle name="Note 3 2 2 2 5 2 3" xfId="21365" xr:uid="{936F28CB-2C77-4FE4-BBB9-DD8314AE67AD}"/>
    <cellStyle name="Note 3 2 2 2 5 2 4" xfId="12931" xr:uid="{F4FE5F6B-4712-45E0-A076-2CB944ADE93C}"/>
    <cellStyle name="Note 3 2 2 2 5 3" xfId="6565" xr:uid="{00000000-0005-0000-0000-000060210000}"/>
    <cellStyle name="Note 3 2 2 2 5 3 2" xfId="23437" xr:uid="{474A1F4E-C5BB-44A2-96E1-16322D35377F}"/>
    <cellStyle name="Note 3 2 2 2 5 3 3" xfId="15003" xr:uid="{8252FB2A-3F87-4018-BDAF-A0E06F620667}"/>
    <cellStyle name="Note 3 2 2 2 5 4" xfId="19220" xr:uid="{B62E4D9C-774A-4D9B-89DB-F82670145E5F}"/>
    <cellStyle name="Note 3 2 2 2 5 5" xfId="10786" xr:uid="{E370E886-0CB9-43E5-A63A-C176F25513B2}"/>
    <cellStyle name="Note 3 2 2 2 6" xfId="2694" xr:uid="{00000000-0005-0000-0000-000061210000}"/>
    <cellStyle name="Note 3 2 2 2 6 2" xfId="6978" xr:uid="{00000000-0005-0000-0000-000062210000}"/>
    <cellStyle name="Note 3 2 2 2 6 2 2" xfId="23850" xr:uid="{91413690-6B03-49ED-9EA8-D33B79FFE754}"/>
    <cellStyle name="Note 3 2 2 2 6 2 3" xfId="15416" xr:uid="{1E841BFD-38A6-46D6-A9D1-AEDFA285DC5A}"/>
    <cellStyle name="Note 3 2 2 2 6 3" xfId="19633" xr:uid="{34AA8DB0-2890-479A-8639-9F802596B975}"/>
    <cellStyle name="Note 3 2 2 2 6 4" xfId="11199" xr:uid="{92A5C622-9D83-483A-BAEC-802EC59643D8}"/>
    <cellStyle name="Note 3 2 2 2 7" xfId="2753" xr:uid="{00000000-0005-0000-0000-000063210000}"/>
    <cellStyle name="Note 3 2 2 2 8" xfId="2834" xr:uid="{00000000-0005-0000-0000-000064210000}"/>
    <cellStyle name="Note 3 2 2 2 8 2" xfId="7058" xr:uid="{00000000-0005-0000-0000-000065210000}"/>
    <cellStyle name="Note 3 2 2 2 8 2 2" xfId="23930" xr:uid="{07E107D3-B497-43EF-8724-E927F782580B}"/>
    <cellStyle name="Note 3 2 2 2 8 2 3" xfId="15496" xr:uid="{5731F223-C1CF-4E36-A266-0773F5AA3527}"/>
    <cellStyle name="Note 3 2 2 2 8 3" xfId="19713" xr:uid="{06DBC448-2D79-4761-B43B-F568657BE00B}"/>
    <cellStyle name="Note 3 2 2 2 8 4" xfId="11279" xr:uid="{2664AE85-5D96-4BF9-8BDC-F005663ED7D3}"/>
    <cellStyle name="Note 3 2 2 2 9" xfId="4913" xr:uid="{00000000-0005-0000-0000-000066210000}"/>
    <cellStyle name="Note 3 2 2 2 9 2" xfId="21785" xr:uid="{720C9D13-35A5-4770-8EB0-45B1119FF8A5}"/>
    <cellStyle name="Note 3 2 2 2 9 3" xfId="13351" xr:uid="{92389E26-D0E2-4A22-AAA8-56358CDBB556}"/>
    <cellStyle name="Note 3 2 2 3" xfId="1015" xr:uid="{00000000-0005-0000-0000-000067210000}"/>
    <cellStyle name="Note 3 2 2 3 2" xfId="3247" xr:uid="{00000000-0005-0000-0000-000068210000}"/>
    <cellStyle name="Note 3 2 2 3 2 2" xfId="7470" xr:uid="{00000000-0005-0000-0000-000069210000}"/>
    <cellStyle name="Note 3 2 2 3 2 2 2" xfId="24342" xr:uid="{E0B02EB9-2F1E-477B-A697-DDDF81EC59C6}"/>
    <cellStyle name="Note 3 2 2 3 2 2 3" xfId="15908" xr:uid="{42AA7E53-CBCB-45BC-BF0F-DF54A54340D0}"/>
    <cellStyle name="Note 3 2 2 3 2 3" xfId="20125" xr:uid="{9DEBF678-1EC3-438B-858B-79CECE171FF7}"/>
    <cellStyle name="Note 3 2 2 3 2 4" xfId="11691" xr:uid="{1A647B09-2ADE-4AD4-89EA-B6B73EBC03AE}"/>
    <cellStyle name="Note 3 2 2 3 3" xfId="5325" xr:uid="{00000000-0005-0000-0000-00006A210000}"/>
    <cellStyle name="Note 3 2 2 3 3 2" xfId="22197" xr:uid="{86E79C59-969A-4D67-98FB-8369E70F0202}"/>
    <cellStyle name="Note 3 2 2 3 3 3" xfId="13763" xr:uid="{BC848C36-246B-474A-91DE-F65C6D4D2F14}"/>
    <cellStyle name="Note 3 2 2 3 4" xfId="17980" xr:uid="{5BBC1200-90AE-4F41-91F2-011707B295C1}"/>
    <cellStyle name="Note 3 2 2 3 5" xfId="9546" xr:uid="{6B44C27D-A204-4E2B-8CE5-441A0F0B79EE}"/>
    <cellStyle name="Note 3 2 2 4" xfId="1430" xr:uid="{00000000-0005-0000-0000-00006B210000}"/>
    <cellStyle name="Note 3 2 2 4 2" xfId="3660" xr:uid="{00000000-0005-0000-0000-00006C210000}"/>
    <cellStyle name="Note 3 2 2 4 2 2" xfId="7883" xr:uid="{00000000-0005-0000-0000-00006D210000}"/>
    <cellStyle name="Note 3 2 2 4 2 2 2" xfId="24755" xr:uid="{DAE875F2-E83F-45E1-AAE1-62884501C542}"/>
    <cellStyle name="Note 3 2 2 4 2 2 3" xfId="16321" xr:uid="{562FEF06-D7C9-4AE6-A2E6-F8542D056B3C}"/>
    <cellStyle name="Note 3 2 2 4 2 3" xfId="20538" xr:uid="{DBF04D5C-71C5-4E5E-B4EC-085054E9733E}"/>
    <cellStyle name="Note 3 2 2 4 2 4" xfId="12104" xr:uid="{2EA137E3-8240-4A7F-AD57-B8AFBD307078}"/>
    <cellStyle name="Note 3 2 2 4 3" xfId="5738" xr:uid="{00000000-0005-0000-0000-00006E210000}"/>
    <cellStyle name="Note 3 2 2 4 3 2" xfId="22610" xr:uid="{31CAC86D-AE0B-491E-AA99-D38AB482F770}"/>
    <cellStyle name="Note 3 2 2 4 3 3" xfId="14176" xr:uid="{45F398F9-4423-4142-BFF0-AEBEABB51228}"/>
    <cellStyle name="Note 3 2 2 4 4" xfId="18393" xr:uid="{11382071-8D60-4940-B644-87B7C06C7EE9}"/>
    <cellStyle name="Note 3 2 2 4 5" xfId="9959" xr:uid="{CFEDABA6-60A6-454B-844D-4128BD7288D4}"/>
    <cellStyle name="Note 3 2 2 5" xfId="1844" xr:uid="{00000000-0005-0000-0000-00006F210000}"/>
    <cellStyle name="Note 3 2 2 5 2" xfId="4073" xr:uid="{00000000-0005-0000-0000-000070210000}"/>
    <cellStyle name="Note 3 2 2 5 2 2" xfId="8296" xr:uid="{00000000-0005-0000-0000-000071210000}"/>
    <cellStyle name="Note 3 2 2 5 2 2 2" xfId="25168" xr:uid="{07F70215-DBC4-4FFE-90BA-C2467CEC494F}"/>
    <cellStyle name="Note 3 2 2 5 2 2 3" xfId="16734" xr:uid="{DCCB7430-6DC0-4315-BD68-E8785B927A61}"/>
    <cellStyle name="Note 3 2 2 5 2 3" xfId="20951" xr:uid="{746401D4-9F1A-4430-A16C-F466DAC3B32B}"/>
    <cellStyle name="Note 3 2 2 5 2 4" xfId="12517" xr:uid="{2D298B9F-CA0A-408B-B0B4-10F73F40CD71}"/>
    <cellStyle name="Note 3 2 2 5 3" xfId="6151" xr:uid="{00000000-0005-0000-0000-000072210000}"/>
    <cellStyle name="Note 3 2 2 5 3 2" xfId="23023" xr:uid="{B67C5FBF-4CF2-4AF6-8045-A24240C2E73C}"/>
    <cellStyle name="Note 3 2 2 5 3 3" xfId="14589" xr:uid="{3A1BAAB0-3833-4BDC-9C24-690BAF241D1B}"/>
    <cellStyle name="Note 3 2 2 5 4" xfId="18806" xr:uid="{391538A4-89D5-4D1F-8C20-491CAE7DFD19}"/>
    <cellStyle name="Note 3 2 2 5 5" xfId="10372" xr:uid="{513DB693-ABEB-4034-87C3-F0FFEC5698FF}"/>
    <cellStyle name="Note 3 2 2 6" xfId="2257" xr:uid="{00000000-0005-0000-0000-000073210000}"/>
    <cellStyle name="Note 3 2 2 6 2" xfId="4486" xr:uid="{00000000-0005-0000-0000-000074210000}"/>
    <cellStyle name="Note 3 2 2 6 2 2" xfId="8709" xr:uid="{00000000-0005-0000-0000-000075210000}"/>
    <cellStyle name="Note 3 2 2 6 2 2 2" xfId="25581" xr:uid="{E6251806-D253-4F72-83CB-A9407D9C3D63}"/>
    <cellStyle name="Note 3 2 2 6 2 2 3" xfId="17147" xr:uid="{04ABADF4-EEF8-445B-B238-48509DC84FF9}"/>
    <cellStyle name="Note 3 2 2 6 2 3" xfId="21364" xr:uid="{ECCCFF46-FC30-47E8-BA29-E65F73E83424}"/>
    <cellStyle name="Note 3 2 2 6 2 4" xfId="12930" xr:uid="{86509066-58EF-4778-93CB-381B1B6259BE}"/>
    <cellStyle name="Note 3 2 2 6 3" xfId="6564" xr:uid="{00000000-0005-0000-0000-000076210000}"/>
    <cellStyle name="Note 3 2 2 6 3 2" xfId="23436" xr:uid="{277DFE5D-4B86-4957-B451-47B0C344C024}"/>
    <cellStyle name="Note 3 2 2 6 3 3" xfId="15002" xr:uid="{30A236B8-847A-47B9-93DB-16723FBAAABB}"/>
    <cellStyle name="Note 3 2 2 6 4" xfId="19219" xr:uid="{3B6064FF-6EE9-4F2E-94F4-7382355CD0FF}"/>
    <cellStyle name="Note 3 2 2 6 5" xfId="10785" xr:uid="{3F5289E3-9A68-4C42-BE90-C879687B5E4D}"/>
    <cellStyle name="Note 3 2 2 7" xfId="2693" xr:uid="{00000000-0005-0000-0000-000077210000}"/>
    <cellStyle name="Note 3 2 2 7 2" xfId="6977" xr:uid="{00000000-0005-0000-0000-000078210000}"/>
    <cellStyle name="Note 3 2 2 7 2 2" xfId="23849" xr:uid="{B8725AFA-E903-44F3-8B1E-EEDEF17D5C33}"/>
    <cellStyle name="Note 3 2 2 7 2 3" xfId="15415" xr:uid="{91A74A62-DF13-4F77-83D2-461E36A5A9F1}"/>
    <cellStyle name="Note 3 2 2 7 3" xfId="19632" xr:uid="{849F5AC7-A289-493A-B2BA-46AE02389059}"/>
    <cellStyle name="Note 3 2 2 7 4" xfId="11198" xr:uid="{35D8BBC6-7011-4592-AF43-1BE7FF011622}"/>
    <cellStyle name="Note 3 2 2 8" xfId="2752" xr:uid="{00000000-0005-0000-0000-000079210000}"/>
    <cellStyle name="Note 3 2 2 9" xfId="2833" xr:uid="{00000000-0005-0000-0000-00007A210000}"/>
    <cellStyle name="Note 3 2 2 9 2" xfId="7057" xr:uid="{00000000-0005-0000-0000-00007B210000}"/>
    <cellStyle name="Note 3 2 2 9 2 2" xfId="23929" xr:uid="{0D8394DE-782F-49EB-B5AF-9AC37F0C3AF3}"/>
    <cellStyle name="Note 3 2 2 9 2 3" xfId="15495" xr:uid="{81C1F3B3-5437-456D-A5B2-56F23FC4A55E}"/>
    <cellStyle name="Note 3 2 2 9 3" xfId="19712" xr:uid="{959B3D5A-BEE1-4A54-B6E9-DE8C06532C1F}"/>
    <cellStyle name="Note 3 2 2 9 4" xfId="11278" xr:uid="{8DEA5E7D-5AEA-4E01-83A2-AFAEAA89B7BC}"/>
    <cellStyle name="Note 3 2 3" xfId="557" xr:uid="{00000000-0005-0000-0000-00007C210000}"/>
    <cellStyle name="Note 3 2 3 10" xfId="17569" xr:uid="{E214D5C9-71DF-4827-9095-73F592B5B8F8}"/>
    <cellStyle name="Note 3 2 3 11" xfId="9135" xr:uid="{7D7BDC88-0BEE-4FD0-8C91-FC340459282B}"/>
    <cellStyle name="Note 3 2 3 2" xfId="1017" xr:uid="{00000000-0005-0000-0000-00007D210000}"/>
    <cellStyle name="Note 3 2 3 2 2" xfId="3249" xr:uid="{00000000-0005-0000-0000-00007E210000}"/>
    <cellStyle name="Note 3 2 3 2 2 2" xfId="7472" xr:uid="{00000000-0005-0000-0000-00007F210000}"/>
    <cellStyle name="Note 3 2 3 2 2 2 2" xfId="24344" xr:uid="{301EAFDE-0A55-4042-BEF4-662787BF051D}"/>
    <cellStyle name="Note 3 2 3 2 2 2 3" xfId="15910" xr:uid="{DEC38B92-163B-4F40-8BB8-04A2EAB1DC37}"/>
    <cellStyle name="Note 3 2 3 2 2 3" xfId="20127" xr:uid="{F8918B06-ED02-4096-89F9-1C98DCDC72A6}"/>
    <cellStyle name="Note 3 2 3 2 2 4" xfId="11693" xr:uid="{35D1AB6D-722A-4DFD-BCAA-2CDD7DC413CA}"/>
    <cellStyle name="Note 3 2 3 2 3" xfId="5327" xr:uid="{00000000-0005-0000-0000-000080210000}"/>
    <cellStyle name="Note 3 2 3 2 3 2" xfId="22199" xr:uid="{3274B1D6-1E6D-450A-AB4F-6D40EA302EC2}"/>
    <cellStyle name="Note 3 2 3 2 3 3" xfId="13765" xr:uid="{5CA4F6C9-574B-4C03-A7F1-1E1244FDE45E}"/>
    <cellStyle name="Note 3 2 3 2 4" xfId="17982" xr:uid="{6CC19B04-672A-4F57-9300-AF4A3791978B}"/>
    <cellStyle name="Note 3 2 3 2 5" xfId="9548" xr:uid="{87432909-2B6B-4C1F-B67B-E77D05A28C66}"/>
    <cellStyle name="Note 3 2 3 3" xfId="1432" xr:uid="{00000000-0005-0000-0000-000081210000}"/>
    <cellStyle name="Note 3 2 3 3 2" xfId="3662" xr:uid="{00000000-0005-0000-0000-000082210000}"/>
    <cellStyle name="Note 3 2 3 3 2 2" xfId="7885" xr:uid="{00000000-0005-0000-0000-000083210000}"/>
    <cellStyle name="Note 3 2 3 3 2 2 2" xfId="24757" xr:uid="{1019E622-F8D6-47BF-91B7-48C6E637C3B6}"/>
    <cellStyle name="Note 3 2 3 3 2 2 3" xfId="16323" xr:uid="{A7AB04DE-4EF9-48B4-98E2-C88CF0636D9B}"/>
    <cellStyle name="Note 3 2 3 3 2 3" xfId="20540" xr:uid="{D0DAACF5-1766-4705-AEF0-F5B1712AED24}"/>
    <cellStyle name="Note 3 2 3 3 2 4" xfId="12106" xr:uid="{1D363EA5-0237-4FC2-8736-FAD3210CF932}"/>
    <cellStyle name="Note 3 2 3 3 3" xfId="5740" xr:uid="{00000000-0005-0000-0000-000084210000}"/>
    <cellStyle name="Note 3 2 3 3 3 2" xfId="22612" xr:uid="{94AC26A6-6142-412B-AF00-703D4179E8C7}"/>
    <cellStyle name="Note 3 2 3 3 3 3" xfId="14178" xr:uid="{88163C29-482E-4CC5-8243-95C293413192}"/>
    <cellStyle name="Note 3 2 3 3 4" xfId="18395" xr:uid="{0B0246BD-3ACC-4E8C-8EAF-301BB9078525}"/>
    <cellStyle name="Note 3 2 3 3 5" xfId="9961" xr:uid="{50C087B4-35B5-4039-8DED-B8FADB03E8F5}"/>
    <cellStyle name="Note 3 2 3 4" xfId="1846" xr:uid="{00000000-0005-0000-0000-000085210000}"/>
    <cellStyle name="Note 3 2 3 4 2" xfId="4075" xr:uid="{00000000-0005-0000-0000-000086210000}"/>
    <cellStyle name="Note 3 2 3 4 2 2" xfId="8298" xr:uid="{00000000-0005-0000-0000-000087210000}"/>
    <cellStyle name="Note 3 2 3 4 2 2 2" xfId="25170" xr:uid="{90790B39-E225-494B-BABC-DD49EB13906F}"/>
    <cellStyle name="Note 3 2 3 4 2 2 3" xfId="16736" xr:uid="{D5B4ADDE-C072-4E7A-823A-135FA16AA3E7}"/>
    <cellStyle name="Note 3 2 3 4 2 3" xfId="20953" xr:uid="{A9800C76-3317-4757-BC95-B432A159771A}"/>
    <cellStyle name="Note 3 2 3 4 2 4" xfId="12519" xr:uid="{5BA74916-E859-4489-B32C-F4AC8A56FE79}"/>
    <cellStyle name="Note 3 2 3 4 3" xfId="6153" xr:uid="{00000000-0005-0000-0000-000088210000}"/>
    <cellStyle name="Note 3 2 3 4 3 2" xfId="23025" xr:uid="{D296347F-D51E-4890-BA7C-1CBF5AAF2CD9}"/>
    <cellStyle name="Note 3 2 3 4 3 3" xfId="14591" xr:uid="{3FB170AB-B0AF-4D82-978D-2FA947E83A3D}"/>
    <cellStyle name="Note 3 2 3 4 4" xfId="18808" xr:uid="{BC9A20A2-AAB3-4054-B8DE-122C9A6B1B1B}"/>
    <cellStyle name="Note 3 2 3 4 5" xfId="10374" xr:uid="{8EE02FE7-693A-4428-A014-F174815BE64E}"/>
    <cellStyle name="Note 3 2 3 5" xfId="2259" xr:uid="{00000000-0005-0000-0000-000089210000}"/>
    <cellStyle name="Note 3 2 3 5 2" xfId="4488" xr:uid="{00000000-0005-0000-0000-00008A210000}"/>
    <cellStyle name="Note 3 2 3 5 2 2" xfId="8711" xr:uid="{00000000-0005-0000-0000-00008B210000}"/>
    <cellStyle name="Note 3 2 3 5 2 2 2" xfId="25583" xr:uid="{F046B9F6-A781-4A67-A6DA-8C040EF94B4C}"/>
    <cellStyle name="Note 3 2 3 5 2 2 3" xfId="17149" xr:uid="{2CC944DC-F7E8-45FC-849F-7C9A25B10D32}"/>
    <cellStyle name="Note 3 2 3 5 2 3" xfId="21366" xr:uid="{AD23773A-F33E-41DB-9CA5-85282FD7352C}"/>
    <cellStyle name="Note 3 2 3 5 2 4" xfId="12932" xr:uid="{8C9C705D-602A-47C2-9B53-CE4ED057AF72}"/>
    <cellStyle name="Note 3 2 3 5 3" xfId="6566" xr:uid="{00000000-0005-0000-0000-00008C210000}"/>
    <cellStyle name="Note 3 2 3 5 3 2" xfId="23438" xr:uid="{73C6F178-EFC0-40E7-9E18-9C570A89197E}"/>
    <cellStyle name="Note 3 2 3 5 3 3" xfId="15004" xr:uid="{9AB46A61-CC89-411F-880F-4203E0ABA124}"/>
    <cellStyle name="Note 3 2 3 5 4" xfId="19221" xr:uid="{610ED3C5-32B4-432D-90E3-7C159B64DE12}"/>
    <cellStyle name="Note 3 2 3 5 5" xfId="10787" xr:uid="{A8733D27-EAAD-4929-88AD-052036FDA04A}"/>
    <cellStyle name="Note 3 2 3 6" xfId="2695" xr:uid="{00000000-0005-0000-0000-00008D210000}"/>
    <cellStyle name="Note 3 2 3 6 2" xfId="6979" xr:uid="{00000000-0005-0000-0000-00008E210000}"/>
    <cellStyle name="Note 3 2 3 6 2 2" xfId="23851" xr:uid="{EF4D8B34-352B-497D-A2D0-5A7C36B8DF19}"/>
    <cellStyle name="Note 3 2 3 6 2 3" xfId="15417" xr:uid="{D36D213C-7300-40DB-9247-6F73DDF5C77D}"/>
    <cellStyle name="Note 3 2 3 6 3" xfId="19634" xr:uid="{5ED0C2AE-B5B3-445D-A270-985006728EBC}"/>
    <cellStyle name="Note 3 2 3 6 4" xfId="11200" xr:uid="{87F77534-CB26-417C-A2AD-2B9400F56D94}"/>
    <cellStyle name="Note 3 2 3 7" xfId="2754" xr:uid="{00000000-0005-0000-0000-00008F210000}"/>
    <cellStyle name="Note 3 2 3 8" xfId="2835" xr:uid="{00000000-0005-0000-0000-000090210000}"/>
    <cellStyle name="Note 3 2 3 8 2" xfId="7059" xr:uid="{00000000-0005-0000-0000-000091210000}"/>
    <cellStyle name="Note 3 2 3 8 2 2" xfId="23931" xr:uid="{53EE3ECE-7702-473D-BAD6-CBD3341FDBD5}"/>
    <cellStyle name="Note 3 2 3 8 2 3" xfId="15497" xr:uid="{06FB3589-62A0-45F4-9F2D-9A09E7198BD6}"/>
    <cellStyle name="Note 3 2 3 8 3" xfId="19714" xr:uid="{94881B85-5D23-48F9-913F-D37B8DF4A572}"/>
    <cellStyle name="Note 3 2 3 8 4" xfId="11280" xr:uid="{85AF79A1-594D-4BF7-846E-8F1FF39A2DBB}"/>
    <cellStyle name="Note 3 2 3 9" xfId="4914" xr:uid="{00000000-0005-0000-0000-000092210000}"/>
    <cellStyle name="Note 3 2 3 9 2" xfId="21786" xr:uid="{4DA03A5E-CFBB-4D7F-8382-D23BFD7829A0}"/>
    <cellStyle name="Note 3 2 3 9 3" xfId="13352" xr:uid="{E71FBFD8-6D2C-4D64-8DB7-B98461C5A70E}"/>
    <cellStyle name="Note 3 2 4" xfId="1014" xr:uid="{00000000-0005-0000-0000-000093210000}"/>
    <cellStyle name="Note 3 2 4 2" xfId="3246" xr:uid="{00000000-0005-0000-0000-000094210000}"/>
    <cellStyle name="Note 3 2 4 2 2" xfId="7469" xr:uid="{00000000-0005-0000-0000-000095210000}"/>
    <cellStyle name="Note 3 2 4 2 2 2" xfId="24341" xr:uid="{C479691E-2AE6-4650-8157-4BD8FC317954}"/>
    <cellStyle name="Note 3 2 4 2 2 3" xfId="15907" xr:uid="{40F5D1DD-324E-4EBD-9541-27D76F1FA45E}"/>
    <cellStyle name="Note 3 2 4 2 3" xfId="20124" xr:uid="{958C6BAA-6C3E-4E32-BEE6-4D445D95062D}"/>
    <cellStyle name="Note 3 2 4 2 4" xfId="11690" xr:uid="{BDC81CA3-AE2F-4C8D-9AFD-BAABD2B5C237}"/>
    <cellStyle name="Note 3 2 4 3" xfId="5324" xr:uid="{00000000-0005-0000-0000-000096210000}"/>
    <cellStyle name="Note 3 2 4 3 2" xfId="22196" xr:uid="{9F094D13-C54D-42FE-AE61-DE9AE8E8AFCC}"/>
    <cellStyle name="Note 3 2 4 3 3" xfId="13762" xr:uid="{9071F690-49C0-42D9-B66C-F0F631FCAB82}"/>
    <cellStyle name="Note 3 2 4 4" xfId="17979" xr:uid="{FB67C5DA-E564-458F-85F1-65CFF7029F77}"/>
    <cellStyle name="Note 3 2 4 5" xfId="9545" xr:uid="{7DCCA197-AACD-4658-AC24-FD4CABACC684}"/>
    <cellStyle name="Note 3 2 5" xfId="1429" xr:uid="{00000000-0005-0000-0000-000097210000}"/>
    <cellStyle name="Note 3 2 5 2" xfId="3659" xr:uid="{00000000-0005-0000-0000-000098210000}"/>
    <cellStyle name="Note 3 2 5 2 2" xfId="7882" xr:uid="{00000000-0005-0000-0000-000099210000}"/>
    <cellStyle name="Note 3 2 5 2 2 2" xfId="24754" xr:uid="{CD30BC5B-B292-44A3-A96E-65676B99EEBC}"/>
    <cellStyle name="Note 3 2 5 2 2 3" xfId="16320" xr:uid="{CE9DC5C7-36C5-4F1E-819F-F0FC77FDBFA7}"/>
    <cellStyle name="Note 3 2 5 2 3" xfId="20537" xr:uid="{0F5477E6-F25D-40C7-8CB5-2BCB99D133BD}"/>
    <cellStyle name="Note 3 2 5 2 4" xfId="12103" xr:uid="{A8A0491B-5A56-4953-881C-2CE97DE32C46}"/>
    <cellStyle name="Note 3 2 5 3" xfId="5737" xr:uid="{00000000-0005-0000-0000-00009A210000}"/>
    <cellStyle name="Note 3 2 5 3 2" xfId="22609" xr:uid="{419A9004-129D-4AAB-9BEF-E0EFDCCF5114}"/>
    <cellStyle name="Note 3 2 5 3 3" xfId="14175" xr:uid="{913D7BCA-C0B5-46D5-BA05-522C892C1478}"/>
    <cellStyle name="Note 3 2 5 4" xfId="18392" xr:uid="{CC1EFA0C-38E4-4591-99E2-57F4379D8206}"/>
    <cellStyle name="Note 3 2 5 5" xfId="9958" xr:uid="{E84EDE95-9783-41CC-8DF3-1E3A807CA8D2}"/>
    <cellStyle name="Note 3 2 6" xfId="1843" xr:uid="{00000000-0005-0000-0000-00009B210000}"/>
    <cellStyle name="Note 3 2 6 2" xfId="4072" xr:uid="{00000000-0005-0000-0000-00009C210000}"/>
    <cellStyle name="Note 3 2 6 2 2" xfId="8295" xr:uid="{00000000-0005-0000-0000-00009D210000}"/>
    <cellStyle name="Note 3 2 6 2 2 2" xfId="25167" xr:uid="{640B190D-C4F1-4E74-9BB3-FCE7EF5383A6}"/>
    <cellStyle name="Note 3 2 6 2 2 3" xfId="16733" xr:uid="{996365D6-926C-4E5B-942F-82DAE18F96B0}"/>
    <cellStyle name="Note 3 2 6 2 3" xfId="20950" xr:uid="{6ECEE46D-61F4-4921-B206-ED592C4ABB26}"/>
    <cellStyle name="Note 3 2 6 2 4" xfId="12516" xr:uid="{3E4509D8-4956-4FC2-A540-254329E65564}"/>
    <cellStyle name="Note 3 2 6 3" xfId="6150" xr:uid="{00000000-0005-0000-0000-00009E210000}"/>
    <cellStyle name="Note 3 2 6 3 2" xfId="23022" xr:uid="{78DB60A0-1513-4221-A175-D599A8E1D03E}"/>
    <cellStyle name="Note 3 2 6 3 3" xfId="14588" xr:uid="{22D1673E-4930-4815-BC62-48C048689390}"/>
    <cellStyle name="Note 3 2 6 4" xfId="18805" xr:uid="{EBC2BA70-DF02-4280-86CD-BB33D29C9E5E}"/>
    <cellStyle name="Note 3 2 6 5" xfId="10371" xr:uid="{6BE53685-DED7-47A1-987E-113EBC10AF14}"/>
    <cellStyle name="Note 3 2 7" xfId="2256" xr:uid="{00000000-0005-0000-0000-00009F210000}"/>
    <cellStyle name="Note 3 2 7 2" xfId="4485" xr:uid="{00000000-0005-0000-0000-0000A0210000}"/>
    <cellStyle name="Note 3 2 7 2 2" xfId="8708" xr:uid="{00000000-0005-0000-0000-0000A1210000}"/>
    <cellStyle name="Note 3 2 7 2 2 2" xfId="25580" xr:uid="{39B90788-93F5-4020-9784-EF2DCA4DA641}"/>
    <cellStyle name="Note 3 2 7 2 2 3" xfId="17146" xr:uid="{9FBFC470-04EC-43E4-AE21-BF49444F26EF}"/>
    <cellStyle name="Note 3 2 7 2 3" xfId="21363" xr:uid="{7D47D6A4-E378-43E5-9AED-26BB7A05989C}"/>
    <cellStyle name="Note 3 2 7 2 4" xfId="12929" xr:uid="{76639256-C180-40C1-BA62-0261C09FEDFE}"/>
    <cellStyle name="Note 3 2 7 3" xfId="6563" xr:uid="{00000000-0005-0000-0000-0000A2210000}"/>
    <cellStyle name="Note 3 2 7 3 2" xfId="23435" xr:uid="{8B82BC13-8A14-492B-AAA3-EC1636D983D3}"/>
    <cellStyle name="Note 3 2 7 3 3" xfId="15001" xr:uid="{5EF3B943-4074-48B9-8DC6-1867F9D518B8}"/>
    <cellStyle name="Note 3 2 7 4" xfId="19218" xr:uid="{6EB4E345-4CD3-4D61-ABB4-954C71910390}"/>
    <cellStyle name="Note 3 2 7 5" xfId="10784" xr:uid="{38A3100C-3D43-4DC6-80FB-7906F1A43282}"/>
    <cellStyle name="Note 3 2 8" xfId="2692" xr:uid="{00000000-0005-0000-0000-0000A3210000}"/>
    <cellStyle name="Note 3 2 8 2" xfId="6976" xr:uid="{00000000-0005-0000-0000-0000A4210000}"/>
    <cellStyle name="Note 3 2 8 2 2" xfId="23848" xr:uid="{F936BCAD-8DB1-49B2-92BD-DE5C184604AC}"/>
    <cellStyle name="Note 3 2 8 2 3" xfId="15414" xr:uid="{1093DA29-B428-4733-A201-EC010662F133}"/>
    <cellStyle name="Note 3 2 8 3" xfId="19631" xr:uid="{093FF45E-46A9-450A-BDC4-FE42370062DE}"/>
    <cellStyle name="Note 3 2 8 4" xfId="11197" xr:uid="{F4935302-38A8-43A3-AB1B-638D8CEFA759}"/>
    <cellStyle name="Note 3 2 9" xfId="2751" xr:uid="{00000000-0005-0000-0000-0000A5210000}"/>
    <cellStyle name="Note 3 3" xfId="558" xr:uid="{00000000-0005-0000-0000-0000A6210000}"/>
    <cellStyle name="Note 3 3 10" xfId="4915" xr:uid="{00000000-0005-0000-0000-0000A7210000}"/>
    <cellStyle name="Note 3 3 10 2" xfId="21787" xr:uid="{3AE68674-10F8-4905-84F8-9E486A9DACF4}"/>
    <cellStyle name="Note 3 3 10 3" xfId="13353" xr:uid="{2BF78541-9F4F-424A-815C-BA4FD01D24A0}"/>
    <cellStyle name="Note 3 3 11" xfId="17570" xr:uid="{CC5703AA-F764-4CC4-BE01-D4A6A2F7AA20}"/>
    <cellStyle name="Note 3 3 12" xfId="9136" xr:uid="{B1547B84-E6AF-487B-B731-475352BE4375}"/>
    <cellStyle name="Note 3 3 2" xfId="559" xr:uid="{00000000-0005-0000-0000-0000A8210000}"/>
    <cellStyle name="Note 3 3 2 10" xfId="17571" xr:uid="{2684CD52-85BE-4FA0-8EDD-95623E171C74}"/>
    <cellStyle name="Note 3 3 2 11" xfId="9137" xr:uid="{4E7D5D94-2298-4A5E-A1EE-FDB0EC6C7F9A}"/>
    <cellStyle name="Note 3 3 2 2" xfId="1019" xr:uid="{00000000-0005-0000-0000-0000A9210000}"/>
    <cellStyle name="Note 3 3 2 2 2" xfId="3251" xr:uid="{00000000-0005-0000-0000-0000AA210000}"/>
    <cellStyle name="Note 3 3 2 2 2 2" xfId="7474" xr:uid="{00000000-0005-0000-0000-0000AB210000}"/>
    <cellStyle name="Note 3 3 2 2 2 2 2" xfId="24346" xr:uid="{457AE6BA-5CB4-4396-94FA-C4E2DE17A3E0}"/>
    <cellStyle name="Note 3 3 2 2 2 2 3" xfId="15912" xr:uid="{79657BF2-52CB-4FF1-B646-F296D64E4238}"/>
    <cellStyle name="Note 3 3 2 2 2 3" xfId="20129" xr:uid="{AB3F0B3E-7D97-48AD-9730-5FEA60ED0576}"/>
    <cellStyle name="Note 3 3 2 2 2 4" xfId="11695" xr:uid="{AB8BFC31-4BAF-48BB-85AA-A5037A424444}"/>
    <cellStyle name="Note 3 3 2 2 3" xfId="5329" xr:uid="{00000000-0005-0000-0000-0000AC210000}"/>
    <cellStyle name="Note 3 3 2 2 3 2" xfId="22201" xr:uid="{FF4DA4FB-90BC-49A9-9BD2-8D4C6ED621BA}"/>
    <cellStyle name="Note 3 3 2 2 3 3" xfId="13767" xr:uid="{F98F7BDA-8D4B-47FA-8495-DFFE0D2F21DA}"/>
    <cellStyle name="Note 3 3 2 2 4" xfId="17984" xr:uid="{54375333-7F63-4582-BFF5-E63C8BEB20D1}"/>
    <cellStyle name="Note 3 3 2 2 5" xfId="9550" xr:uid="{C520FCEA-EE6E-4CB4-A25D-DB68C6E87B0C}"/>
    <cellStyle name="Note 3 3 2 3" xfId="1434" xr:uid="{00000000-0005-0000-0000-0000AD210000}"/>
    <cellStyle name="Note 3 3 2 3 2" xfId="3664" xr:uid="{00000000-0005-0000-0000-0000AE210000}"/>
    <cellStyle name="Note 3 3 2 3 2 2" xfId="7887" xr:uid="{00000000-0005-0000-0000-0000AF210000}"/>
    <cellStyle name="Note 3 3 2 3 2 2 2" xfId="24759" xr:uid="{C3C9E844-0660-4860-B8E2-3266940153AB}"/>
    <cellStyle name="Note 3 3 2 3 2 2 3" xfId="16325" xr:uid="{3B4D02C3-0129-4169-9699-BD4701411FE4}"/>
    <cellStyle name="Note 3 3 2 3 2 3" xfId="20542" xr:uid="{502865BC-E7CD-433C-95DB-BFB2C82F2BC7}"/>
    <cellStyle name="Note 3 3 2 3 2 4" xfId="12108" xr:uid="{A5788499-A655-444A-B634-04DF5C0F38A5}"/>
    <cellStyle name="Note 3 3 2 3 3" xfId="5742" xr:uid="{00000000-0005-0000-0000-0000B0210000}"/>
    <cellStyle name="Note 3 3 2 3 3 2" xfId="22614" xr:uid="{F7FD2804-3DA5-40FC-B93A-DC348F68EA0F}"/>
    <cellStyle name="Note 3 3 2 3 3 3" xfId="14180" xr:uid="{7CC57957-184B-4423-B8AF-14747362F70A}"/>
    <cellStyle name="Note 3 3 2 3 4" xfId="18397" xr:uid="{03839B8A-D819-493A-89FD-1C80961C0E2D}"/>
    <cellStyle name="Note 3 3 2 3 5" xfId="9963" xr:uid="{9CE6BAFB-80BF-4C18-834C-0D67B8FBB72B}"/>
    <cellStyle name="Note 3 3 2 4" xfId="1848" xr:uid="{00000000-0005-0000-0000-0000B1210000}"/>
    <cellStyle name="Note 3 3 2 4 2" xfId="4077" xr:uid="{00000000-0005-0000-0000-0000B2210000}"/>
    <cellStyle name="Note 3 3 2 4 2 2" xfId="8300" xr:uid="{00000000-0005-0000-0000-0000B3210000}"/>
    <cellStyle name="Note 3 3 2 4 2 2 2" xfId="25172" xr:uid="{6BB7C5D8-DF82-4CCC-B855-D18E60D4EEE4}"/>
    <cellStyle name="Note 3 3 2 4 2 2 3" xfId="16738" xr:uid="{4B7842C1-5074-45D2-A5A8-EAC76402263A}"/>
    <cellStyle name="Note 3 3 2 4 2 3" xfId="20955" xr:uid="{FA9BE7D2-9B59-4F42-B153-39917262792B}"/>
    <cellStyle name="Note 3 3 2 4 2 4" xfId="12521" xr:uid="{926D2CC4-D1C3-496E-A73E-4D544CBFAE75}"/>
    <cellStyle name="Note 3 3 2 4 3" xfId="6155" xr:uid="{00000000-0005-0000-0000-0000B4210000}"/>
    <cellStyle name="Note 3 3 2 4 3 2" xfId="23027" xr:uid="{295DB92B-7EAB-43A8-A8A3-94BCDB83822C}"/>
    <cellStyle name="Note 3 3 2 4 3 3" xfId="14593" xr:uid="{20CE38C1-7A81-4B4F-BF0B-FB784165948B}"/>
    <cellStyle name="Note 3 3 2 4 4" xfId="18810" xr:uid="{BD241456-2C29-4514-B543-03096CA9861C}"/>
    <cellStyle name="Note 3 3 2 4 5" xfId="10376" xr:uid="{EEB9BE32-9EEE-48FA-8E70-192004E1C37D}"/>
    <cellStyle name="Note 3 3 2 5" xfId="2261" xr:uid="{00000000-0005-0000-0000-0000B5210000}"/>
    <cellStyle name="Note 3 3 2 5 2" xfId="4490" xr:uid="{00000000-0005-0000-0000-0000B6210000}"/>
    <cellStyle name="Note 3 3 2 5 2 2" xfId="8713" xr:uid="{00000000-0005-0000-0000-0000B7210000}"/>
    <cellStyle name="Note 3 3 2 5 2 2 2" xfId="25585" xr:uid="{24144AE7-896C-4E39-9712-4B02F3DE14A4}"/>
    <cellStyle name="Note 3 3 2 5 2 2 3" xfId="17151" xr:uid="{93D52D3F-6B67-47A9-B581-6280992698E8}"/>
    <cellStyle name="Note 3 3 2 5 2 3" xfId="21368" xr:uid="{DCDF6D54-DDF2-4CDC-AE12-3925D0378B95}"/>
    <cellStyle name="Note 3 3 2 5 2 4" xfId="12934" xr:uid="{0FD7D5C7-589A-4070-A8BB-A469A5B4B9AB}"/>
    <cellStyle name="Note 3 3 2 5 3" xfId="6568" xr:uid="{00000000-0005-0000-0000-0000B8210000}"/>
    <cellStyle name="Note 3 3 2 5 3 2" xfId="23440" xr:uid="{7EAC4846-A748-4FB5-BCB9-7A3965C54F9D}"/>
    <cellStyle name="Note 3 3 2 5 3 3" xfId="15006" xr:uid="{25CFFB39-7502-423B-9CAA-49B9F9953BCB}"/>
    <cellStyle name="Note 3 3 2 5 4" xfId="19223" xr:uid="{51408FF5-8574-4B4F-BD02-5871179E2B37}"/>
    <cellStyle name="Note 3 3 2 5 5" xfId="10789" xr:uid="{5F1D35BE-03E0-445B-99D2-489361CCD6AE}"/>
    <cellStyle name="Note 3 3 2 6" xfId="2697" xr:uid="{00000000-0005-0000-0000-0000B9210000}"/>
    <cellStyle name="Note 3 3 2 6 2" xfId="6981" xr:uid="{00000000-0005-0000-0000-0000BA210000}"/>
    <cellStyle name="Note 3 3 2 6 2 2" xfId="23853" xr:uid="{0B5FC63B-0085-4AC6-8BD2-9D8C33FBC76B}"/>
    <cellStyle name="Note 3 3 2 6 2 3" xfId="15419" xr:uid="{AB3CCDF6-BFAB-47BA-B8B9-94DFCD9E66C3}"/>
    <cellStyle name="Note 3 3 2 6 3" xfId="19636" xr:uid="{CCC95B24-3BA4-4929-99A3-292D06740705}"/>
    <cellStyle name="Note 3 3 2 6 4" xfId="11202" xr:uid="{D89AD135-997D-4BAF-A0FD-A4EDBFF25CE4}"/>
    <cellStyle name="Note 3 3 2 7" xfId="2756" xr:uid="{00000000-0005-0000-0000-0000BB210000}"/>
    <cellStyle name="Note 3 3 2 8" xfId="2837" xr:uid="{00000000-0005-0000-0000-0000BC210000}"/>
    <cellStyle name="Note 3 3 2 8 2" xfId="7061" xr:uid="{00000000-0005-0000-0000-0000BD210000}"/>
    <cellStyle name="Note 3 3 2 8 2 2" xfId="23933" xr:uid="{E9D23730-87BA-41A6-88A2-8CDB1E236FAB}"/>
    <cellStyle name="Note 3 3 2 8 2 3" xfId="15499" xr:uid="{1E0085F1-F39C-4AE8-92E2-41029F8A56A4}"/>
    <cellStyle name="Note 3 3 2 8 3" xfId="19716" xr:uid="{65CAB803-0FF8-4E88-816A-B91A0B1378FC}"/>
    <cellStyle name="Note 3 3 2 8 4" xfId="11282" xr:uid="{18BBF654-0A18-45AA-B7D0-DC5841ED607F}"/>
    <cellStyle name="Note 3 3 2 9" xfId="4916" xr:uid="{00000000-0005-0000-0000-0000BE210000}"/>
    <cellStyle name="Note 3 3 2 9 2" xfId="21788" xr:uid="{CA3D4B8C-EA9D-4BD9-9C46-3A2403416B60}"/>
    <cellStyle name="Note 3 3 2 9 3" xfId="13354" xr:uid="{1863644E-5344-4AEE-B5B4-E05089025ADC}"/>
    <cellStyle name="Note 3 3 3" xfId="1018" xr:uid="{00000000-0005-0000-0000-0000BF210000}"/>
    <cellStyle name="Note 3 3 3 2" xfId="3250" xr:uid="{00000000-0005-0000-0000-0000C0210000}"/>
    <cellStyle name="Note 3 3 3 2 2" xfId="7473" xr:uid="{00000000-0005-0000-0000-0000C1210000}"/>
    <cellStyle name="Note 3 3 3 2 2 2" xfId="24345" xr:uid="{7D4E4A01-D260-4BB2-9E2A-80DF473D67A2}"/>
    <cellStyle name="Note 3 3 3 2 2 3" xfId="15911" xr:uid="{45FCE2FD-23D6-400B-903F-71D8569FFDFC}"/>
    <cellStyle name="Note 3 3 3 2 3" xfId="20128" xr:uid="{4DB16AD8-2FF3-4FC1-8784-14AE59A122FF}"/>
    <cellStyle name="Note 3 3 3 2 4" xfId="11694" xr:uid="{4CB2351E-1100-4C51-81AC-CE3E0AA0FE5F}"/>
    <cellStyle name="Note 3 3 3 3" xfId="5328" xr:uid="{00000000-0005-0000-0000-0000C2210000}"/>
    <cellStyle name="Note 3 3 3 3 2" xfId="22200" xr:uid="{EC291BFF-A904-4EC0-B5FD-69E82F54F78B}"/>
    <cellStyle name="Note 3 3 3 3 3" xfId="13766" xr:uid="{6B19A0E7-FB16-494C-A24E-4D7F18A60784}"/>
    <cellStyle name="Note 3 3 3 4" xfId="17983" xr:uid="{6809CCD3-25A3-4E3A-A144-4CD900B64517}"/>
    <cellStyle name="Note 3 3 3 5" xfId="9549" xr:uid="{6F84FA36-5F53-4FA0-AE73-21F6D89EE7E2}"/>
    <cellStyle name="Note 3 3 4" xfId="1433" xr:uid="{00000000-0005-0000-0000-0000C3210000}"/>
    <cellStyle name="Note 3 3 4 2" xfId="3663" xr:uid="{00000000-0005-0000-0000-0000C4210000}"/>
    <cellStyle name="Note 3 3 4 2 2" xfId="7886" xr:uid="{00000000-0005-0000-0000-0000C5210000}"/>
    <cellStyle name="Note 3 3 4 2 2 2" xfId="24758" xr:uid="{1BC51E8E-0750-4F7A-AC0C-98A82F8BDAEA}"/>
    <cellStyle name="Note 3 3 4 2 2 3" xfId="16324" xr:uid="{B967594D-5EF5-41E8-A198-74BAB9D11C5F}"/>
    <cellStyle name="Note 3 3 4 2 3" xfId="20541" xr:uid="{C6C12956-F047-4319-B571-3C730D4E2D5B}"/>
    <cellStyle name="Note 3 3 4 2 4" xfId="12107" xr:uid="{8326E184-80B7-4D2F-9C35-9EDF4E9A58AE}"/>
    <cellStyle name="Note 3 3 4 3" xfId="5741" xr:uid="{00000000-0005-0000-0000-0000C6210000}"/>
    <cellStyle name="Note 3 3 4 3 2" xfId="22613" xr:uid="{1F496812-BC61-432D-AE14-A32269F1B92E}"/>
    <cellStyle name="Note 3 3 4 3 3" xfId="14179" xr:uid="{FA37CCBA-9E17-49FE-B60A-6BF479A30BE6}"/>
    <cellStyle name="Note 3 3 4 4" xfId="18396" xr:uid="{30CFB806-2E67-4865-8A9B-1EDCA89747DB}"/>
    <cellStyle name="Note 3 3 4 5" xfId="9962" xr:uid="{DE4A0F3F-E779-4A57-A5C1-2429F0DEAC25}"/>
    <cellStyle name="Note 3 3 5" xfId="1847" xr:uid="{00000000-0005-0000-0000-0000C7210000}"/>
    <cellStyle name="Note 3 3 5 2" xfId="4076" xr:uid="{00000000-0005-0000-0000-0000C8210000}"/>
    <cellStyle name="Note 3 3 5 2 2" xfId="8299" xr:uid="{00000000-0005-0000-0000-0000C9210000}"/>
    <cellStyle name="Note 3 3 5 2 2 2" xfId="25171" xr:uid="{47A51197-FF54-423B-BEB3-5538DF58DEFD}"/>
    <cellStyle name="Note 3 3 5 2 2 3" xfId="16737" xr:uid="{AB1CDFC8-62BB-43BD-BD43-442D0916A62D}"/>
    <cellStyle name="Note 3 3 5 2 3" xfId="20954" xr:uid="{1CC05BA8-7467-429D-A8BF-F0C23186FA2B}"/>
    <cellStyle name="Note 3 3 5 2 4" xfId="12520" xr:uid="{B3792B8B-F5DC-4C1F-9502-052483DFE928}"/>
    <cellStyle name="Note 3 3 5 3" xfId="6154" xr:uid="{00000000-0005-0000-0000-0000CA210000}"/>
    <cellStyle name="Note 3 3 5 3 2" xfId="23026" xr:uid="{4CC8E977-37FA-4C71-9130-DC6EE0F6516B}"/>
    <cellStyle name="Note 3 3 5 3 3" xfId="14592" xr:uid="{8B776E41-CBCF-4A07-AFE2-C618876F0341}"/>
    <cellStyle name="Note 3 3 5 4" xfId="18809" xr:uid="{C4071955-6911-4DB7-9008-96CEDFF4F355}"/>
    <cellStyle name="Note 3 3 5 5" xfId="10375" xr:uid="{43FCE990-A1D4-4ADB-BF62-1D5E96C420AE}"/>
    <cellStyle name="Note 3 3 6" xfId="2260" xr:uid="{00000000-0005-0000-0000-0000CB210000}"/>
    <cellStyle name="Note 3 3 6 2" xfId="4489" xr:uid="{00000000-0005-0000-0000-0000CC210000}"/>
    <cellStyle name="Note 3 3 6 2 2" xfId="8712" xr:uid="{00000000-0005-0000-0000-0000CD210000}"/>
    <cellStyle name="Note 3 3 6 2 2 2" xfId="25584" xr:uid="{6EFFCCE2-63FC-4CEA-94A3-F1909D3F2749}"/>
    <cellStyle name="Note 3 3 6 2 2 3" xfId="17150" xr:uid="{425506DB-A539-4133-8530-CF76764F0E4B}"/>
    <cellStyle name="Note 3 3 6 2 3" xfId="21367" xr:uid="{8971F5B9-A5C2-4100-BA5B-17BD527B7165}"/>
    <cellStyle name="Note 3 3 6 2 4" xfId="12933" xr:uid="{22CD0798-B7F9-4B45-8BC1-B9CB6A63EB6D}"/>
    <cellStyle name="Note 3 3 6 3" xfId="6567" xr:uid="{00000000-0005-0000-0000-0000CE210000}"/>
    <cellStyle name="Note 3 3 6 3 2" xfId="23439" xr:uid="{A1E03FD4-6324-4AA7-9ADA-437320CE0D1C}"/>
    <cellStyle name="Note 3 3 6 3 3" xfId="15005" xr:uid="{C7B413C2-52FF-4FBB-BFA1-CA942BC1B342}"/>
    <cellStyle name="Note 3 3 6 4" xfId="19222" xr:uid="{01DBB31A-BF10-4ADB-8835-9B91ACD0317B}"/>
    <cellStyle name="Note 3 3 6 5" xfId="10788" xr:uid="{96FD0DB8-0963-46B2-A20A-5B8D284770C0}"/>
    <cellStyle name="Note 3 3 7" xfId="2696" xr:uid="{00000000-0005-0000-0000-0000CF210000}"/>
    <cellStyle name="Note 3 3 7 2" xfId="6980" xr:uid="{00000000-0005-0000-0000-0000D0210000}"/>
    <cellStyle name="Note 3 3 7 2 2" xfId="23852" xr:uid="{090DC022-A9BA-45EE-844F-E1A7B609000B}"/>
    <cellStyle name="Note 3 3 7 2 3" xfId="15418" xr:uid="{82629F67-A6B7-4183-9FC3-A3F0E8D01A1F}"/>
    <cellStyle name="Note 3 3 7 3" xfId="19635" xr:uid="{130DFA5F-FA0B-422B-B90D-7F8452150EC9}"/>
    <cellStyle name="Note 3 3 7 4" xfId="11201" xr:uid="{6A505337-D908-4812-9305-F8801DE39404}"/>
    <cellStyle name="Note 3 3 8" xfId="2755" xr:uid="{00000000-0005-0000-0000-0000D1210000}"/>
    <cellStyle name="Note 3 3 9" xfId="2836" xr:uid="{00000000-0005-0000-0000-0000D2210000}"/>
    <cellStyle name="Note 3 3 9 2" xfId="7060" xr:uid="{00000000-0005-0000-0000-0000D3210000}"/>
    <cellStyle name="Note 3 3 9 2 2" xfId="23932" xr:uid="{F5A9ADD9-2873-46FF-82D5-F7F09A904CAE}"/>
    <cellStyle name="Note 3 3 9 2 3" xfId="15498" xr:uid="{4A098245-523F-42ED-9B72-DBBBA4BC61F8}"/>
    <cellStyle name="Note 3 3 9 3" xfId="19715" xr:uid="{86730049-D6C1-4487-9985-9F3CEA4B17C7}"/>
    <cellStyle name="Note 3 3 9 4" xfId="11281" xr:uid="{62B7AFFB-37E0-4862-B8E5-4CC0432F6204}"/>
    <cellStyle name="Note 3 4" xfId="560" xr:uid="{00000000-0005-0000-0000-0000D4210000}"/>
    <cellStyle name="Note 3 4 10" xfId="17572" xr:uid="{18AE7E83-D2AB-45B3-8691-E757218AAF32}"/>
    <cellStyle name="Note 3 4 11" xfId="9138" xr:uid="{6DA851E9-B69C-4547-8025-F3F09CA9AC2B}"/>
    <cellStyle name="Note 3 4 2" xfId="1020" xr:uid="{00000000-0005-0000-0000-0000D5210000}"/>
    <cellStyle name="Note 3 4 2 2" xfId="3252" xr:uid="{00000000-0005-0000-0000-0000D6210000}"/>
    <cellStyle name="Note 3 4 2 2 2" xfId="7475" xr:uid="{00000000-0005-0000-0000-0000D7210000}"/>
    <cellStyle name="Note 3 4 2 2 2 2" xfId="24347" xr:uid="{8DD3F8BB-5E55-47C3-ADAE-140E171FFA87}"/>
    <cellStyle name="Note 3 4 2 2 2 3" xfId="15913" xr:uid="{F137A584-19CA-4237-A0B3-095A236A97DE}"/>
    <cellStyle name="Note 3 4 2 2 3" xfId="20130" xr:uid="{538E6BD5-2C85-44B4-9D35-2845CE7C1CC5}"/>
    <cellStyle name="Note 3 4 2 2 4" xfId="11696" xr:uid="{F34CDAF7-6956-4DDF-B7EF-5239C35C0093}"/>
    <cellStyle name="Note 3 4 2 3" xfId="5330" xr:uid="{00000000-0005-0000-0000-0000D8210000}"/>
    <cellStyle name="Note 3 4 2 3 2" xfId="22202" xr:uid="{AE3EC5CD-7A27-4D3B-80CB-57180E5A4188}"/>
    <cellStyle name="Note 3 4 2 3 3" xfId="13768" xr:uid="{9AC794EF-AB6B-454F-B984-CCA77F594EEC}"/>
    <cellStyle name="Note 3 4 2 4" xfId="17985" xr:uid="{ED91E02F-9CEA-4649-8EF0-23A3B3524A99}"/>
    <cellStyle name="Note 3 4 2 5" xfId="9551" xr:uid="{50AC106C-D755-4326-B469-8BE0DCA864E8}"/>
    <cellStyle name="Note 3 4 3" xfId="1435" xr:uid="{00000000-0005-0000-0000-0000D9210000}"/>
    <cellStyle name="Note 3 4 3 2" xfId="3665" xr:uid="{00000000-0005-0000-0000-0000DA210000}"/>
    <cellStyle name="Note 3 4 3 2 2" xfId="7888" xr:uid="{00000000-0005-0000-0000-0000DB210000}"/>
    <cellStyle name="Note 3 4 3 2 2 2" xfId="24760" xr:uid="{77B930E4-5A74-42A3-9535-BFAF159E4BE4}"/>
    <cellStyle name="Note 3 4 3 2 2 3" xfId="16326" xr:uid="{FFB330B8-1F6A-46AE-9921-951645CDD88D}"/>
    <cellStyle name="Note 3 4 3 2 3" xfId="20543" xr:uid="{BEA25F2F-8368-41C6-A445-CB88F6E618EB}"/>
    <cellStyle name="Note 3 4 3 2 4" xfId="12109" xr:uid="{D5EB8C0C-B920-4B9E-ABD9-A35E9E85BC3C}"/>
    <cellStyle name="Note 3 4 3 3" xfId="5743" xr:uid="{00000000-0005-0000-0000-0000DC210000}"/>
    <cellStyle name="Note 3 4 3 3 2" xfId="22615" xr:uid="{26C4BFC5-4FD7-4D9E-8F6F-4E202E188721}"/>
    <cellStyle name="Note 3 4 3 3 3" xfId="14181" xr:uid="{39CA286B-7371-4DB3-9490-0222F031AAEE}"/>
    <cellStyle name="Note 3 4 3 4" xfId="18398" xr:uid="{F999EFF3-C21A-411A-A110-C59C5339388B}"/>
    <cellStyle name="Note 3 4 3 5" xfId="9964" xr:uid="{A80F325E-7872-4046-A0FB-78C1D11AF629}"/>
    <cellStyle name="Note 3 4 4" xfId="1849" xr:uid="{00000000-0005-0000-0000-0000DD210000}"/>
    <cellStyle name="Note 3 4 4 2" xfId="4078" xr:uid="{00000000-0005-0000-0000-0000DE210000}"/>
    <cellStyle name="Note 3 4 4 2 2" xfId="8301" xr:uid="{00000000-0005-0000-0000-0000DF210000}"/>
    <cellStyle name="Note 3 4 4 2 2 2" xfId="25173" xr:uid="{2BFA1B68-B4C6-448D-927B-6F3E401B8A37}"/>
    <cellStyle name="Note 3 4 4 2 2 3" xfId="16739" xr:uid="{807E538F-5DF4-4BFF-8CB6-7974BF63B497}"/>
    <cellStyle name="Note 3 4 4 2 3" xfId="20956" xr:uid="{6856159A-2B70-4BFA-8FDA-AF105F70CB2B}"/>
    <cellStyle name="Note 3 4 4 2 4" xfId="12522" xr:uid="{4EC7CD15-3A91-42CE-B00B-E5AE98A95F3E}"/>
    <cellStyle name="Note 3 4 4 3" xfId="6156" xr:uid="{00000000-0005-0000-0000-0000E0210000}"/>
    <cellStyle name="Note 3 4 4 3 2" xfId="23028" xr:uid="{64794904-273F-495E-8A03-47963D503939}"/>
    <cellStyle name="Note 3 4 4 3 3" xfId="14594" xr:uid="{4C03DB4B-6206-4927-BEE5-8EAB520CCD37}"/>
    <cellStyle name="Note 3 4 4 4" xfId="18811" xr:uid="{5B3CB9A0-9FEA-4D2A-AE13-C3BF6EC6D7B1}"/>
    <cellStyle name="Note 3 4 4 5" xfId="10377" xr:uid="{C9461CEF-64BD-45DC-A450-DD63B08D4930}"/>
    <cellStyle name="Note 3 4 5" xfId="2262" xr:uid="{00000000-0005-0000-0000-0000E1210000}"/>
    <cellStyle name="Note 3 4 5 2" xfId="4491" xr:uid="{00000000-0005-0000-0000-0000E2210000}"/>
    <cellStyle name="Note 3 4 5 2 2" xfId="8714" xr:uid="{00000000-0005-0000-0000-0000E3210000}"/>
    <cellStyle name="Note 3 4 5 2 2 2" xfId="25586" xr:uid="{C61AC87E-83BB-4391-8566-98526F8D8973}"/>
    <cellStyle name="Note 3 4 5 2 2 3" xfId="17152" xr:uid="{88AC1055-4664-4F59-AB90-6B30FF9A7701}"/>
    <cellStyle name="Note 3 4 5 2 3" xfId="21369" xr:uid="{9CEB590A-6FD5-4919-80E9-EF91290E94A7}"/>
    <cellStyle name="Note 3 4 5 2 4" xfId="12935" xr:uid="{A5E778DD-3C37-42A5-BDB3-F24C45923A75}"/>
    <cellStyle name="Note 3 4 5 3" xfId="6569" xr:uid="{00000000-0005-0000-0000-0000E4210000}"/>
    <cellStyle name="Note 3 4 5 3 2" xfId="23441" xr:uid="{A320E6B0-B605-410A-84B8-6799A74DF22B}"/>
    <cellStyle name="Note 3 4 5 3 3" xfId="15007" xr:uid="{2438D7D6-5613-47B2-9A14-3ACF7D8954CD}"/>
    <cellStyle name="Note 3 4 5 4" xfId="19224" xr:uid="{3B1F7C6C-BF27-4D0B-A9AD-1509957770A8}"/>
    <cellStyle name="Note 3 4 5 5" xfId="10790" xr:uid="{F2E83CC5-3043-427B-BF0D-159BF28B915B}"/>
    <cellStyle name="Note 3 4 6" xfId="2698" xr:uid="{00000000-0005-0000-0000-0000E5210000}"/>
    <cellStyle name="Note 3 4 6 2" xfId="6982" xr:uid="{00000000-0005-0000-0000-0000E6210000}"/>
    <cellStyle name="Note 3 4 6 2 2" xfId="23854" xr:uid="{AEF91453-7837-48F3-8677-0929487662BB}"/>
    <cellStyle name="Note 3 4 6 2 3" xfId="15420" xr:uid="{579BA608-D26F-4BBC-8699-037F4555EFDC}"/>
    <cellStyle name="Note 3 4 6 3" xfId="19637" xr:uid="{A160FE3E-98E6-4A32-9A11-EA2EC9C08192}"/>
    <cellStyle name="Note 3 4 6 4" xfId="11203" xr:uid="{759F9E5E-FE9A-4104-A4A4-B4B266BA6703}"/>
    <cellStyle name="Note 3 4 7" xfId="2757" xr:uid="{00000000-0005-0000-0000-0000E7210000}"/>
    <cellStyle name="Note 3 4 8" xfId="2838" xr:uid="{00000000-0005-0000-0000-0000E8210000}"/>
    <cellStyle name="Note 3 4 8 2" xfId="7062" xr:uid="{00000000-0005-0000-0000-0000E9210000}"/>
    <cellStyle name="Note 3 4 8 2 2" xfId="23934" xr:uid="{9A94F320-7547-4B04-8E38-2FB4E674A22C}"/>
    <cellStyle name="Note 3 4 8 2 3" xfId="15500" xr:uid="{4EC34A87-AEFD-4E40-9622-F6896D778248}"/>
    <cellStyle name="Note 3 4 8 3" xfId="19717" xr:uid="{A6D5C9DA-13A4-4538-9746-24D54B0AE753}"/>
    <cellStyle name="Note 3 4 8 4" xfId="11283" xr:uid="{BCD54161-B231-4302-92BD-97CCC7FB78E3}"/>
    <cellStyle name="Note 3 4 9" xfId="4917" xr:uid="{00000000-0005-0000-0000-0000EA210000}"/>
    <cellStyle name="Note 3 4 9 2" xfId="21789" xr:uid="{801D8E84-B70C-4557-AB8A-01962907392D}"/>
    <cellStyle name="Note 3 4 9 3" xfId="13355" xr:uid="{2EB467FF-6571-42DA-B58F-A340898D0F88}"/>
    <cellStyle name="Note 3 5" xfId="561" xr:uid="{00000000-0005-0000-0000-0000EB210000}"/>
    <cellStyle name="Note 3 5 10" xfId="17573" xr:uid="{D1B19956-8A3D-43C0-A1CC-18CFAD5009D4}"/>
    <cellStyle name="Note 3 5 11" xfId="9139" xr:uid="{0A3E5ADB-CE7A-42BF-9DB7-3A0D5EB71C61}"/>
    <cellStyle name="Note 3 5 2" xfId="1021" xr:uid="{00000000-0005-0000-0000-0000EC210000}"/>
    <cellStyle name="Note 3 5 2 2" xfId="3253" xr:uid="{00000000-0005-0000-0000-0000ED210000}"/>
    <cellStyle name="Note 3 5 2 2 2" xfId="7476" xr:uid="{00000000-0005-0000-0000-0000EE210000}"/>
    <cellStyle name="Note 3 5 2 2 2 2" xfId="24348" xr:uid="{83BBD9C1-6ABE-4A02-9FF2-554D07932CA5}"/>
    <cellStyle name="Note 3 5 2 2 2 3" xfId="15914" xr:uid="{EBD3BEE8-1E28-42A2-B610-9EE788CD0F0E}"/>
    <cellStyle name="Note 3 5 2 2 3" xfId="20131" xr:uid="{99CCE05B-1CD7-435A-A9F6-0D30B86E911E}"/>
    <cellStyle name="Note 3 5 2 2 4" xfId="11697" xr:uid="{9C7C0ECF-5DA6-4E2D-9057-B6E1A3AAA939}"/>
    <cellStyle name="Note 3 5 2 3" xfId="5331" xr:uid="{00000000-0005-0000-0000-0000EF210000}"/>
    <cellStyle name="Note 3 5 2 3 2" xfId="22203" xr:uid="{496CB5B8-2FEB-4B0C-8A22-852D125B7162}"/>
    <cellStyle name="Note 3 5 2 3 3" xfId="13769" xr:uid="{380640EB-236D-49F7-8694-221D1D31F1D0}"/>
    <cellStyle name="Note 3 5 2 4" xfId="17986" xr:uid="{B6265BDA-ED41-4916-960D-81EC0938EAA3}"/>
    <cellStyle name="Note 3 5 2 5" xfId="9552" xr:uid="{4B1806E9-5C53-4FB5-88F8-0C98C0274FC5}"/>
    <cellStyle name="Note 3 5 3" xfId="1436" xr:uid="{00000000-0005-0000-0000-0000F0210000}"/>
    <cellStyle name="Note 3 5 3 2" xfId="3666" xr:uid="{00000000-0005-0000-0000-0000F1210000}"/>
    <cellStyle name="Note 3 5 3 2 2" xfId="7889" xr:uid="{00000000-0005-0000-0000-0000F2210000}"/>
    <cellStyle name="Note 3 5 3 2 2 2" xfId="24761" xr:uid="{E7B47D0C-EC39-475A-955F-B1C2C634683B}"/>
    <cellStyle name="Note 3 5 3 2 2 3" xfId="16327" xr:uid="{9CEADBC9-46F1-4158-8EA1-E0EC11AB2147}"/>
    <cellStyle name="Note 3 5 3 2 3" xfId="20544" xr:uid="{C01AEF3F-6D28-4FE2-B741-0B5A57CF2A0D}"/>
    <cellStyle name="Note 3 5 3 2 4" xfId="12110" xr:uid="{9F9F600A-C7D0-4D6F-A12C-9C0233626298}"/>
    <cellStyle name="Note 3 5 3 3" xfId="5744" xr:uid="{00000000-0005-0000-0000-0000F3210000}"/>
    <cellStyle name="Note 3 5 3 3 2" xfId="22616" xr:uid="{6672C214-A264-498A-B5FF-BD02802ADFC6}"/>
    <cellStyle name="Note 3 5 3 3 3" xfId="14182" xr:uid="{F7C755EA-4DB2-4428-B674-655077D67E4D}"/>
    <cellStyle name="Note 3 5 3 4" xfId="18399" xr:uid="{91BDC7C9-8193-4DF6-A9D6-6C31D0A20175}"/>
    <cellStyle name="Note 3 5 3 5" xfId="9965" xr:uid="{0ADF9398-B4BE-41E1-9FBF-C47580E566A3}"/>
    <cellStyle name="Note 3 5 4" xfId="1850" xr:uid="{00000000-0005-0000-0000-0000F4210000}"/>
    <cellStyle name="Note 3 5 4 2" xfId="4079" xr:uid="{00000000-0005-0000-0000-0000F5210000}"/>
    <cellStyle name="Note 3 5 4 2 2" xfId="8302" xr:uid="{00000000-0005-0000-0000-0000F6210000}"/>
    <cellStyle name="Note 3 5 4 2 2 2" xfId="25174" xr:uid="{BDA9EE60-7586-412F-B01A-109CB4DBAC65}"/>
    <cellStyle name="Note 3 5 4 2 2 3" xfId="16740" xr:uid="{78E5E4F4-7A71-4404-BCDA-0BF99AB66074}"/>
    <cellStyle name="Note 3 5 4 2 3" xfId="20957" xr:uid="{971FE3E1-9805-4952-BC17-F1CCBCCAA342}"/>
    <cellStyle name="Note 3 5 4 2 4" xfId="12523" xr:uid="{18D06210-4E28-4143-8511-5D245C97B5AF}"/>
    <cellStyle name="Note 3 5 4 3" xfId="6157" xr:uid="{00000000-0005-0000-0000-0000F7210000}"/>
    <cellStyle name="Note 3 5 4 3 2" xfId="23029" xr:uid="{19BF69E6-A01D-4DE3-9D68-5E9F95F400F8}"/>
    <cellStyle name="Note 3 5 4 3 3" xfId="14595" xr:uid="{7C580B41-73A4-4E79-BE52-5AB6F21AB7E8}"/>
    <cellStyle name="Note 3 5 4 4" xfId="18812" xr:uid="{D4EEC624-C017-43DD-A99A-65DF28814F3E}"/>
    <cellStyle name="Note 3 5 4 5" xfId="10378" xr:uid="{7D7938FF-EAFF-4545-9973-C9793B2311E4}"/>
    <cellStyle name="Note 3 5 5" xfId="2263" xr:uid="{00000000-0005-0000-0000-0000F8210000}"/>
    <cellStyle name="Note 3 5 5 2" xfId="4492" xr:uid="{00000000-0005-0000-0000-0000F9210000}"/>
    <cellStyle name="Note 3 5 5 2 2" xfId="8715" xr:uid="{00000000-0005-0000-0000-0000FA210000}"/>
    <cellStyle name="Note 3 5 5 2 2 2" xfId="25587" xr:uid="{422BD6DF-1D4F-4E54-825A-46E82CF7DE1E}"/>
    <cellStyle name="Note 3 5 5 2 2 3" xfId="17153" xr:uid="{23C0E0B3-638F-438F-8F69-5FBCA204B207}"/>
    <cellStyle name="Note 3 5 5 2 3" xfId="21370" xr:uid="{2E89342D-82CC-461E-A683-46062431A5CC}"/>
    <cellStyle name="Note 3 5 5 2 4" xfId="12936" xr:uid="{9E1661CF-EF44-4A2B-A02B-86C0B5580906}"/>
    <cellStyle name="Note 3 5 5 3" xfId="6570" xr:uid="{00000000-0005-0000-0000-0000FB210000}"/>
    <cellStyle name="Note 3 5 5 3 2" xfId="23442" xr:uid="{C01458DE-208B-4054-B714-2CCDF7D5FCA4}"/>
    <cellStyle name="Note 3 5 5 3 3" xfId="15008" xr:uid="{C82CA89B-9894-4D3A-A5A3-AC2931927621}"/>
    <cellStyle name="Note 3 5 5 4" xfId="19225" xr:uid="{FE8B84E5-E0AB-4F78-BEBB-47B4CDCB3C65}"/>
    <cellStyle name="Note 3 5 5 5" xfId="10791" xr:uid="{9E23847F-E4A6-4C10-B394-DBB79F8261E8}"/>
    <cellStyle name="Note 3 5 6" xfId="2699" xr:uid="{00000000-0005-0000-0000-0000FC210000}"/>
    <cellStyle name="Note 3 5 6 2" xfId="6983" xr:uid="{00000000-0005-0000-0000-0000FD210000}"/>
    <cellStyle name="Note 3 5 6 2 2" xfId="23855" xr:uid="{2D653BF9-19BA-43E1-97A6-C3EA7100EA98}"/>
    <cellStyle name="Note 3 5 6 2 3" xfId="15421" xr:uid="{1547CE2B-C9AD-412C-B65A-C1E4E2C76E91}"/>
    <cellStyle name="Note 3 5 6 3" xfId="19638" xr:uid="{D0CAA15E-1727-4AEB-A589-6016180FEE7A}"/>
    <cellStyle name="Note 3 5 6 4" xfId="11204" xr:uid="{D3807C4D-3CF8-4981-946C-0AF1A790F1AE}"/>
    <cellStyle name="Note 3 5 7" xfId="2758" xr:uid="{00000000-0005-0000-0000-0000FE210000}"/>
    <cellStyle name="Note 3 5 8" xfId="2839" xr:uid="{00000000-0005-0000-0000-0000FF210000}"/>
    <cellStyle name="Note 3 5 8 2" xfId="7063" xr:uid="{00000000-0005-0000-0000-000000220000}"/>
    <cellStyle name="Note 3 5 8 2 2" xfId="23935" xr:uid="{84C32929-729A-47D9-BA17-A28250631C51}"/>
    <cellStyle name="Note 3 5 8 2 3" xfId="15501" xr:uid="{D45EE3F4-9C54-4A80-84E2-44F11A6917A8}"/>
    <cellStyle name="Note 3 5 8 3" xfId="19718" xr:uid="{925AAF71-2277-497B-9EB8-490699AB1735}"/>
    <cellStyle name="Note 3 5 8 4" xfId="11284" xr:uid="{7B5AC0B8-2624-4B3F-807A-F0DE223370E1}"/>
    <cellStyle name="Note 3 5 9" xfId="4918" xr:uid="{00000000-0005-0000-0000-000001220000}"/>
    <cellStyle name="Note 3 5 9 2" xfId="21790" xr:uid="{72B63061-1317-4D02-A0E6-3426CBF4B7AA}"/>
    <cellStyle name="Note 3 5 9 3" xfId="13356" xr:uid="{17933809-03ED-45E5-A1BC-3F13BC9FCF7D}"/>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8725" xr:uid="{FDB5AFD1-436D-4B86-99CC-54746EB11177}"/>
    <cellStyle name="Percent 3 2 2" xfId="21373" xr:uid="{C485AC10-5846-4F53-9676-3D453AFE9EB0}"/>
    <cellStyle name="Percent 3 3" xfId="12939" xr:uid="{7621BCD6-6C75-4577-A798-B05229F3AD50}"/>
    <cellStyle name="Percent 4" xfId="4502" xr:uid="{00000000-0005-0000-0000-000007220000}"/>
    <cellStyle name="Percent 4 2" xfId="8718" xr:uid="{00000000-0005-0000-0000-000008220000}"/>
    <cellStyle name="Percent 4 2 2" xfId="17156" xr:uid="{FCEADAB0-3BEC-4500-96E9-A25233361FF9}"/>
    <cellStyle name="Percent 4 3" xfId="8721" xr:uid="{D09CD3FC-D632-4B66-A68A-5CC92F993799}"/>
    <cellStyle name="Percent 4 3 2" xfId="17159" xr:uid="{9CCAEBD0-F330-42D7-B60B-5D2BCA44745D}"/>
    <cellStyle name="Percent 4 4" xfId="21376" xr:uid="{77CCBA97-283E-4A1B-A14D-5597313FBDF7}"/>
    <cellStyle name="Percent 4 5" xfId="12942" xr:uid="{D13C7107-E233-4B0F-82F8-B1F505EB63DA}"/>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CE1D5E2-073A-47ED-93D7-9E7B9120763C}"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ECE8BE90-9D75-412C-88F4-31049CE873E0}" name="Bedrooms" dataDxfId="9" dataCellStyle="Normal 15">
      <calculatedColumnFormula>IFERROR(MIN(4,MATCH(Application!B728,UnitSizes,0)-1),"")</calculatedColumnFormula>
    </tableColumn>
    <tableColumn id="3" xr3:uid="{A1A5A8D2-000D-4B08-B4CE-794FF8E97508}" name="Quantity" dataDxfId="8" dataCellStyle="Normal 15">
      <calculatedColumnFormula>Application!G728</calculatedColumnFormula>
    </tableColumn>
    <tableColumn id="6" xr3:uid="{C5FC612A-B906-456A-9971-B469805994F3}" name="iAMI" dataDxfId="7" dataCellStyle="Percent">
      <calculatedColumnFormula>Application!AC728</calculatedColumnFormula>
    </tableColumn>
    <tableColumn id="7" xr3:uid="{3CB58DCF-31CA-4537-9A54-34175BE6B9B1}" name="AMI" dataDxfId="6" dataCellStyle="Percent">
      <calculatedColumnFormula>IF(Cdlac[[#This Row],[Quantity]]&gt;0,IF(Cdlac[[#This Row],[Federal]],30%,IF($G$36,40%,Cdlac[[#This Row],[iAMI]])),"")</calculatedColumnFormula>
    </tableColumn>
    <tableColumn id="8" xr3:uid="{81F93B90-E73E-4154-94A7-BF10C47CD47C}" name="Restricted Rent" dataDxfId="5" dataCellStyle="Normal 15">
      <calculatedColumnFormula array="1">IF(Cdlac[[#This Row],[Quantity]]&gt;0,INDEX(TcacRents,$P$18,Cdlac[[#This Row],[Bedrooms]]+1)*Cdlac[[#This Row],[AMI]],"")</calculatedColumnFormula>
    </tableColumn>
    <tableColumn id="9" xr3:uid="{4E4A46BD-C485-4A35-B7AA-F5E9F13DDCB1}" name="Fair Market Rent" dataDxfId="4" dataCellStyle="Normal 15">
      <calculatedColumnFormula array="1">IF(Cdlac[[#This Row],[Quantity]]&gt;0,INDEX(HudFmrs,$P$18,Cdlac[[#This Row],[Bedrooms]]+1),"")</calculatedColumnFormula>
    </tableColumn>
    <tableColumn id="10" xr3:uid="{56E8EFFF-F062-417C-BFA3-3ADC7423A828}" name="Delta" dataDxfId="3" dataCellStyle="Normal 15">
      <calculatedColumnFormula>IF(Cdlac[[#This Row],[Quantity]]&gt;0,MAX(0,Cdlac[[#This Row],[Fair Market Rent]]-Cdlac[[#This Row],[Restricted Rent]]),"")</calculatedColumnFormula>
    </tableColumn>
    <tableColumn id="11" xr3:uid="{1E1AE3D1-9D88-4418-AD97-6C7B6382A97A}" name="Population" dataDxfId="2" dataCellStyle="Normal 15">
      <calculatedColumnFormula>IF(Cdlac[[#This Row],[Quantity]]&gt;0,AND(Application!AK728&lt;&gt;"N/A",Application!AK728&lt;&gt;"")*Cdlac[[#This Row],[Quantity]],"")</calculatedColumnFormula>
    </tableColumn>
    <tableColumn id="4" xr3:uid="{D451DDD7-EFB5-43EF-BF03-2239BC0BD235}"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76" zoomScaleNormal="100" zoomScaleSheetLayoutView="100" workbookViewId="0">
      <selection activeCell="D7" sqref="D7:AK9"/>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717" t="s">
        <v>574</v>
      </c>
      <c r="B1" s="1717"/>
      <c r="C1" s="1717"/>
      <c r="D1" s="1717"/>
      <c r="E1" s="1717"/>
      <c r="F1" s="1717"/>
      <c r="G1" s="1717"/>
      <c r="H1" s="1717"/>
      <c r="I1" s="1717"/>
      <c r="J1" s="1717"/>
      <c r="K1" s="1717"/>
      <c r="L1" s="1717"/>
      <c r="M1" s="1717"/>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c r="AL1" s="1717"/>
    </row>
    <row r="2" spans="1:38" ht="13.8" thickBot="1">
      <c r="A2" s="1718"/>
      <c r="B2" s="1718"/>
      <c r="C2" s="1718"/>
      <c r="D2" s="1718"/>
      <c r="E2" s="1718"/>
      <c r="F2" s="1718"/>
      <c r="G2" s="1718"/>
      <c r="H2" s="1718"/>
      <c r="I2" s="1718"/>
      <c r="J2" s="1718"/>
      <c r="K2" s="1718"/>
      <c r="L2" s="1718"/>
      <c r="M2" s="1718"/>
      <c r="N2" s="1718"/>
      <c r="O2" s="1718"/>
      <c r="P2" s="1718"/>
      <c r="Q2" s="1718"/>
      <c r="R2" s="1718"/>
      <c r="S2" s="1718"/>
      <c r="T2" s="1718"/>
      <c r="U2" s="1718"/>
      <c r="V2" s="1718"/>
      <c r="W2" s="1718"/>
      <c r="X2" s="1718"/>
      <c r="Y2" s="1718"/>
      <c r="Z2" s="1718"/>
      <c r="AA2" s="1718"/>
      <c r="AB2" s="1718"/>
      <c r="AC2" s="1718"/>
      <c r="AD2" s="1718"/>
      <c r="AE2" s="1718"/>
      <c r="AF2" s="1718"/>
      <c r="AG2" s="1718"/>
      <c r="AH2" s="1718"/>
      <c r="AI2" s="1718"/>
      <c r="AJ2" s="1718"/>
      <c r="AK2" s="1718"/>
      <c r="AL2" s="1718"/>
    </row>
    <row r="3" spans="1:38" ht="13.8" thickTop="1"/>
    <row r="4" spans="1:38" s="8" customFormat="1">
      <c r="B4" s="17" t="s">
        <v>580</v>
      </c>
      <c r="C4" s="17" t="s">
        <v>532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719" t="s">
        <v>2603</v>
      </c>
      <c r="E7" s="1719"/>
      <c r="F7" s="1719"/>
      <c r="G7" s="1719"/>
      <c r="H7" s="1719"/>
      <c r="I7" s="1719"/>
      <c r="J7" s="1719"/>
      <c r="K7" s="1719"/>
      <c r="L7" s="1719"/>
      <c r="M7" s="1719"/>
      <c r="N7" s="1719"/>
      <c r="O7" s="1719"/>
      <c r="P7" s="1719"/>
      <c r="Q7" s="1719"/>
      <c r="R7" s="1719"/>
      <c r="S7" s="1719"/>
      <c r="T7" s="1719"/>
      <c r="U7" s="1719"/>
      <c r="V7" s="1719"/>
      <c r="W7" s="1719"/>
      <c r="X7" s="1719"/>
      <c r="Y7" s="1719"/>
      <c r="Z7" s="1719"/>
      <c r="AA7" s="1719"/>
      <c r="AB7" s="1719"/>
      <c r="AC7" s="1719"/>
      <c r="AD7" s="1719"/>
      <c r="AE7" s="1719"/>
      <c r="AF7" s="1719"/>
      <c r="AG7" s="1719"/>
      <c r="AH7" s="1719"/>
      <c r="AI7" s="1719"/>
      <c r="AJ7" s="1719"/>
      <c r="AK7" s="1719"/>
      <c r="AL7" s="738"/>
    </row>
    <row r="8" spans="1:38">
      <c r="A8" s="327"/>
      <c r="B8" s="325"/>
      <c r="C8" s="326"/>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738"/>
    </row>
    <row r="9" spans="1:38">
      <c r="A9" s="327"/>
      <c r="B9" s="325"/>
      <c r="C9" s="326"/>
      <c r="D9" s="1719"/>
      <c r="E9" s="1719"/>
      <c r="F9" s="1719"/>
      <c r="G9" s="1719"/>
      <c r="H9" s="1719"/>
      <c r="I9" s="1719"/>
      <c r="J9" s="1719"/>
      <c r="K9" s="1719"/>
      <c r="L9" s="1719"/>
      <c r="M9" s="1719"/>
      <c r="N9" s="1719"/>
      <c r="O9" s="1719"/>
      <c r="P9" s="1719"/>
      <c r="Q9" s="1719"/>
      <c r="R9" s="1719"/>
      <c r="S9" s="1719"/>
      <c r="T9" s="1719"/>
      <c r="U9" s="1719"/>
      <c r="V9" s="1719"/>
      <c r="W9" s="1719"/>
      <c r="X9" s="1719"/>
      <c r="Y9" s="1719"/>
      <c r="Z9" s="1719"/>
      <c r="AA9" s="1719"/>
      <c r="AB9" s="1719"/>
      <c r="AC9" s="1719"/>
      <c r="AD9" s="1719"/>
      <c r="AE9" s="1719"/>
      <c r="AF9" s="1719"/>
      <c r="AG9" s="1719"/>
      <c r="AH9" s="1719"/>
      <c r="AI9" s="1719"/>
      <c r="AJ9" s="1719"/>
      <c r="AK9" s="1719"/>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 customHeight="1">
      <c r="A11" s="327"/>
      <c r="B11" s="325"/>
      <c r="C11" s="326"/>
      <c r="D11" s="1719" t="s">
        <v>2604</v>
      </c>
      <c r="E11" s="1719"/>
      <c r="F11" s="1719"/>
      <c r="G11" s="1719"/>
      <c r="H11" s="1719"/>
      <c r="I11" s="1719"/>
      <c r="J11" s="1719"/>
      <c r="K11" s="1719"/>
      <c r="L11" s="1719"/>
      <c r="M11" s="1719"/>
      <c r="N11" s="1719"/>
      <c r="O11" s="1719"/>
      <c r="P11" s="1719"/>
      <c r="Q11" s="1719"/>
      <c r="R11" s="1719"/>
      <c r="S11" s="1719"/>
      <c r="T11" s="1719"/>
      <c r="U11" s="1719"/>
      <c r="V11" s="1719"/>
      <c r="W11" s="1719"/>
      <c r="X11" s="1719"/>
      <c r="Y11" s="1719"/>
      <c r="Z11" s="1719"/>
      <c r="AA11" s="1719"/>
      <c r="AB11" s="1719"/>
      <c r="AC11" s="1719"/>
      <c r="AD11" s="1719"/>
      <c r="AE11" s="1719"/>
      <c r="AF11" s="1719"/>
      <c r="AG11" s="1719"/>
      <c r="AH11" s="1719"/>
      <c r="AI11" s="1719"/>
      <c r="AJ11" s="1719"/>
      <c r="AK11" s="1719"/>
      <c r="AL11" s="738"/>
    </row>
    <row r="12" spans="1:38">
      <c r="A12" s="327"/>
      <c r="B12" s="325"/>
      <c r="C12" s="326"/>
      <c r="D12" s="1719"/>
      <c r="E12" s="1719"/>
      <c r="F12" s="1719"/>
      <c r="G12" s="1719"/>
      <c r="H12" s="1719"/>
      <c r="I12" s="1719"/>
      <c r="J12" s="1719"/>
      <c r="K12" s="1719"/>
      <c r="L12" s="1719"/>
      <c r="M12" s="1719"/>
      <c r="N12" s="1719"/>
      <c r="O12" s="1719"/>
      <c r="P12" s="1719"/>
      <c r="Q12" s="1719"/>
      <c r="R12" s="1719"/>
      <c r="S12" s="1719"/>
      <c r="T12" s="1719"/>
      <c r="U12" s="1719"/>
      <c r="V12" s="1719"/>
      <c r="W12" s="1719"/>
      <c r="X12" s="1719"/>
      <c r="Y12" s="1719"/>
      <c r="Z12" s="1719"/>
      <c r="AA12" s="1719"/>
      <c r="AB12" s="1719"/>
      <c r="AC12" s="1719"/>
      <c r="AD12" s="1719"/>
      <c r="AE12" s="1719"/>
      <c r="AF12" s="1719"/>
      <c r="AG12" s="1719"/>
      <c r="AH12" s="1719"/>
      <c r="AI12" s="1719"/>
      <c r="AJ12" s="1719"/>
      <c r="AK12" s="1719"/>
      <c r="AL12" s="738"/>
    </row>
    <row r="13" spans="1:38" s="709" customFormat="1">
      <c r="A13" s="327"/>
      <c r="B13" s="325"/>
      <c r="C13" s="326"/>
      <c r="D13" s="1719"/>
      <c r="E13" s="1719"/>
      <c r="F13" s="1719"/>
      <c r="G13" s="1719"/>
      <c r="H13" s="1719"/>
      <c r="I13" s="1719"/>
      <c r="J13" s="1719"/>
      <c r="K13" s="1719"/>
      <c r="L13" s="1719"/>
      <c r="M13" s="1719"/>
      <c r="N13" s="1719"/>
      <c r="O13" s="1719"/>
      <c r="P13" s="1719"/>
      <c r="Q13" s="1719"/>
      <c r="R13" s="1719"/>
      <c r="S13" s="1719"/>
      <c r="T13" s="1719"/>
      <c r="U13" s="1719"/>
      <c r="V13" s="1719"/>
      <c r="W13" s="1719"/>
      <c r="X13" s="1719"/>
      <c r="Y13" s="1719"/>
      <c r="Z13" s="1719"/>
      <c r="AA13" s="1719"/>
      <c r="AB13" s="1719"/>
      <c r="AC13" s="1719"/>
      <c r="AD13" s="1719"/>
      <c r="AE13" s="1719"/>
      <c r="AF13" s="1719"/>
      <c r="AG13" s="1719"/>
      <c r="AH13" s="1719"/>
      <c r="AI13" s="1719"/>
      <c r="AJ13" s="1719"/>
      <c r="AK13" s="1719"/>
      <c r="AL13" s="738"/>
    </row>
    <row r="14" spans="1:38" s="709" customFormat="1" ht="13.35" customHeight="1">
      <c r="A14" s="327"/>
      <c r="B14" s="325"/>
      <c r="C14" s="326"/>
      <c r="E14" s="1705" t="s">
        <v>2605</v>
      </c>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5"/>
      <c r="AB14" s="1705"/>
      <c r="AC14" s="1705"/>
      <c r="AD14" s="1705"/>
      <c r="AE14" s="1705"/>
      <c r="AF14" s="1705"/>
      <c r="AG14" s="1705"/>
      <c r="AH14" s="1705"/>
      <c r="AI14" s="1705"/>
      <c r="AJ14" s="1705"/>
      <c r="AK14" s="1705"/>
      <c r="AL14" s="738"/>
    </row>
    <row r="15" spans="1:38" s="709" customFormat="1" ht="13.35" customHeight="1">
      <c r="A15" s="327"/>
      <c r="B15" s="325"/>
      <c r="C15" s="326"/>
      <c r="E15" s="1705"/>
      <c r="F15" s="1705"/>
      <c r="G15" s="1705"/>
      <c r="H15" s="1705"/>
      <c r="I15" s="1705"/>
      <c r="J15" s="1705"/>
      <c r="K15" s="1705"/>
      <c r="L15" s="1705"/>
      <c r="M15" s="1705"/>
      <c r="N15" s="1705"/>
      <c r="O15" s="1705"/>
      <c r="P15" s="1705"/>
      <c r="Q15" s="1705"/>
      <c r="R15" s="1705"/>
      <c r="S15" s="1705"/>
      <c r="T15" s="1705"/>
      <c r="U15" s="1705"/>
      <c r="V15" s="1705"/>
      <c r="W15" s="1705"/>
      <c r="X15" s="1705"/>
      <c r="Y15" s="1705"/>
      <c r="Z15" s="1705"/>
      <c r="AA15" s="1705"/>
      <c r="AB15" s="1705"/>
      <c r="AC15" s="1705"/>
      <c r="AD15" s="1705"/>
      <c r="AE15" s="1705"/>
      <c r="AF15" s="1705"/>
      <c r="AG15" s="1705"/>
      <c r="AH15" s="1705"/>
      <c r="AI15" s="1705"/>
      <c r="AJ15" s="1705"/>
      <c r="AK15" s="1705"/>
      <c r="AL15" s="738"/>
    </row>
    <row r="16" spans="1:38" s="709" customFormat="1">
      <c r="A16" s="327"/>
      <c r="B16" s="325"/>
      <c r="C16" s="326"/>
      <c r="D16" s="738"/>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35" customHeight="1">
      <c r="A18" s="327"/>
      <c r="B18" s="325"/>
      <c r="C18" s="326"/>
      <c r="D18" s="1705" t="s">
        <v>2606</v>
      </c>
      <c r="E18" s="1705"/>
      <c r="F18" s="1705"/>
      <c r="G18" s="1705"/>
      <c r="H18" s="1705"/>
      <c r="I18" s="1705"/>
      <c r="J18" s="1705"/>
      <c r="K18" s="1705"/>
      <c r="L18" s="1705"/>
      <c r="M18" s="1705"/>
      <c r="N18" s="1705"/>
      <c r="O18" s="1705"/>
      <c r="P18" s="1705"/>
      <c r="Q18" s="1705"/>
      <c r="R18" s="1705"/>
      <c r="S18" s="1705"/>
      <c r="T18" s="1705"/>
      <c r="U18" s="1705"/>
      <c r="V18" s="1705"/>
      <c r="W18" s="1705"/>
      <c r="X18" s="1705"/>
      <c r="Y18" s="1705"/>
      <c r="Z18" s="1705"/>
      <c r="AA18" s="1705"/>
      <c r="AB18" s="1705"/>
      <c r="AC18" s="1705"/>
      <c r="AD18" s="1705"/>
      <c r="AE18" s="1705"/>
      <c r="AF18" s="1705"/>
      <c r="AG18" s="1705"/>
      <c r="AH18" s="1705"/>
      <c r="AI18" s="1705"/>
      <c r="AJ18" s="1705"/>
      <c r="AK18" s="1705"/>
      <c r="AL18" s="325"/>
    </row>
    <row r="19" spans="1:38">
      <c r="A19" s="327"/>
      <c r="B19" s="325"/>
      <c r="C19" s="326"/>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c r="AE19" s="1705"/>
      <c r="AF19" s="1705"/>
      <c r="AG19" s="1705"/>
      <c r="AH19" s="1705"/>
      <c r="AI19" s="1705"/>
      <c r="AJ19" s="1705"/>
      <c r="AK19" s="1705"/>
      <c r="AL19" s="325"/>
    </row>
    <row r="20" spans="1:38" s="709" customFormat="1">
      <c r="A20" s="327"/>
      <c r="B20" s="325"/>
      <c r="C20" s="326"/>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325"/>
    </row>
    <row r="21" spans="1:38" s="709" customFormat="1" ht="13.35" customHeight="1">
      <c r="A21" s="327"/>
      <c r="B21" s="325"/>
      <c r="C21" s="326"/>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325"/>
    </row>
    <row r="22" spans="1:38" s="709" customFormat="1">
      <c r="A22" s="327"/>
      <c r="B22" s="325"/>
      <c r="C22" s="326"/>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c r="AE22" s="1705"/>
      <c r="AF22" s="1705"/>
      <c r="AG22" s="1705"/>
      <c r="AH22" s="1705"/>
      <c r="AI22" s="1705"/>
      <c r="AJ22" s="1705"/>
      <c r="AK22" s="1705"/>
      <c r="AL22" s="325"/>
    </row>
    <row r="23" spans="1:38" s="709" customFormat="1">
      <c r="A23" s="327"/>
      <c r="B23" s="325"/>
      <c r="C23" s="326"/>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c r="AL23" s="325"/>
    </row>
    <row r="24" spans="1:38">
      <c r="A24" s="327"/>
      <c r="B24" s="325"/>
      <c r="C24" s="326"/>
      <c r="D24" s="1705"/>
      <c r="E24" s="1705"/>
      <c r="F24" s="1705"/>
      <c r="G24" s="1705"/>
      <c r="H24" s="1705"/>
      <c r="I24" s="1705"/>
      <c r="J24" s="1705"/>
      <c r="K24" s="1705"/>
      <c r="L24" s="1705"/>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325"/>
    </row>
    <row r="25" spans="1:38" s="709" customFormat="1">
      <c r="A25" s="327"/>
      <c r="B25" s="325"/>
      <c r="C25" s="326"/>
      <c r="D25" s="1705"/>
      <c r="E25" s="1705"/>
      <c r="F25" s="1705"/>
      <c r="G25" s="1705"/>
      <c r="H25" s="1705"/>
      <c r="I25" s="1705"/>
      <c r="J25" s="1705"/>
      <c r="K25" s="1705"/>
      <c r="L25" s="1705"/>
      <c r="M25" s="1705"/>
      <c r="N25" s="1705"/>
      <c r="O25" s="1705"/>
      <c r="P25" s="1705"/>
      <c r="Q25" s="1705"/>
      <c r="R25" s="1705"/>
      <c r="S25" s="1705"/>
      <c r="T25" s="1705"/>
      <c r="U25" s="1705"/>
      <c r="V25" s="1705"/>
      <c r="W25" s="1705"/>
      <c r="X25" s="1705"/>
      <c r="Y25" s="1705"/>
      <c r="Z25" s="1705"/>
      <c r="AA25" s="1705"/>
      <c r="AB25" s="1705"/>
      <c r="AC25" s="1705"/>
      <c r="AD25" s="1705"/>
      <c r="AE25" s="1705"/>
      <c r="AF25" s="1705"/>
      <c r="AG25" s="1705"/>
      <c r="AH25" s="1705"/>
      <c r="AI25" s="1705"/>
      <c r="AJ25" s="1705"/>
      <c r="AK25" s="1705"/>
      <c r="AL25" s="325"/>
    </row>
    <row r="26" spans="1:38" s="709" customFormat="1">
      <c r="A26" s="327"/>
      <c r="B26" s="325"/>
      <c r="C26" s="326"/>
      <c r="D26" s="1705"/>
      <c r="E26" s="1705"/>
      <c r="F26" s="1705"/>
      <c r="G26" s="1705"/>
      <c r="H26" s="1705"/>
      <c r="I26" s="1705"/>
      <c r="J26" s="1705"/>
      <c r="K26" s="1705"/>
      <c r="L26" s="1705"/>
      <c r="M26" s="1705"/>
      <c r="N26" s="1705"/>
      <c r="O26" s="1705"/>
      <c r="P26" s="1705"/>
      <c r="Q26" s="1705"/>
      <c r="R26" s="1705"/>
      <c r="S26" s="1705"/>
      <c r="T26" s="1705"/>
      <c r="U26" s="1705"/>
      <c r="V26" s="1705"/>
      <c r="W26" s="1705"/>
      <c r="X26" s="1705"/>
      <c r="Y26" s="1705"/>
      <c r="Z26" s="1705"/>
      <c r="AA26" s="1705"/>
      <c r="AB26" s="1705"/>
      <c r="AC26" s="1705"/>
      <c r="AD26" s="1705"/>
      <c r="AE26" s="1705"/>
      <c r="AF26" s="1705"/>
      <c r="AG26" s="1705"/>
      <c r="AH26" s="1705"/>
      <c r="AI26" s="1705"/>
      <c r="AJ26" s="1705"/>
      <c r="AK26" s="1705"/>
      <c r="AL26" s="325"/>
    </row>
    <row r="27" spans="1:38" s="709" customFormat="1" ht="11.85" customHeight="1">
      <c r="A27" s="327"/>
      <c r="B27" s="325"/>
      <c r="C27" s="326"/>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c r="AA27" s="1705"/>
      <c r="AB27" s="1705"/>
      <c r="AC27" s="1705"/>
      <c r="AD27" s="1705"/>
      <c r="AE27" s="1705"/>
      <c r="AF27" s="1705"/>
      <c r="AG27" s="1705"/>
      <c r="AH27" s="1705"/>
      <c r="AI27" s="1705"/>
      <c r="AJ27" s="1705"/>
      <c r="AK27" s="1705"/>
      <c r="AL27" s="325"/>
    </row>
    <row r="28" spans="1:38" s="709" customFormat="1" ht="13.35" customHeight="1">
      <c r="A28" s="327"/>
      <c r="B28" s="325"/>
      <c r="C28" s="326"/>
      <c r="E28" s="1705" t="s">
        <v>2607</v>
      </c>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325"/>
    </row>
    <row r="29" spans="1:38" s="709" customFormat="1" ht="13.35" customHeight="1">
      <c r="A29" s="327"/>
      <c r="B29" s="325"/>
      <c r="C29" s="326"/>
      <c r="E29" s="1705"/>
      <c r="F29" s="1705"/>
      <c r="G29" s="1705"/>
      <c r="H29" s="1705"/>
      <c r="I29" s="1705"/>
      <c r="J29" s="1705"/>
      <c r="K29" s="1705"/>
      <c r="L29" s="1705"/>
      <c r="M29" s="1705"/>
      <c r="N29" s="1705"/>
      <c r="O29" s="1705"/>
      <c r="P29" s="1705"/>
      <c r="Q29" s="1705"/>
      <c r="R29" s="1705"/>
      <c r="S29" s="1705"/>
      <c r="T29" s="1705"/>
      <c r="U29" s="1705"/>
      <c r="V29" s="1705"/>
      <c r="W29" s="1705"/>
      <c r="X29" s="1705"/>
      <c r="Y29" s="1705"/>
      <c r="Z29" s="1705"/>
      <c r="AA29" s="1705"/>
      <c r="AB29" s="1705"/>
      <c r="AC29" s="1705"/>
      <c r="AD29" s="1705"/>
      <c r="AE29" s="1705"/>
      <c r="AF29" s="1705"/>
      <c r="AG29" s="1705"/>
      <c r="AH29" s="1705"/>
      <c r="AI29" s="1705"/>
      <c r="AJ29" s="1705"/>
      <c r="AK29" s="1705"/>
      <c r="AL29" s="325"/>
    </row>
    <row r="30" spans="1:38" s="709" customFormat="1">
      <c r="A30" s="327"/>
      <c r="B30" s="325"/>
      <c r="C30" s="326"/>
      <c r="D30" s="738"/>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35" customHeight="1">
      <c r="A32" s="327"/>
      <c r="B32" s="325"/>
      <c r="C32" s="326"/>
      <c r="D32" s="1707" t="s">
        <v>2608</v>
      </c>
      <c r="E32" s="1707"/>
      <c r="F32" s="1707"/>
      <c r="G32" s="1707"/>
      <c r="H32" s="1707"/>
      <c r="I32" s="1707"/>
      <c r="J32" s="1707"/>
      <c r="K32" s="1707"/>
      <c r="L32" s="1707"/>
      <c r="M32" s="1707"/>
      <c r="N32" s="1707"/>
      <c r="O32" s="1707"/>
      <c r="P32" s="1707"/>
      <c r="Q32" s="1707"/>
      <c r="R32" s="1707"/>
      <c r="S32" s="1707"/>
      <c r="T32" s="1707"/>
      <c r="U32" s="1707"/>
      <c r="V32" s="1707"/>
      <c r="W32" s="1707"/>
      <c r="X32" s="1707"/>
      <c r="Y32" s="1707"/>
      <c r="Z32" s="1707"/>
      <c r="AA32" s="1707"/>
      <c r="AB32" s="1707"/>
      <c r="AC32" s="1707"/>
      <c r="AD32" s="1707"/>
      <c r="AE32" s="1707"/>
      <c r="AF32" s="1707"/>
      <c r="AG32" s="1707"/>
      <c r="AH32" s="1707"/>
      <c r="AI32" s="1707"/>
      <c r="AJ32" s="1707"/>
      <c r="AK32" s="1707"/>
      <c r="AL32" s="325"/>
    </row>
    <row r="33" spans="1:38" s="709" customFormat="1">
      <c r="A33" s="327"/>
      <c r="B33" s="325"/>
      <c r="C33" s="326"/>
      <c r="D33" s="738"/>
      <c r="E33" s="1706" t="s">
        <v>2615</v>
      </c>
      <c r="F33" s="1706"/>
      <c r="G33" s="1706"/>
      <c r="H33" s="1706"/>
      <c r="I33" s="1706"/>
      <c r="J33" s="1706"/>
      <c r="K33" s="1706"/>
      <c r="L33" s="1706"/>
      <c r="M33" s="1706"/>
      <c r="N33" s="1706"/>
      <c r="O33" s="1706"/>
      <c r="P33" s="1706"/>
      <c r="Q33" s="1706"/>
      <c r="R33" s="1706"/>
      <c r="S33" s="1706"/>
      <c r="T33" s="1706"/>
      <c r="U33" s="1706"/>
      <c r="V33" s="1706"/>
      <c r="W33" s="1706"/>
      <c r="X33" s="1706"/>
      <c r="Y33" s="1706"/>
      <c r="Z33" s="1706"/>
      <c r="AA33" s="1706"/>
      <c r="AB33" s="1706"/>
      <c r="AC33" s="1706"/>
      <c r="AD33" s="1706"/>
      <c r="AE33" s="1706"/>
      <c r="AF33" s="1706"/>
      <c r="AG33" s="1706"/>
      <c r="AH33" s="1706"/>
      <c r="AI33" s="1706"/>
      <c r="AJ33" s="1706"/>
      <c r="AK33" s="1706"/>
      <c r="AL33" s="325"/>
    </row>
    <row r="34" spans="1:38">
      <c r="A34" s="149"/>
      <c r="C34" s="5"/>
    </row>
    <row r="35" spans="1:38">
      <c r="A35" s="149"/>
      <c r="D35" s="1720" t="s">
        <v>2191</v>
      </c>
      <c r="E35" s="1720"/>
      <c r="F35" s="1720"/>
      <c r="G35" s="1720"/>
      <c r="H35" s="1720"/>
      <c r="I35" s="1720"/>
      <c r="J35" s="1720"/>
      <c r="K35" s="1720"/>
      <c r="L35" s="1720"/>
      <c r="M35" s="1720"/>
      <c r="N35" s="1720"/>
      <c r="O35" s="1720"/>
      <c r="P35" s="1720"/>
      <c r="Q35" s="1720"/>
      <c r="R35" s="1720"/>
      <c r="S35" s="1720"/>
      <c r="T35" s="1720"/>
      <c r="U35" s="1720"/>
      <c r="V35" s="1720"/>
      <c r="W35" s="1720"/>
      <c r="X35" s="1720"/>
      <c r="Y35" s="1720"/>
      <c r="Z35" s="1720"/>
      <c r="AA35" s="1720"/>
      <c r="AB35" s="1720"/>
      <c r="AC35" s="1720"/>
      <c r="AD35" s="1720"/>
      <c r="AE35" s="1720"/>
      <c r="AF35" s="1720"/>
      <c r="AG35" s="1720"/>
      <c r="AH35" s="1720"/>
      <c r="AI35" s="1720"/>
      <c r="AJ35" s="1720"/>
      <c r="AK35" s="1720"/>
    </row>
    <row r="36" spans="1:38">
      <c r="A36" s="149"/>
      <c r="D36" s="1720"/>
      <c r="E36" s="1720"/>
      <c r="F36" s="1720"/>
      <c r="G36" s="1720"/>
      <c r="H36" s="1720"/>
      <c r="I36" s="1720"/>
      <c r="J36" s="1720"/>
      <c r="K36" s="1720"/>
      <c r="L36" s="1720"/>
      <c r="M36" s="1720"/>
      <c r="N36" s="1720"/>
      <c r="O36" s="1720"/>
      <c r="P36" s="1720"/>
      <c r="Q36" s="1720"/>
      <c r="R36" s="1720"/>
      <c r="S36" s="1720"/>
      <c r="T36" s="1720"/>
      <c r="U36" s="1720"/>
      <c r="V36" s="1720"/>
      <c r="W36" s="1720"/>
      <c r="X36" s="1720"/>
      <c r="Y36" s="1720"/>
      <c r="Z36" s="1720"/>
      <c r="AA36" s="1720"/>
      <c r="AB36" s="1720"/>
      <c r="AC36" s="1720"/>
      <c r="AD36" s="1720"/>
      <c r="AE36" s="1720"/>
      <c r="AF36" s="1720"/>
      <c r="AG36" s="1720"/>
      <c r="AH36" s="1720"/>
      <c r="AI36" s="1720"/>
      <c r="AJ36" s="1720"/>
      <c r="AK36" s="1720"/>
    </row>
    <row r="37" spans="1:38">
      <c r="A37" s="149"/>
      <c r="D37" s="250"/>
      <c r="E37" s="1713" t="s">
        <v>2616</v>
      </c>
      <c r="F37" s="1713"/>
      <c r="G37" s="1713"/>
      <c r="H37" s="1713"/>
      <c r="I37" s="1713"/>
      <c r="J37" s="1713"/>
      <c r="K37" s="1713"/>
      <c r="L37" s="1713"/>
      <c r="M37" s="1713"/>
      <c r="N37" s="1713"/>
      <c r="O37" s="1713"/>
      <c r="P37" s="1713"/>
      <c r="Q37" s="1713"/>
      <c r="R37" s="1713"/>
      <c r="S37" s="1713"/>
      <c r="T37" s="1713"/>
      <c r="U37" s="1713"/>
      <c r="V37" s="1713"/>
      <c r="W37" s="1713"/>
      <c r="X37" s="1713"/>
      <c r="Y37" s="1713"/>
      <c r="Z37" s="1713"/>
      <c r="AA37" s="1713"/>
      <c r="AB37" s="1713"/>
      <c r="AC37" s="1713"/>
      <c r="AD37" s="1713"/>
      <c r="AE37" s="1713"/>
      <c r="AF37" s="1713"/>
      <c r="AG37" s="1713"/>
      <c r="AH37" s="1713"/>
      <c r="AI37" s="1713"/>
      <c r="AJ37" s="1713"/>
      <c r="AK37" s="1713"/>
    </row>
    <row r="38" spans="1:38">
      <c r="A38" s="149"/>
      <c r="D38" s="250"/>
      <c r="E38" s="1713" t="s">
        <v>2617</v>
      </c>
      <c r="F38" s="1713"/>
      <c r="G38" s="1713"/>
      <c r="H38" s="1713"/>
      <c r="I38" s="1713"/>
      <c r="J38" s="1713"/>
      <c r="K38" s="1713"/>
      <c r="L38" s="1713"/>
      <c r="M38" s="1713"/>
      <c r="N38" s="1713"/>
      <c r="O38" s="1713"/>
      <c r="P38" s="1713"/>
      <c r="Q38" s="1713"/>
      <c r="R38" s="1713"/>
      <c r="S38" s="1713"/>
      <c r="T38" s="1713"/>
      <c r="U38" s="1713"/>
      <c r="V38" s="1713"/>
      <c r="W38" s="1713"/>
      <c r="X38" s="1713"/>
      <c r="Y38" s="1713"/>
      <c r="Z38" s="1713"/>
      <c r="AA38" s="1713"/>
      <c r="AB38" s="1713"/>
      <c r="AC38" s="1713"/>
      <c r="AD38" s="1713"/>
      <c r="AE38" s="1713"/>
      <c r="AF38" s="1713"/>
      <c r="AG38" s="1713"/>
      <c r="AH38" s="1713"/>
      <c r="AI38" s="1713"/>
      <c r="AJ38" s="1713"/>
      <c r="AK38" s="171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05" customFormat="1" ht="13.35" customHeight="1">
      <c r="A42" s="149"/>
      <c r="B42"/>
      <c r="C42" s="5"/>
      <c r="D42" s="149"/>
      <c r="E42" s="149" t="s">
        <v>678</v>
      </c>
      <c r="F42" s="1705" t="s">
        <v>1325</v>
      </c>
    </row>
    <row r="43" spans="1:38" s="1705" customFormat="1" ht="13.35" customHeight="1">
      <c r="A43" s="149"/>
      <c r="B43" s="709"/>
      <c r="C43" s="5"/>
      <c r="D43" s="149"/>
      <c r="E43" s="149"/>
    </row>
    <row r="44" spans="1:38">
      <c r="A44" s="149"/>
      <c r="C44" s="5"/>
      <c r="D44" s="149"/>
      <c r="E44" s="149"/>
      <c r="F44" s="151" t="s">
        <v>713</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35" customHeight="1">
      <c r="A45" s="149"/>
      <c r="B45"/>
      <c r="C45" s="5"/>
      <c r="D45" s="149"/>
      <c r="E45" s="6" t="s">
        <v>354</v>
      </c>
      <c r="F45" s="1712" t="s">
        <v>1420</v>
      </c>
      <c r="G45" s="1712"/>
      <c r="H45" s="1712"/>
      <c r="I45" s="1712"/>
      <c r="J45" s="1712"/>
      <c r="K45" s="1712"/>
      <c r="L45" s="1712"/>
      <c r="M45" s="1712"/>
      <c r="N45" s="1712"/>
      <c r="O45" s="1712"/>
      <c r="P45" s="1712"/>
      <c r="Q45" s="1712"/>
      <c r="R45" s="1712"/>
      <c r="S45" s="1712"/>
      <c r="T45" s="1712"/>
      <c r="U45" s="1712"/>
      <c r="V45" s="1712"/>
      <c r="W45" s="1712"/>
      <c r="X45" s="1712"/>
      <c r="Y45" s="1712"/>
      <c r="Z45" s="1712"/>
      <c r="AA45" s="1712"/>
      <c r="AB45" s="1712"/>
      <c r="AC45" s="1712"/>
      <c r="AD45" s="1712"/>
      <c r="AE45" s="1712"/>
      <c r="AF45" s="1712"/>
      <c r="AG45" s="1712"/>
      <c r="AH45" s="1712"/>
      <c r="AI45" s="1712"/>
      <c r="AJ45" s="1712"/>
      <c r="AK45" s="1712"/>
      <c r="AL45" s="1712"/>
    </row>
    <row r="46" spans="1:38" s="762" customFormat="1">
      <c r="A46" s="149"/>
      <c r="B46" s="709"/>
      <c r="C46" s="5"/>
      <c r="D46" s="149"/>
      <c r="E46" s="149"/>
      <c r="F46" s="1712"/>
      <c r="G46" s="1712"/>
      <c r="H46" s="1712"/>
      <c r="I46" s="1712"/>
      <c r="J46" s="1712"/>
      <c r="K46" s="1712"/>
      <c r="L46" s="1712"/>
      <c r="M46" s="1712"/>
      <c r="N46" s="1712"/>
      <c r="O46" s="1712"/>
      <c r="P46" s="1712"/>
      <c r="Q46" s="1712"/>
      <c r="R46" s="1712"/>
      <c r="S46" s="1712"/>
      <c r="T46" s="1712"/>
      <c r="U46" s="1712"/>
      <c r="V46" s="1712"/>
      <c r="W46" s="1712"/>
      <c r="X46" s="1712"/>
      <c r="Y46" s="1712"/>
      <c r="Z46" s="1712"/>
      <c r="AA46" s="1712"/>
      <c r="AB46" s="1712"/>
      <c r="AC46" s="1712"/>
      <c r="AD46" s="1712"/>
      <c r="AE46" s="1712"/>
      <c r="AF46" s="1712"/>
      <c r="AG46" s="1712"/>
      <c r="AH46" s="1712"/>
      <c r="AI46" s="1712"/>
      <c r="AJ46" s="1712"/>
      <c r="AK46" s="1712"/>
      <c r="AL46" s="1712"/>
    </row>
    <row r="47" spans="1:38" s="762" customFormat="1" ht="13.35" customHeight="1">
      <c r="A47" s="149"/>
      <c r="B47" s="709"/>
      <c r="C47" s="5"/>
      <c r="D47" s="149"/>
      <c r="E47" s="149"/>
      <c r="F47" s="1712"/>
      <c r="G47" s="1712"/>
      <c r="H47" s="1712"/>
      <c r="I47" s="1712"/>
      <c r="J47" s="1712"/>
      <c r="K47" s="1712"/>
      <c r="L47" s="1712"/>
      <c r="M47" s="1712"/>
      <c r="N47" s="1712"/>
      <c r="O47" s="1712"/>
      <c r="P47" s="1712"/>
      <c r="Q47" s="1712"/>
      <c r="R47" s="1712"/>
      <c r="S47" s="1712"/>
      <c r="T47" s="1712"/>
      <c r="U47" s="1712"/>
      <c r="V47" s="1712"/>
      <c r="W47" s="1712"/>
      <c r="X47" s="1712"/>
      <c r="Y47" s="1712"/>
      <c r="Z47" s="1712"/>
      <c r="AA47" s="1712"/>
      <c r="AB47" s="1712"/>
      <c r="AC47" s="1712"/>
      <c r="AD47" s="1712"/>
      <c r="AE47" s="1712"/>
      <c r="AF47" s="1712"/>
      <c r="AG47" s="1712"/>
      <c r="AH47" s="1712"/>
      <c r="AI47" s="1712"/>
      <c r="AJ47" s="1712"/>
      <c r="AK47" s="1712"/>
      <c r="AL47" s="1712"/>
    </row>
    <row r="48" spans="1:38">
      <c r="A48" s="149"/>
      <c r="C48" s="5"/>
      <c r="D48" s="149"/>
      <c r="E48" s="149"/>
      <c r="F48" s="762" t="s">
        <v>713</v>
      </c>
      <c r="G48" s="6" t="s">
        <v>2609</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533</v>
      </c>
      <c r="G49" s="149" t="s">
        <v>571</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705" t="s">
        <v>2610</v>
      </c>
      <c r="G50" s="1705"/>
      <c r="H50" s="1705"/>
      <c r="I50" s="1705"/>
      <c r="J50" s="1705"/>
      <c r="K50" s="1705"/>
      <c r="L50" s="1705"/>
      <c r="M50" s="1705"/>
      <c r="N50" s="1705"/>
      <c r="O50" s="1705"/>
      <c r="P50" s="1705"/>
      <c r="Q50" s="1705"/>
      <c r="R50" s="1705"/>
      <c r="S50" s="1705"/>
      <c r="T50" s="1705"/>
      <c r="U50" s="1705"/>
      <c r="V50" s="1705"/>
      <c r="W50" s="1705"/>
      <c r="X50" s="1705"/>
      <c r="Y50" s="1705"/>
      <c r="Z50" s="1705"/>
      <c r="AA50" s="1705"/>
      <c r="AB50" s="1705"/>
      <c r="AC50" s="1705"/>
      <c r="AD50" s="1705"/>
      <c r="AE50" s="1705"/>
      <c r="AF50" s="1705"/>
      <c r="AG50" s="1705"/>
      <c r="AH50" s="1705"/>
      <c r="AI50" s="1705"/>
      <c r="AJ50" s="1705"/>
      <c r="AK50" s="1705"/>
    </row>
    <row r="51" spans="1:38">
      <c r="A51" s="149"/>
      <c r="C51" s="5"/>
      <c r="D51" s="149"/>
      <c r="E51" s="149"/>
      <c r="F51" s="1705"/>
      <c r="G51" s="1705"/>
      <c r="H51" s="1705"/>
      <c r="I51" s="1705"/>
      <c r="J51" s="1705"/>
      <c r="K51" s="1705"/>
      <c r="L51" s="1705"/>
      <c r="M51" s="1705"/>
      <c r="N51" s="1705"/>
      <c r="O51" s="1705"/>
      <c r="P51" s="1705"/>
      <c r="Q51" s="1705"/>
      <c r="R51" s="1705"/>
      <c r="S51" s="1705"/>
      <c r="T51" s="1705"/>
      <c r="U51" s="1705"/>
      <c r="V51" s="1705"/>
      <c r="W51" s="1705"/>
      <c r="X51" s="1705"/>
      <c r="Y51" s="1705"/>
      <c r="Z51" s="1705"/>
      <c r="AA51" s="1705"/>
      <c r="AB51" s="1705"/>
      <c r="AC51" s="1705"/>
      <c r="AD51" s="1705"/>
      <c r="AE51" s="1705"/>
      <c r="AF51" s="1705"/>
      <c r="AG51" s="1705"/>
      <c r="AH51" s="1705"/>
      <c r="AI51" s="1705"/>
      <c r="AJ51" s="1705"/>
      <c r="AK51" s="1705"/>
    </row>
    <row r="52" spans="1:38">
      <c r="A52" s="149"/>
      <c r="C52" s="5"/>
      <c r="D52" s="149"/>
      <c r="F52" s="1705"/>
      <c r="G52" s="1705"/>
      <c r="H52" s="1705"/>
      <c r="I52" s="1705"/>
      <c r="J52" s="1705"/>
      <c r="K52" s="1705"/>
      <c r="L52" s="1705"/>
      <c r="M52" s="1705"/>
      <c r="N52" s="1705"/>
      <c r="O52" s="1705"/>
      <c r="P52" s="1705"/>
      <c r="Q52" s="1705"/>
      <c r="R52" s="1705"/>
      <c r="S52" s="1705"/>
      <c r="T52" s="1705"/>
      <c r="U52" s="1705"/>
      <c r="V52" s="1705"/>
      <c r="W52" s="1705"/>
      <c r="X52" s="1705"/>
      <c r="Y52" s="1705"/>
      <c r="Z52" s="1705"/>
      <c r="AA52" s="1705"/>
      <c r="AB52" s="1705"/>
      <c r="AC52" s="1705"/>
      <c r="AD52" s="1705"/>
      <c r="AE52" s="1705"/>
      <c r="AF52" s="1705"/>
      <c r="AG52" s="1705"/>
      <c r="AH52" s="1705"/>
      <c r="AI52" s="1705"/>
      <c r="AJ52" s="1705"/>
      <c r="AK52" s="170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678</v>
      </c>
      <c r="F55" s="6" t="s">
        <v>1353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713</v>
      </c>
      <c r="G56" s="1710" t="s">
        <v>1352</v>
      </c>
      <c r="H56" s="1710"/>
      <c r="I56" s="1710"/>
      <c r="J56" s="1710"/>
      <c r="K56" s="1710"/>
      <c r="L56" s="1710"/>
      <c r="M56" s="1710"/>
      <c r="N56" s="1710"/>
      <c r="O56" s="1710"/>
      <c r="P56" s="1710"/>
      <c r="Q56" s="1710"/>
      <c r="R56" s="1710"/>
      <c r="S56" s="1710"/>
      <c r="T56" s="1710"/>
      <c r="U56" s="1710"/>
      <c r="V56" s="1710"/>
      <c r="W56" s="1710"/>
      <c r="X56" s="1710"/>
      <c r="Y56" s="1710"/>
      <c r="Z56" s="1710"/>
      <c r="AA56" s="1710"/>
      <c r="AB56" s="1710"/>
      <c r="AC56" s="1710"/>
      <c r="AD56" s="1710"/>
      <c r="AE56" s="1710"/>
      <c r="AF56" s="1710"/>
      <c r="AG56" s="1710"/>
      <c r="AH56" s="1710"/>
      <c r="AI56" s="1710"/>
      <c r="AJ56" s="1710"/>
      <c r="AK56" s="1710"/>
      <c r="AL56" s="325"/>
    </row>
    <row r="57" spans="1:38" s="709" customFormat="1" ht="13.35" customHeight="1">
      <c r="A57" s="327"/>
      <c r="B57" s="325"/>
      <c r="C57" s="326"/>
      <c r="D57" s="326"/>
      <c r="E57" s="327"/>
      <c r="F57" s="331"/>
      <c r="G57" s="769" t="s">
        <v>1354</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710" t="s">
        <v>600</v>
      </c>
      <c r="H58" s="1710"/>
      <c r="I58" s="171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35" customHeight="1">
      <c r="A59" s="327"/>
      <c r="B59" s="326"/>
      <c r="C59" s="326"/>
      <c r="D59" s="326"/>
      <c r="E59" s="327"/>
      <c r="F59" s="331" t="s">
        <v>533</v>
      </c>
      <c r="G59" s="1711" t="s">
        <v>2611</v>
      </c>
      <c r="H59" s="1711"/>
      <c r="I59" s="1711"/>
      <c r="J59" s="1711"/>
      <c r="K59" s="1711"/>
      <c r="L59" s="1711"/>
      <c r="M59" s="1711"/>
      <c r="N59" s="1711"/>
      <c r="O59" s="1711"/>
      <c r="P59" s="1711"/>
      <c r="Q59" s="1711"/>
      <c r="R59" s="1711"/>
      <c r="S59" s="1711"/>
      <c r="T59" s="1711"/>
      <c r="U59" s="1711"/>
      <c r="V59" s="1711"/>
      <c r="W59" s="1711"/>
      <c r="X59" s="1711"/>
      <c r="Y59" s="1711"/>
      <c r="Z59" s="1711"/>
      <c r="AA59" s="1711"/>
      <c r="AB59" s="1711"/>
      <c r="AC59" s="1711"/>
      <c r="AD59" s="1711"/>
      <c r="AE59" s="1711"/>
      <c r="AF59" s="1711"/>
      <c r="AG59" s="1711"/>
      <c r="AH59" s="1711"/>
      <c r="AI59" s="1711"/>
      <c r="AJ59" s="1711"/>
      <c r="AK59" s="1711"/>
      <c r="AL59" s="1711"/>
    </row>
    <row r="60" spans="1:38" s="2" customFormat="1">
      <c r="A60" s="327"/>
      <c r="B60" s="325"/>
      <c r="C60" s="326"/>
      <c r="D60" s="326"/>
      <c r="E60" s="327"/>
      <c r="F60" s="331"/>
      <c r="G60" s="1711"/>
      <c r="H60" s="1711"/>
      <c r="I60" s="1711"/>
      <c r="J60" s="1711"/>
      <c r="K60" s="1711"/>
      <c r="L60" s="1711"/>
      <c r="M60" s="1711"/>
      <c r="N60" s="1711"/>
      <c r="O60" s="1711"/>
      <c r="P60" s="1711"/>
      <c r="Q60" s="1711"/>
      <c r="R60" s="1711"/>
      <c r="S60" s="1711"/>
      <c r="T60" s="1711"/>
      <c r="U60" s="1711"/>
      <c r="V60" s="1711"/>
      <c r="W60" s="1711"/>
      <c r="X60" s="1711"/>
      <c r="Y60" s="1711"/>
      <c r="Z60" s="1711"/>
      <c r="AA60" s="1711"/>
      <c r="AB60" s="1711"/>
      <c r="AC60" s="1711"/>
      <c r="AD60" s="1711"/>
      <c r="AE60" s="1711"/>
      <c r="AF60" s="1711"/>
      <c r="AG60" s="1711"/>
      <c r="AH60" s="1711"/>
      <c r="AI60" s="1711"/>
      <c r="AJ60" s="1711"/>
      <c r="AK60" s="1711"/>
      <c r="AL60" s="1711"/>
    </row>
    <row r="61" spans="1:38">
      <c r="A61" s="329"/>
      <c r="B61" s="328"/>
      <c r="C61" s="330"/>
      <c r="D61" s="330"/>
      <c r="E61" s="329"/>
      <c r="F61" s="332"/>
      <c r="G61" s="770" t="s">
        <v>1461</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678</v>
      </c>
      <c r="F65" s="149" t="s">
        <v>532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713</v>
      </c>
      <c r="G66" s="1705" t="s">
        <v>1327</v>
      </c>
      <c r="H66" s="1705"/>
      <c r="I66" s="1705"/>
      <c r="J66" s="1705"/>
      <c r="K66" s="170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row>
    <row r="67" spans="1:37">
      <c r="A67" s="149"/>
      <c r="C67" s="5"/>
      <c r="D67" s="149"/>
      <c r="E67" s="149"/>
      <c r="F67" s="9"/>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row>
    <row r="68" spans="1:37">
      <c r="A68" s="149"/>
      <c r="C68" s="5"/>
      <c r="D68" s="149"/>
      <c r="E68" s="149"/>
      <c r="F68" s="9"/>
      <c r="G68" s="1705"/>
      <c r="H68" s="1705"/>
      <c r="I68" s="1705"/>
      <c r="J68" s="1705"/>
      <c r="K68" s="1705"/>
      <c r="L68" s="1705"/>
      <c r="M68" s="1705"/>
      <c r="N68" s="1705"/>
      <c r="O68" s="1705"/>
      <c r="P68" s="1705"/>
      <c r="Q68" s="1705"/>
      <c r="R68" s="1705"/>
      <c r="S68" s="1705"/>
      <c r="T68" s="1705"/>
      <c r="U68" s="1705"/>
      <c r="V68" s="1705"/>
      <c r="W68" s="1705"/>
      <c r="X68" s="1705"/>
      <c r="Y68" s="1705"/>
      <c r="Z68" s="1705"/>
      <c r="AA68" s="1705"/>
      <c r="AB68" s="1705"/>
      <c r="AC68" s="1705"/>
      <c r="AD68" s="1705"/>
      <c r="AE68" s="1705"/>
      <c r="AF68" s="1705"/>
      <c r="AG68" s="1705"/>
      <c r="AH68" s="1705"/>
      <c r="AI68" s="1705"/>
      <c r="AJ68" s="1705"/>
      <c r="AK68" s="1705"/>
    </row>
    <row r="69" spans="1:37" ht="13.35" customHeight="1">
      <c r="A69" s="149"/>
      <c r="C69" s="5"/>
      <c r="D69" s="149"/>
      <c r="E69" s="149"/>
      <c r="F69" s="9" t="s">
        <v>533</v>
      </c>
      <c r="G69" s="1705" t="s">
        <v>1328</v>
      </c>
      <c r="H69" s="1705"/>
      <c r="I69" s="1705"/>
      <c r="J69" s="1705"/>
      <c r="K69" s="1705"/>
      <c r="L69" s="1705"/>
      <c r="M69" s="1705"/>
      <c r="N69" s="1705"/>
      <c r="O69" s="1705"/>
      <c r="P69" s="1705"/>
      <c r="Q69" s="1705"/>
      <c r="R69" s="1705"/>
      <c r="S69" s="1705"/>
      <c r="T69" s="1705"/>
      <c r="U69" s="1705"/>
      <c r="V69" s="1705"/>
      <c r="W69" s="1705"/>
      <c r="X69" s="1705"/>
      <c r="Y69" s="1705"/>
      <c r="Z69" s="1705"/>
      <c r="AA69" s="1705"/>
      <c r="AB69" s="1705"/>
      <c r="AC69" s="1705"/>
      <c r="AD69" s="1705"/>
      <c r="AE69" s="1705"/>
      <c r="AF69" s="1705"/>
      <c r="AG69" s="1705"/>
      <c r="AH69" s="1705"/>
      <c r="AI69" s="1705"/>
      <c r="AJ69" s="1705"/>
      <c r="AK69" s="1705"/>
    </row>
    <row r="70" spans="1:37">
      <c r="A70" s="149"/>
      <c r="C70" s="5"/>
      <c r="D70" s="149"/>
      <c r="E70" s="149"/>
      <c r="F70" s="376"/>
      <c r="G70" s="1705"/>
      <c r="H70" s="1705"/>
      <c r="I70" s="1705"/>
      <c r="J70" s="1705"/>
      <c r="K70" s="1705"/>
      <c r="L70" s="1705"/>
      <c r="M70" s="1705"/>
      <c r="N70" s="1705"/>
      <c r="O70" s="1705"/>
      <c r="P70" s="1705"/>
      <c r="Q70" s="1705"/>
      <c r="R70" s="1705"/>
      <c r="S70" s="1705"/>
      <c r="T70" s="1705"/>
      <c r="U70" s="1705"/>
      <c r="V70" s="1705"/>
      <c r="W70" s="1705"/>
      <c r="X70" s="1705"/>
      <c r="Y70" s="1705"/>
      <c r="Z70" s="1705"/>
      <c r="AA70" s="1705"/>
      <c r="AB70" s="1705"/>
      <c r="AC70" s="1705"/>
      <c r="AD70" s="1705"/>
      <c r="AE70" s="1705"/>
      <c r="AF70" s="1705"/>
      <c r="AG70" s="1705"/>
      <c r="AH70" s="1705"/>
      <c r="AI70" s="1705"/>
      <c r="AJ70" s="1705"/>
      <c r="AK70" s="1705"/>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713</v>
      </c>
      <c r="G72" s="1705" t="s">
        <v>1329</v>
      </c>
      <c r="H72" s="1705"/>
      <c r="I72" s="1705"/>
      <c r="J72" s="1705"/>
      <c r="K72" s="1705"/>
      <c r="L72" s="1705"/>
      <c r="M72" s="1705"/>
      <c r="N72" s="1705"/>
      <c r="O72" s="1705"/>
      <c r="P72" s="1705"/>
      <c r="Q72" s="1705"/>
      <c r="R72" s="1705"/>
      <c r="S72" s="1705"/>
      <c r="T72" s="1705"/>
      <c r="U72" s="1705"/>
      <c r="V72" s="1705"/>
      <c r="W72" s="1705"/>
      <c r="X72" s="1705"/>
      <c r="Y72" s="1705"/>
      <c r="Z72" s="1705"/>
      <c r="AA72" s="1705"/>
      <c r="AB72" s="1705"/>
      <c r="AC72" s="1705"/>
      <c r="AD72" s="1705"/>
      <c r="AE72" s="1705"/>
      <c r="AF72" s="1705"/>
      <c r="AG72" s="1705"/>
      <c r="AH72" s="1705"/>
      <c r="AI72" s="1705"/>
      <c r="AJ72" s="1705"/>
      <c r="AK72" s="1705"/>
    </row>
    <row r="73" spans="1:37">
      <c r="A73" s="149"/>
      <c r="C73" s="5"/>
      <c r="D73" s="149"/>
      <c r="E73" s="149"/>
      <c r="F73" s="249"/>
      <c r="G73" s="1705"/>
      <c r="H73" s="1705"/>
      <c r="I73" s="1705"/>
      <c r="J73" s="1705"/>
      <c r="K73" s="1705"/>
      <c r="L73" s="1705"/>
      <c r="M73" s="1705"/>
      <c r="N73" s="1705"/>
      <c r="O73" s="1705"/>
      <c r="P73" s="1705"/>
      <c r="Q73" s="1705"/>
      <c r="R73" s="1705"/>
      <c r="S73" s="1705"/>
      <c r="T73" s="1705"/>
      <c r="U73" s="1705"/>
      <c r="V73" s="1705"/>
      <c r="W73" s="1705"/>
      <c r="X73" s="1705"/>
      <c r="Y73" s="1705"/>
      <c r="Z73" s="1705"/>
      <c r="AA73" s="1705"/>
      <c r="AB73" s="1705"/>
      <c r="AC73" s="1705"/>
      <c r="AD73" s="1705"/>
      <c r="AE73" s="1705"/>
      <c r="AF73" s="1705"/>
      <c r="AG73" s="1705"/>
      <c r="AH73" s="1705"/>
      <c r="AI73" s="1705"/>
      <c r="AJ73" s="1705"/>
      <c r="AK73" s="1705"/>
    </row>
    <row r="74" spans="1:37">
      <c r="A74" s="149"/>
      <c r="C74" s="5"/>
      <c r="D74" s="149"/>
      <c r="E74" s="149"/>
      <c r="F74" s="249" t="s">
        <v>533</v>
      </c>
      <c r="G74" s="1705" t="s">
        <v>1330</v>
      </c>
      <c r="H74" s="1705"/>
      <c r="I74" s="1705"/>
      <c r="J74" s="1705"/>
      <c r="K74" s="1705"/>
      <c r="L74" s="1705"/>
      <c r="M74" s="1705"/>
      <c r="N74" s="1705"/>
      <c r="O74" s="1705"/>
      <c r="P74" s="1705"/>
      <c r="Q74" s="1705"/>
      <c r="R74" s="1705"/>
      <c r="S74" s="1705"/>
      <c r="T74" s="1705"/>
      <c r="U74" s="1705"/>
      <c r="V74" s="1705"/>
      <c r="W74" s="1705"/>
      <c r="X74" s="1705"/>
      <c r="Y74" s="1705"/>
      <c r="Z74" s="1705"/>
      <c r="AA74" s="1705"/>
      <c r="AB74" s="1705"/>
      <c r="AC74" s="1705"/>
      <c r="AD74" s="1705"/>
      <c r="AE74" s="1705"/>
      <c r="AF74" s="1705"/>
      <c r="AG74" s="1705"/>
      <c r="AH74" s="1705"/>
      <c r="AI74" s="1705"/>
      <c r="AJ74" s="1705"/>
      <c r="AK74" s="1705"/>
    </row>
    <row r="75" spans="1:37">
      <c r="A75" s="149"/>
      <c r="C75" s="5"/>
      <c r="D75" s="149"/>
      <c r="E75" s="149"/>
      <c r="F75" s="249"/>
      <c r="G75" s="1705"/>
      <c r="H75" s="1705"/>
      <c r="I75" s="1705"/>
      <c r="J75" s="1705"/>
      <c r="K75" s="1705"/>
      <c r="L75" s="1705"/>
      <c r="M75" s="1705"/>
      <c r="N75" s="1705"/>
      <c r="O75" s="1705"/>
      <c r="P75" s="1705"/>
      <c r="Q75" s="1705"/>
      <c r="R75" s="1705"/>
      <c r="S75" s="1705"/>
      <c r="T75" s="1705"/>
      <c r="U75" s="1705"/>
      <c r="V75" s="1705"/>
      <c r="W75" s="1705"/>
      <c r="X75" s="1705"/>
      <c r="Y75" s="1705"/>
      <c r="Z75" s="1705"/>
      <c r="AA75" s="1705"/>
      <c r="AB75" s="1705"/>
      <c r="AC75" s="1705"/>
      <c r="AD75" s="1705"/>
      <c r="AE75" s="1705"/>
      <c r="AF75" s="1705"/>
      <c r="AG75" s="1705"/>
      <c r="AH75" s="1705"/>
      <c r="AI75" s="1705"/>
      <c r="AJ75" s="1705"/>
      <c r="AK75" s="1705"/>
    </row>
    <row r="76" spans="1:37">
      <c r="A76" s="149"/>
      <c r="C76" s="5"/>
      <c r="D76" s="149"/>
      <c r="E76" s="149"/>
      <c r="F76" s="249"/>
      <c r="G76" s="184" t="s">
        <v>779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909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1089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531</v>
      </c>
      <c r="H79" s="149" t="s">
        <v>910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786</v>
      </c>
      <c r="H80" s="149" t="s">
        <v>782</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705" t="s">
        <v>1331</v>
      </c>
      <c r="H82" s="1705"/>
      <c r="I82" s="1705"/>
      <c r="J82" s="1705"/>
      <c r="K82" s="1705"/>
      <c r="L82" s="1705"/>
      <c r="M82" s="1705"/>
      <c r="N82" s="1705"/>
      <c r="O82" s="1705"/>
      <c r="P82" s="1705"/>
      <c r="Q82" s="1705"/>
      <c r="R82" s="1705"/>
      <c r="S82" s="1705"/>
      <c r="T82" s="1705"/>
      <c r="U82" s="1705"/>
      <c r="V82" s="1705"/>
      <c r="W82" s="1705"/>
      <c r="X82" s="1705"/>
      <c r="Y82" s="1705"/>
      <c r="Z82" s="1705"/>
      <c r="AA82" s="1705"/>
      <c r="AB82" s="1705"/>
      <c r="AC82" s="1705"/>
      <c r="AD82" s="1705"/>
      <c r="AE82" s="1705"/>
      <c r="AF82" s="1705"/>
      <c r="AG82" s="1705"/>
      <c r="AH82" s="1705"/>
      <c r="AI82" s="1705"/>
      <c r="AJ82" s="1705"/>
      <c r="AK82" s="1705"/>
    </row>
    <row r="83" spans="1:37">
      <c r="A83" s="149"/>
      <c r="C83" s="5"/>
      <c r="D83" s="149"/>
      <c r="E83" s="149"/>
      <c r="F83" s="149"/>
      <c r="G83" s="1705"/>
      <c r="H83" s="1705"/>
      <c r="I83" s="1705"/>
      <c r="J83" s="1705"/>
      <c r="K83" s="1705"/>
      <c r="L83" s="1705"/>
      <c r="M83" s="1705"/>
      <c r="N83" s="1705"/>
      <c r="O83" s="1705"/>
      <c r="P83" s="1705"/>
      <c r="Q83" s="1705"/>
      <c r="R83" s="1705"/>
      <c r="S83" s="1705"/>
      <c r="T83" s="1705"/>
      <c r="U83" s="1705"/>
      <c r="V83" s="1705"/>
      <c r="W83" s="1705"/>
      <c r="X83" s="1705"/>
      <c r="Y83" s="1705"/>
      <c r="Z83" s="1705"/>
      <c r="AA83" s="1705"/>
      <c r="AB83" s="1705"/>
      <c r="AC83" s="1705"/>
      <c r="AD83" s="1705"/>
      <c r="AE83" s="1705"/>
      <c r="AF83" s="1705"/>
      <c r="AG83" s="1705"/>
      <c r="AH83" s="1705"/>
      <c r="AI83" s="1705"/>
      <c r="AJ83" s="1705"/>
      <c r="AK83" s="1705"/>
    </row>
    <row r="84" spans="1:37" s="709" customFormat="1">
      <c r="A84" s="149"/>
      <c r="C84" s="5"/>
      <c r="D84" s="149"/>
      <c r="E84" s="149"/>
      <c r="F84" s="149"/>
      <c r="G84" s="1705"/>
      <c r="H84" s="1705"/>
      <c r="I84" s="1705"/>
      <c r="J84" s="1705"/>
      <c r="K84" s="1705"/>
      <c r="L84" s="1705"/>
      <c r="M84" s="1705"/>
      <c r="N84" s="1705"/>
      <c r="O84" s="1705"/>
      <c r="P84" s="1705"/>
      <c r="Q84" s="1705"/>
      <c r="R84" s="1705"/>
      <c r="S84" s="1705"/>
      <c r="T84" s="1705"/>
      <c r="U84" s="1705"/>
      <c r="V84" s="1705"/>
      <c r="W84" s="1705"/>
      <c r="X84" s="1705"/>
      <c r="Y84" s="1705"/>
      <c r="Z84" s="1705"/>
      <c r="AA84" s="1705"/>
      <c r="AB84" s="1705"/>
      <c r="AC84" s="1705"/>
      <c r="AD84" s="1705"/>
      <c r="AE84" s="1705"/>
      <c r="AF84" s="1705"/>
      <c r="AG84" s="1705"/>
      <c r="AH84" s="1705"/>
      <c r="AI84" s="1705"/>
      <c r="AJ84" s="1705"/>
      <c r="AK84" s="1705"/>
    </row>
    <row r="85" spans="1:37">
      <c r="A85" s="149"/>
      <c r="C85" s="5"/>
      <c r="D85" s="149"/>
      <c r="E85" s="149" t="s">
        <v>461</v>
      </c>
      <c r="F85" s="149" t="s">
        <v>641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705" t="s">
        <v>1332</v>
      </c>
      <c r="H86" s="1705"/>
      <c r="I86" s="1705"/>
      <c r="J86" s="1705"/>
      <c r="K86" s="1705"/>
      <c r="L86" s="1705"/>
      <c r="M86" s="1705"/>
      <c r="N86" s="1705"/>
      <c r="O86" s="1705"/>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row>
    <row r="87" spans="1:37">
      <c r="A87" s="149"/>
      <c r="C87" s="5"/>
      <c r="D87" s="149"/>
      <c r="E87" s="149"/>
      <c r="F87" s="149"/>
      <c r="G87" s="1705"/>
      <c r="H87" s="1705"/>
      <c r="I87" s="1705"/>
      <c r="J87" s="1705"/>
      <c r="K87" s="1705"/>
      <c r="L87" s="1705"/>
      <c r="M87" s="1705"/>
      <c r="N87" s="1705"/>
      <c r="O87" s="1705"/>
      <c r="P87" s="1705"/>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row>
    <row r="88" spans="1:37">
      <c r="A88" s="149"/>
      <c r="C88" s="5"/>
      <c r="D88" s="149"/>
      <c r="E88" s="149"/>
      <c r="G88" s="1705"/>
      <c r="H88" s="1705"/>
      <c r="I88" s="1705"/>
      <c r="J88" s="1705"/>
      <c r="K88" s="1705"/>
      <c r="L88" s="1705"/>
      <c r="M88" s="1705"/>
      <c r="N88" s="1705"/>
      <c r="O88" s="1705"/>
      <c r="P88" s="1705"/>
      <c r="Q88" s="1705"/>
      <c r="R88" s="1705"/>
      <c r="S88" s="1705"/>
      <c r="T88" s="1705"/>
      <c r="U88" s="1705"/>
      <c r="V88" s="1705"/>
      <c r="W88" s="1705"/>
      <c r="X88" s="1705"/>
      <c r="Y88" s="1705"/>
      <c r="Z88" s="1705"/>
      <c r="AA88" s="1705"/>
      <c r="AB88" s="1705"/>
      <c r="AC88" s="1705"/>
      <c r="AD88" s="1705"/>
      <c r="AE88" s="1705"/>
      <c r="AF88" s="1705"/>
      <c r="AG88" s="1705"/>
      <c r="AH88" s="1705"/>
      <c r="AI88" s="1705"/>
      <c r="AJ88" s="1705"/>
      <c r="AK88" s="1705"/>
    </row>
    <row r="89" spans="1:37">
      <c r="A89" s="149"/>
      <c r="C89" s="5"/>
      <c r="D89" s="149"/>
      <c r="E89" s="149" t="s">
        <v>267</v>
      </c>
      <c r="F89" t="s">
        <v>911</v>
      </c>
      <c r="G89" s="149"/>
      <c r="L89" s="149"/>
      <c r="M89" s="149"/>
      <c r="P89" s="149"/>
      <c r="Q89" s="149"/>
      <c r="R89" s="149"/>
      <c r="S89" s="149"/>
      <c r="T89" s="149"/>
      <c r="U89" s="149"/>
      <c r="V89" s="149"/>
      <c r="W89" s="149"/>
      <c r="X89" s="149"/>
      <c r="Y89" s="149"/>
      <c r="Z89" s="149"/>
      <c r="AA89" s="149"/>
      <c r="AB89" s="149"/>
    </row>
    <row r="90" spans="1:37">
      <c r="A90" s="149"/>
      <c r="C90" s="5"/>
      <c r="D90" s="149"/>
      <c r="E90" s="149"/>
      <c r="G90" s="1708" t="s">
        <v>1333</v>
      </c>
      <c r="H90" s="1708"/>
      <c r="I90" s="1708"/>
      <c r="J90" s="1708"/>
      <c r="K90" s="1708"/>
      <c r="L90" s="1708"/>
      <c r="M90" s="1708"/>
      <c r="N90" s="1708"/>
      <c r="O90" s="1708"/>
      <c r="P90" s="1708"/>
      <c r="Q90" s="1708"/>
      <c r="R90" s="1708"/>
      <c r="S90" s="1708"/>
      <c r="T90" s="1708"/>
      <c r="U90" s="1708"/>
      <c r="V90" s="1708"/>
      <c r="W90" s="1708"/>
      <c r="X90" s="1708"/>
      <c r="Y90" s="1708"/>
      <c r="Z90" s="1708"/>
      <c r="AA90" s="1708"/>
      <c r="AB90" s="1708"/>
      <c r="AC90" s="1708"/>
      <c r="AD90" s="1708"/>
      <c r="AE90" s="1708"/>
      <c r="AF90" s="1708"/>
      <c r="AG90" s="1708"/>
      <c r="AH90" s="1708"/>
      <c r="AI90" s="1708"/>
      <c r="AJ90" s="1708"/>
      <c r="AK90" s="1708"/>
    </row>
    <row r="91" spans="1:37" s="709" customFormat="1">
      <c r="A91" s="149"/>
      <c r="C91" s="5"/>
      <c r="D91" s="149"/>
      <c r="E91" s="149"/>
      <c r="G91" s="1708"/>
      <c r="H91" s="1708"/>
      <c r="I91" s="1708"/>
      <c r="J91" s="1708"/>
      <c r="K91" s="1708"/>
      <c r="L91" s="1708"/>
      <c r="M91" s="1708"/>
      <c r="N91" s="1708"/>
      <c r="O91" s="1708"/>
      <c r="P91" s="1708"/>
      <c r="Q91" s="1708"/>
      <c r="R91" s="1708"/>
      <c r="S91" s="1708"/>
      <c r="T91" s="1708"/>
      <c r="U91" s="1708"/>
      <c r="V91" s="1708"/>
      <c r="W91" s="1708"/>
      <c r="X91" s="1708"/>
      <c r="Y91" s="1708"/>
      <c r="Z91" s="1708"/>
      <c r="AA91" s="1708"/>
      <c r="AB91" s="1708"/>
      <c r="AC91" s="1708"/>
      <c r="AD91" s="1708"/>
      <c r="AE91" s="1708"/>
      <c r="AF91" s="1708"/>
      <c r="AG91" s="1708"/>
      <c r="AH91" s="1708"/>
      <c r="AI91" s="1708"/>
      <c r="AJ91" s="1708"/>
      <c r="AK91" s="1708"/>
    </row>
    <row r="92" spans="1:37">
      <c r="A92" s="149"/>
      <c r="C92" s="5"/>
      <c r="D92" s="149"/>
      <c r="E92" s="149"/>
      <c r="G92" s="1708"/>
      <c r="H92" s="1708"/>
      <c r="I92" s="1708"/>
      <c r="J92" s="1708"/>
      <c r="K92" s="1708"/>
      <c r="L92" s="1708"/>
      <c r="M92" s="1708"/>
      <c r="N92" s="1708"/>
      <c r="O92" s="1708"/>
      <c r="P92" s="1708"/>
      <c r="Q92" s="1708"/>
      <c r="R92" s="1708"/>
      <c r="S92" s="1708"/>
      <c r="T92" s="1708"/>
      <c r="U92" s="1708"/>
      <c r="V92" s="1708"/>
      <c r="W92" s="1708"/>
      <c r="X92" s="1708"/>
      <c r="Y92" s="1708"/>
      <c r="Z92" s="1708"/>
      <c r="AA92" s="1708"/>
      <c r="AB92" s="1708"/>
      <c r="AC92" s="1708"/>
      <c r="AD92" s="1708"/>
      <c r="AE92" s="1708"/>
      <c r="AF92" s="1708"/>
      <c r="AG92" s="1708"/>
      <c r="AH92" s="1708"/>
      <c r="AI92" s="1708"/>
      <c r="AJ92" s="1708"/>
      <c r="AK92" s="1708"/>
    </row>
    <row r="93" spans="1:37">
      <c r="A93" s="149"/>
      <c r="C93" s="5"/>
      <c r="D93" s="149"/>
      <c r="E93" s="149" t="s">
        <v>268</v>
      </c>
      <c r="F93" s="149" t="s">
        <v>540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705" t="s">
        <v>1334</v>
      </c>
      <c r="H94" s="1705"/>
      <c r="I94" s="1705"/>
      <c r="J94" s="1705"/>
      <c r="K94" s="1705"/>
      <c r="L94" s="1705"/>
      <c r="M94" s="1705"/>
      <c r="N94" s="1705"/>
      <c r="O94" s="1705"/>
      <c r="P94" s="1705"/>
      <c r="Q94" s="1705"/>
      <c r="R94" s="1705"/>
      <c r="S94" s="1705"/>
      <c r="T94" s="1705"/>
      <c r="U94" s="1705"/>
      <c r="V94" s="1705"/>
      <c r="W94" s="1705"/>
      <c r="X94" s="1705"/>
      <c r="Y94" s="1705"/>
      <c r="Z94" s="1705"/>
      <c r="AA94" s="1705"/>
      <c r="AB94" s="1705"/>
      <c r="AC94" s="1705"/>
      <c r="AD94" s="1705"/>
      <c r="AE94" s="1705"/>
      <c r="AF94" s="1705"/>
      <c r="AG94" s="1705"/>
      <c r="AH94" s="1705"/>
      <c r="AI94" s="1705"/>
      <c r="AJ94" s="1705"/>
      <c r="AK94" s="1705"/>
    </row>
    <row r="95" spans="1:37">
      <c r="A95" s="149"/>
      <c r="C95" s="5"/>
      <c r="D95" s="149"/>
      <c r="E95" s="149"/>
      <c r="G95" s="1705"/>
      <c r="H95" s="1705"/>
      <c r="I95" s="1705"/>
      <c r="J95" s="1705"/>
      <c r="K95" s="1705"/>
      <c r="L95" s="1705"/>
      <c r="M95" s="1705"/>
      <c r="N95" s="1705"/>
      <c r="O95" s="1705"/>
      <c r="P95" s="1705"/>
      <c r="Q95" s="1705"/>
      <c r="R95" s="1705"/>
      <c r="S95" s="1705"/>
      <c r="T95" s="1705"/>
      <c r="U95" s="1705"/>
      <c r="V95" s="1705"/>
      <c r="W95" s="1705"/>
      <c r="X95" s="1705"/>
      <c r="Y95" s="1705"/>
      <c r="Z95" s="1705"/>
      <c r="AA95" s="1705"/>
      <c r="AB95" s="1705"/>
      <c r="AC95" s="1705"/>
      <c r="AD95" s="1705"/>
      <c r="AE95" s="1705"/>
      <c r="AF95" s="1705"/>
      <c r="AG95" s="1705"/>
      <c r="AH95" s="1705"/>
      <c r="AI95" s="1705"/>
      <c r="AJ95" s="1705"/>
      <c r="AK95" s="1705"/>
    </row>
    <row r="96" spans="1:37">
      <c r="A96" s="149"/>
      <c r="C96" s="5"/>
      <c r="D96" s="149"/>
      <c r="E96" s="149" t="s">
        <v>954</v>
      </c>
      <c r="F96" s="327" t="s">
        <v>955</v>
      </c>
      <c r="G96" s="327"/>
      <c r="L96" s="149"/>
      <c r="M96" s="149"/>
      <c r="P96" s="149"/>
      <c r="Q96" s="149"/>
      <c r="R96" s="149"/>
      <c r="S96" s="149"/>
      <c r="T96" s="149"/>
      <c r="U96" s="149"/>
      <c r="V96" s="149"/>
      <c r="W96" s="149"/>
      <c r="X96" s="149"/>
      <c r="Y96" s="149"/>
      <c r="Z96" s="149"/>
      <c r="AA96" s="149"/>
      <c r="AB96" s="149"/>
    </row>
    <row r="97" spans="1:38">
      <c r="A97" s="149"/>
      <c r="C97" s="5"/>
      <c r="D97" s="149"/>
      <c r="E97" s="149"/>
      <c r="G97" s="1705" t="s">
        <v>1335</v>
      </c>
      <c r="H97" s="1705"/>
      <c r="I97" s="1705"/>
      <c r="J97" s="1705"/>
      <c r="K97" s="1705"/>
      <c r="L97" s="1705"/>
      <c r="M97" s="1705"/>
      <c r="N97" s="1705"/>
      <c r="O97" s="1705"/>
      <c r="P97" s="1705"/>
      <c r="Q97" s="1705"/>
      <c r="R97" s="1705"/>
      <c r="S97" s="1705"/>
      <c r="T97" s="1705"/>
      <c r="U97" s="1705"/>
      <c r="V97" s="1705"/>
      <c r="W97" s="1705"/>
      <c r="X97" s="1705"/>
      <c r="Y97" s="1705"/>
      <c r="Z97" s="1705"/>
      <c r="AA97" s="1705"/>
      <c r="AB97" s="1705"/>
      <c r="AC97" s="1705"/>
      <c r="AD97" s="1705"/>
      <c r="AE97" s="1705"/>
      <c r="AF97" s="1705"/>
      <c r="AG97" s="1705"/>
      <c r="AH97" s="1705"/>
      <c r="AI97" s="1705"/>
      <c r="AJ97" s="1705"/>
      <c r="AK97" s="1705"/>
    </row>
    <row r="98" spans="1:38">
      <c r="A98" s="149"/>
      <c r="C98" s="183"/>
      <c r="D98" s="182"/>
      <c r="E98" s="182"/>
      <c r="F98" s="2"/>
      <c r="G98" s="1705"/>
      <c r="H98" s="1705"/>
      <c r="I98" s="1705"/>
      <c r="J98" s="1705"/>
      <c r="K98" s="1705"/>
      <c r="L98" s="1705"/>
      <c r="M98" s="1705"/>
      <c r="N98" s="1705"/>
      <c r="O98" s="1705"/>
      <c r="P98" s="1705"/>
      <c r="Q98" s="1705"/>
      <c r="R98" s="1705"/>
      <c r="S98" s="1705"/>
      <c r="T98" s="1705"/>
      <c r="U98" s="1705"/>
      <c r="V98" s="1705"/>
      <c r="W98" s="1705"/>
      <c r="X98" s="1705"/>
      <c r="Y98" s="1705"/>
      <c r="Z98" s="1705"/>
      <c r="AA98" s="1705"/>
      <c r="AB98" s="1705"/>
      <c r="AC98" s="1705"/>
      <c r="AD98" s="1705"/>
      <c r="AE98" s="1705"/>
      <c r="AF98" s="1705"/>
      <c r="AG98" s="1705"/>
      <c r="AH98" s="1705"/>
      <c r="AI98" s="1705"/>
      <c r="AJ98" s="1705"/>
      <c r="AK98" s="1705"/>
      <c r="AL98" s="2"/>
    </row>
    <row r="99" spans="1:38">
      <c r="A99" s="149"/>
      <c r="C99" s="183"/>
      <c r="D99" s="182"/>
      <c r="E99" s="182"/>
      <c r="F99" s="2"/>
      <c r="G99" s="1705"/>
      <c r="H99" s="1705"/>
      <c r="I99" s="1705"/>
      <c r="J99" s="1705"/>
      <c r="K99" s="1705"/>
      <c r="L99" s="1705"/>
      <c r="M99" s="1705"/>
      <c r="N99" s="1705"/>
      <c r="O99" s="1705"/>
      <c r="P99" s="1705"/>
      <c r="Q99" s="1705"/>
      <c r="R99" s="1705"/>
      <c r="S99" s="1705"/>
      <c r="T99" s="1705"/>
      <c r="U99" s="1705"/>
      <c r="V99" s="1705"/>
      <c r="W99" s="1705"/>
      <c r="X99" s="1705"/>
      <c r="Y99" s="1705"/>
      <c r="Z99" s="1705"/>
      <c r="AA99" s="1705"/>
      <c r="AB99" s="1705"/>
      <c r="AC99" s="1705"/>
      <c r="AD99" s="1705"/>
      <c r="AE99" s="1705"/>
      <c r="AF99" s="1705"/>
      <c r="AG99" s="1705"/>
      <c r="AH99" s="1705"/>
      <c r="AI99" s="1705"/>
      <c r="AJ99" s="1705"/>
      <c r="AK99" s="1705"/>
      <c r="AL99" s="2"/>
    </row>
    <row r="100" spans="1:38">
      <c r="A100" s="149"/>
      <c r="C100" s="2"/>
      <c r="D100" s="486"/>
      <c r="E100" s="1709" t="s">
        <v>1336</v>
      </c>
      <c r="F100" s="1709"/>
      <c r="G100" s="1709"/>
      <c r="H100" s="1709"/>
      <c r="I100" s="1709"/>
      <c r="J100" s="1709"/>
      <c r="K100" s="1709"/>
      <c r="L100" s="1709"/>
      <c r="M100" s="1709"/>
      <c r="N100" s="1709"/>
      <c r="O100" s="1709"/>
      <c r="P100" s="1709"/>
      <c r="Q100" s="1709"/>
      <c r="R100" s="1709"/>
      <c r="S100" s="1709"/>
      <c r="T100" s="1709"/>
      <c r="U100" s="1709"/>
      <c r="V100" s="1709"/>
      <c r="W100" s="1709"/>
      <c r="X100" s="1709"/>
      <c r="Y100" s="1709"/>
      <c r="Z100" s="1709"/>
      <c r="AA100" s="1709"/>
      <c r="AB100" s="1709"/>
      <c r="AC100" s="1709"/>
      <c r="AD100" s="1709"/>
      <c r="AE100" s="1709"/>
      <c r="AF100" s="1709"/>
      <c r="AG100" s="1709"/>
      <c r="AH100" s="1709"/>
      <c r="AI100" s="1709"/>
      <c r="AJ100" s="1709"/>
      <c r="AK100" s="1709"/>
      <c r="AL100" s="2"/>
    </row>
    <row r="101" spans="1:38">
      <c r="A101" s="149"/>
      <c r="D101" s="153"/>
      <c r="E101" s="1709"/>
      <c r="F101" s="1709"/>
      <c r="G101" s="1709"/>
      <c r="H101" s="1709"/>
      <c r="I101" s="1709"/>
      <c r="J101" s="1709"/>
      <c r="K101" s="1709"/>
      <c r="L101" s="1709"/>
      <c r="M101" s="1709"/>
      <c r="N101" s="1709"/>
      <c r="O101" s="1709"/>
      <c r="P101" s="1709"/>
      <c r="Q101" s="1709"/>
      <c r="R101" s="1709"/>
      <c r="S101" s="1709"/>
      <c r="T101" s="1709"/>
      <c r="U101" s="1709"/>
      <c r="V101" s="1709"/>
      <c r="W101" s="1709"/>
      <c r="X101" s="1709"/>
      <c r="Y101" s="1709"/>
      <c r="Z101" s="1709"/>
      <c r="AA101" s="1709"/>
      <c r="AB101" s="1709"/>
      <c r="AC101" s="1709"/>
      <c r="AD101" s="1709"/>
      <c r="AE101" s="1709"/>
      <c r="AF101" s="1709"/>
      <c r="AG101" s="1709"/>
      <c r="AH101" s="1709"/>
      <c r="AI101" s="1709"/>
      <c r="AJ101" s="1709"/>
      <c r="AK101" s="170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1347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1349</v>
      </c>
      <c r="F106" s="5"/>
      <c r="G106" s="5"/>
      <c r="H106" s="5"/>
      <c r="I106" s="5"/>
      <c r="J106" s="5"/>
      <c r="K106" s="5"/>
      <c r="L106" s="5"/>
      <c r="M106" s="5"/>
    </row>
    <row r="107" spans="1:38">
      <c r="B107" s="5"/>
      <c r="C107" s="5"/>
      <c r="E107" s="149" t="s">
        <v>117</v>
      </c>
      <c r="F107" s="152" t="s">
        <v>677</v>
      </c>
      <c r="G107" s="5"/>
      <c r="H107" s="5"/>
      <c r="I107" s="5"/>
      <c r="J107" s="5"/>
      <c r="K107" s="5"/>
    </row>
    <row r="108" spans="1:38">
      <c r="E108" s="182"/>
      <c r="F108" s="2" t="s">
        <v>679</v>
      </c>
      <c r="G108" s="2"/>
      <c r="H108" s="2"/>
      <c r="I108" s="2"/>
      <c r="J108" s="2"/>
      <c r="K108" s="2"/>
      <c r="L108" s="2"/>
      <c r="M108" s="2"/>
    </row>
    <row r="109" spans="1:38">
      <c r="E109" s="149"/>
      <c r="F109" t="s">
        <v>680</v>
      </c>
      <c r="G109" s="9"/>
    </row>
    <row r="110" spans="1:38">
      <c r="E110" s="149"/>
    </row>
    <row r="111" spans="1:38">
      <c r="E111" s="149" t="s">
        <v>118</v>
      </c>
      <c r="F111" s="152" t="s">
        <v>681</v>
      </c>
      <c r="G111" s="5"/>
      <c r="H111" s="5"/>
      <c r="I111" s="5"/>
      <c r="J111" s="5"/>
    </row>
    <row r="112" spans="1:38" s="1" customFormat="1">
      <c r="A112"/>
      <c r="B112"/>
      <c r="C112"/>
      <c r="D112"/>
      <c r="E112" s="149"/>
      <c r="F112" t="s">
        <v>682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683</v>
      </c>
      <c r="G114" s="5"/>
      <c r="H114" s="5"/>
      <c r="I114" s="5"/>
      <c r="J114" s="5"/>
      <c r="K114" s="5"/>
      <c r="L114" s="5"/>
      <c r="M114" s="5"/>
      <c r="N114" s="5"/>
      <c r="O114" s="5"/>
      <c r="P114" s="5"/>
    </row>
    <row r="115" spans="1:38">
      <c r="E115" s="149"/>
      <c r="F115" s="149" t="s">
        <v>977</v>
      </c>
    </row>
    <row r="116" spans="1:38" s="9" customFormat="1" ht="12.75" customHeight="1">
      <c r="A116"/>
      <c r="B116"/>
      <c r="C116"/>
      <c r="D116"/>
      <c r="E116"/>
      <c r="F116" s="149" t="s">
        <v>1007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606</v>
      </c>
      <c r="F118" s="152" t="s">
        <v>978</v>
      </c>
    </row>
    <row r="119" spans="1:38">
      <c r="F119" s="149" t="s">
        <v>1090</v>
      </c>
      <c r="G119" s="149"/>
    </row>
    <row r="120" spans="1:38">
      <c r="F120" s="153" t="s">
        <v>1348</v>
      </c>
      <c r="G120" s="153"/>
    </row>
    <row r="121" spans="1:38">
      <c r="G121" s="153"/>
    </row>
    <row r="122" spans="1:38">
      <c r="E122" s="149" t="s">
        <v>804</v>
      </c>
      <c r="F122" s="152" t="s">
        <v>392</v>
      </c>
    </row>
    <row r="123" spans="1:38">
      <c r="E123" s="149"/>
      <c r="F123" s="149" t="s">
        <v>1081</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979</v>
      </c>
      <c r="F127" s="149"/>
    </row>
    <row r="128" spans="1:38"/>
    <row r="129" spans="4:37">
      <c r="D129" s="5" t="s">
        <v>347</v>
      </c>
      <c r="E129" s="5" t="s">
        <v>602</v>
      </c>
    </row>
    <row r="130" spans="4:37">
      <c r="E130" s="149" t="s">
        <v>979</v>
      </c>
      <c r="F130" s="149"/>
    </row>
    <row r="131" spans="4:37"/>
    <row r="132" spans="4:37">
      <c r="D132" s="5" t="s">
        <v>599</v>
      </c>
      <c r="E132" s="5" t="s">
        <v>753</v>
      </c>
      <c r="G132" s="5"/>
      <c r="H132" s="5"/>
      <c r="I132" s="5"/>
      <c r="J132" s="5"/>
      <c r="K132" s="5"/>
      <c r="L132" s="5"/>
      <c r="M132" s="5"/>
      <c r="N132" s="5"/>
    </row>
    <row r="133" spans="4:37" s="709" customFormat="1">
      <c r="D133" s="5"/>
      <c r="E133" s="876" t="s">
        <v>1433</v>
      </c>
      <c r="G133" s="5"/>
      <c r="H133" s="5"/>
      <c r="I133" s="5"/>
      <c r="J133" s="5"/>
      <c r="K133" s="5"/>
      <c r="L133" s="5"/>
      <c r="M133" s="5"/>
      <c r="N133" s="5"/>
    </row>
    <row r="134" spans="4:37" ht="12.75" customHeight="1">
      <c r="E134" s="876" t="s">
        <v>1431</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1432</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538</v>
      </c>
      <c r="E137" s="5" t="s">
        <v>541</v>
      </c>
      <c r="F137" s="5"/>
    </row>
    <row r="138" spans="4:37">
      <c r="E138" s="875" t="s">
        <v>1375</v>
      </c>
      <c r="F138" s="149"/>
    </row>
    <row r="139" spans="4:37">
      <c r="F139" s="149"/>
    </row>
    <row r="140" spans="4:37">
      <c r="D140" s="5" t="s">
        <v>308</v>
      </c>
      <c r="E140" s="5" t="s">
        <v>2612</v>
      </c>
      <c r="F140" s="5"/>
      <c r="G140" s="5"/>
      <c r="H140" s="5"/>
    </row>
    <row r="141" spans="4:37">
      <c r="E141" t="s">
        <v>117</v>
      </c>
      <c r="F141" t="s">
        <v>55</v>
      </c>
    </row>
    <row r="142" spans="4:37">
      <c r="E142" t="s">
        <v>118</v>
      </c>
      <c r="F142" t="s">
        <v>490</v>
      </c>
    </row>
    <row r="143" spans="4:37"/>
    <row r="144" spans="4:37">
      <c r="D144" s="5" t="s">
        <v>445</v>
      </c>
      <c r="E144" s="5" t="s">
        <v>2613</v>
      </c>
    </row>
    <row r="145" spans="3:7">
      <c r="E145" s="327" t="s">
        <v>2614</v>
      </c>
      <c r="F145" s="327"/>
    </row>
    <row r="146" spans="3:7"/>
    <row r="147" spans="3:7">
      <c r="C147" s="5" t="s">
        <v>6</v>
      </c>
      <c r="G147" s="5" t="s">
        <v>394</v>
      </c>
    </row>
    <row r="148" spans="3:7">
      <c r="D148" s="183" t="s">
        <v>212</v>
      </c>
      <c r="E148" s="183" t="s">
        <v>140</v>
      </c>
    </row>
    <row r="149" spans="3:7">
      <c r="D149" s="2"/>
      <c r="E149" t="s">
        <v>837</v>
      </c>
    </row>
    <row r="150" spans="3:7">
      <c r="D150" s="2"/>
      <c r="E150" s="2"/>
    </row>
    <row r="151" spans="3:7">
      <c r="D151" s="183" t="s">
        <v>347</v>
      </c>
      <c r="E151" s="183" t="s">
        <v>548</v>
      </c>
      <c r="F151" s="5"/>
    </row>
    <row r="152" spans="3:7">
      <c r="D152" s="2"/>
      <c r="E152" s="149" t="s">
        <v>981</v>
      </c>
      <c r="F152" s="149"/>
    </row>
    <row r="153" spans="3:7">
      <c r="D153" s="2"/>
      <c r="E153" s="2"/>
    </row>
    <row r="154" spans="3:7">
      <c r="D154" s="183" t="s">
        <v>599</v>
      </c>
      <c r="E154" s="183" t="s">
        <v>577</v>
      </c>
    </row>
    <row r="155" spans="3:7">
      <c r="D155" s="2"/>
      <c r="E155" s="149" t="s">
        <v>982</v>
      </c>
    </row>
    <row r="156" spans="3:7">
      <c r="D156" s="2"/>
      <c r="E156" s="149" t="s">
        <v>980</v>
      </c>
      <c r="G156" s="149"/>
    </row>
    <row r="157" spans="3:7">
      <c r="D157" s="2"/>
      <c r="E157" s="2"/>
    </row>
    <row r="158" spans="3:7">
      <c r="D158" s="183" t="s">
        <v>538</v>
      </c>
      <c r="E158" s="50" t="s">
        <v>557</v>
      </c>
    </row>
    <row r="159" spans="3:7">
      <c r="D159" s="2"/>
      <c r="E159" s="2" t="s">
        <v>117</v>
      </c>
      <c r="F159" s="149" t="s">
        <v>983</v>
      </c>
    </row>
    <row r="160" spans="3:7">
      <c r="D160" s="2"/>
      <c r="E160" s="182" t="s">
        <v>118</v>
      </c>
      <c r="F160" s="149" t="s">
        <v>984</v>
      </c>
    </row>
    <row r="161" spans="3:20">
      <c r="D161" s="2"/>
      <c r="E161" s="182" t="s">
        <v>124</v>
      </c>
      <c r="F161" t="s">
        <v>754</v>
      </c>
    </row>
    <row r="162" spans="3:20">
      <c r="D162" s="2"/>
      <c r="E162" s="2"/>
    </row>
    <row r="163" spans="3:20">
      <c r="D163" s="183" t="s">
        <v>308</v>
      </c>
      <c r="E163" s="183" t="s">
        <v>395</v>
      </c>
    </row>
    <row r="164" spans="3:20">
      <c r="D164" s="2"/>
      <c r="E164" s="149" t="s">
        <v>985</v>
      </c>
      <c r="F164" s="149"/>
    </row>
    <row r="165" spans="3:20">
      <c r="D165" s="2"/>
      <c r="E165" s="2"/>
    </row>
    <row r="166" spans="3:20">
      <c r="D166" s="183" t="s">
        <v>445</v>
      </c>
      <c r="E166" s="183" t="s">
        <v>176</v>
      </c>
    </row>
    <row r="167" spans="3:20">
      <c r="D167" s="2"/>
      <c r="E167" s="149" t="s">
        <v>987</v>
      </c>
    </row>
    <row r="168" spans="3:20">
      <c r="D168" s="2"/>
      <c r="E168" s="149" t="s">
        <v>986</v>
      </c>
    </row>
    <row r="169" spans="3:20">
      <c r="D169" s="2"/>
      <c r="E169" s="2"/>
    </row>
    <row r="170" spans="3:20">
      <c r="D170" s="183" t="s">
        <v>581</v>
      </c>
      <c r="E170" s="183" t="s">
        <v>647</v>
      </c>
    </row>
    <row r="171" spans="3:20">
      <c r="D171" s="2"/>
      <c r="E171" s="2" t="s">
        <v>117</v>
      </c>
      <c r="F171" t="s">
        <v>755</v>
      </c>
    </row>
    <row r="172" spans="3:20">
      <c r="E172" s="2" t="s">
        <v>118</v>
      </c>
      <c r="F172" t="s">
        <v>302</v>
      </c>
    </row>
    <row r="173" spans="3:20">
      <c r="F173" s="149"/>
    </row>
    <row r="174" spans="3:20">
      <c r="C174" s="5" t="s">
        <v>7</v>
      </c>
      <c r="E174" s="149"/>
      <c r="G174" s="5" t="s">
        <v>396</v>
      </c>
    </row>
    <row r="175" spans="3:20">
      <c r="E175" s="149" t="s">
        <v>912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602</v>
      </c>
    </row>
    <row r="178" spans="2:19">
      <c r="D178" s="5" t="s">
        <v>212</v>
      </c>
      <c r="E178" s="5" t="s">
        <v>303</v>
      </c>
      <c r="G178" s="149"/>
      <c r="H178" s="149"/>
      <c r="I178" s="149"/>
      <c r="J178" s="149"/>
      <c r="K178" s="149"/>
      <c r="L178" s="149"/>
      <c r="M178" s="149"/>
      <c r="N178" s="149"/>
    </row>
    <row r="179" spans="2:19">
      <c r="E179" t="s">
        <v>117</v>
      </c>
      <c r="F179" s="149" t="s">
        <v>988</v>
      </c>
    </row>
    <row r="180" spans="2:19">
      <c r="F180" s="184" t="s">
        <v>1305</v>
      </c>
      <c r="I180" s="184"/>
    </row>
    <row r="181" spans="2:19">
      <c r="I181" s="184"/>
    </row>
    <row r="182" spans="2:19">
      <c r="B182" s="149"/>
      <c r="C182" s="149"/>
      <c r="E182" t="s">
        <v>118</v>
      </c>
      <c r="F182" s="6" t="s">
        <v>913</v>
      </c>
      <c r="H182" s="149"/>
    </row>
    <row r="183" spans="2:19">
      <c r="B183" s="149"/>
      <c r="C183" s="149"/>
      <c r="F183" t="s">
        <v>678</v>
      </c>
      <c r="G183" t="s">
        <v>737</v>
      </c>
      <c r="H183" s="149"/>
      <c r="O183" s="149"/>
      <c r="P183" s="149"/>
      <c r="Q183" s="149"/>
      <c r="R183" s="149"/>
      <c r="S183" s="149"/>
    </row>
    <row r="184" spans="2:19">
      <c r="B184" s="149"/>
      <c r="C184" s="149"/>
      <c r="H184" s="149"/>
      <c r="O184" s="149"/>
      <c r="P184" s="149"/>
      <c r="Q184" s="149"/>
      <c r="R184" s="149"/>
      <c r="S184" s="149"/>
    </row>
    <row r="185" spans="2:19">
      <c r="D185" s="5" t="s">
        <v>347</v>
      </c>
      <c r="E185" s="50" t="s">
        <v>1082</v>
      </c>
    </row>
    <row r="186" spans="2:19">
      <c r="B186" s="149"/>
      <c r="C186" s="149"/>
      <c r="E186" s="149" t="s">
        <v>738</v>
      </c>
      <c r="F186" s="149"/>
      <c r="I186" s="149"/>
    </row>
    <row r="187" spans="2:19">
      <c r="B187" s="149"/>
      <c r="C187" s="149"/>
      <c r="E187" s="149" t="s">
        <v>1080</v>
      </c>
      <c r="F187" s="184"/>
      <c r="G187" s="149"/>
      <c r="I187" s="184"/>
    </row>
    <row r="188" spans="2:19">
      <c r="B188" s="149"/>
      <c r="C188" s="149"/>
      <c r="F188" s="184"/>
      <c r="G188" s="149"/>
      <c r="I188" s="184"/>
    </row>
    <row r="189" spans="2:19">
      <c r="B189" s="149"/>
      <c r="C189" s="149"/>
      <c r="D189" s="5" t="s">
        <v>599</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538</v>
      </c>
      <c r="E192" s="5" t="s">
        <v>116</v>
      </c>
    </row>
    <row r="193" spans="2:37">
      <c r="B193" s="149"/>
      <c r="C193" s="5"/>
      <c r="E193" t="s">
        <v>117</v>
      </c>
      <c r="F193" s="149" t="s">
        <v>1091</v>
      </c>
      <c r="G193" s="149"/>
      <c r="H193" s="149"/>
      <c r="I193" s="149"/>
    </row>
    <row r="194" spans="2:37">
      <c r="B194" s="149"/>
      <c r="C194" s="5"/>
      <c r="F194" s="149" t="s">
        <v>678</v>
      </c>
      <c r="G194" s="6" t="s">
        <v>1368</v>
      </c>
    </row>
    <row r="195" spans="2:37">
      <c r="B195" s="149"/>
      <c r="C195" s="149"/>
      <c r="F195" s="149" t="s">
        <v>354</v>
      </c>
      <c r="G195" s="155" t="s">
        <v>1369</v>
      </c>
      <c r="I195" s="149"/>
      <c r="J195" s="149"/>
      <c r="M195" s="149"/>
      <c r="N195" s="149"/>
      <c r="O195" s="149"/>
      <c r="P195" s="149"/>
      <c r="Q195" s="149"/>
      <c r="R195" s="149"/>
      <c r="S195" s="149"/>
    </row>
    <row r="196" spans="2:37">
      <c r="B196" s="149"/>
      <c r="C196" s="149"/>
      <c r="F196" s="149" t="s">
        <v>355</v>
      </c>
      <c r="G196" s="149" t="s">
        <v>989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991</v>
      </c>
      <c r="M202" s="149"/>
      <c r="N202" s="149"/>
      <c r="O202" s="149"/>
      <c r="P202" s="149"/>
      <c r="Q202" s="149"/>
      <c r="R202" s="149"/>
      <c r="S202" s="149"/>
    </row>
    <row r="203" spans="2:37">
      <c r="B203" s="149"/>
      <c r="C203" s="149"/>
      <c r="D203" s="5"/>
      <c r="E203" s="149" t="s">
        <v>118</v>
      </c>
      <c r="F203" s="149" t="s">
        <v>1092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739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678</v>
      </c>
      <c r="G205" s="149" t="s">
        <v>992</v>
      </c>
      <c r="I205" s="149"/>
      <c r="J205" s="149"/>
      <c r="M205" s="149"/>
      <c r="N205" s="149"/>
      <c r="O205" s="149"/>
      <c r="P205" s="149"/>
      <c r="Q205" s="149"/>
      <c r="R205" s="149"/>
      <c r="S205" s="149"/>
      <c r="T205" s="149"/>
      <c r="U205" s="149"/>
      <c r="V205" s="149"/>
      <c r="W205" s="149"/>
      <c r="X205" s="149"/>
      <c r="Y205" s="149"/>
    </row>
    <row r="206" spans="2:37">
      <c r="B206" s="149"/>
      <c r="C206" s="149"/>
      <c r="D206" s="5"/>
      <c r="E206" s="149" t="s">
        <v>606</v>
      </c>
      <c r="F206" s="149" t="s">
        <v>993</v>
      </c>
      <c r="M206" s="149"/>
      <c r="N206" s="149"/>
      <c r="O206" s="149"/>
      <c r="P206" s="149"/>
      <c r="Q206" s="149"/>
      <c r="R206" s="149"/>
      <c r="S206" s="149"/>
    </row>
    <row r="207" spans="2:37">
      <c r="B207" s="149"/>
      <c r="C207" s="149"/>
      <c r="D207" s="5"/>
      <c r="F207" t="s">
        <v>678</v>
      </c>
      <c r="G207" s="1705" t="s">
        <v>1337</v>
      </c>
      <c r="H207" s="1705"/>
      <c r="I207" s="1705"/>
      <c r="J207" s="1705"/>
      <c r="K207" s="1705"/>
      <c r="L207" s="1705"/>
      <c r="M207" s="1705"/>
      <c r="N207" s="1705"/>
      <c r="O207" s="1705"/>
      <c r="P207" s="1705"/>
      <c r="Q207" s="1705"/>
      <c r="R207" s="1705"/>
      <c r="S207" s="1705"/>
      <c r="T207" s="1705"/>
      <c r="U207" s="1705"/>
      <c r="V207" s="1705"/>
      <c r="W207" s="1705"/>
      <c r="X207" s="1705"/>
      <c r="Y207" s="1705"/>
      <c r="Z207" s="1705"/>
      <c r="AA207" s="1705"/>
      <c r="AB207" s="1705"/>
      <c r="AC207" s="1705"/>
      <c r="AD207" s="1705"/>
      <c r="AE207" s="1705"/>
      <c r="AF207" s="1705"/>
      <c r="AG207" s="1705"/>
      <c r="AH207" s="1705"/>
      <c r="AI207" s="1705"/>
      <c r="AJ207" s="1705"/>
      <c r="AK207" s="1705"/>
    </row>
    <row r="208" spans="2:37">
      <c r="B208" s="149"/>
      <c r="C208" s="149"/>
      <c r="D208" s="5"/>
      <c r="G208" s="1705"/>
      <c r="H208" s="1705"/>
      <c r="I208" s="1705"/>
      <c r="J208" s="1705"/>
      <c r="K208" s="1705"/>
      <c r="L208" s="1705"/>
      <c r="M208" s="1705"/>
      <c r="N208" s="1705"/>
      <c r="O208" s="1705"/>
      <c r="P208" s="1705"/>
      <c r="Q208" s="1705"/>
      <c r="R208" s="1705"/>
      <c r="S208" s="1705"/>
      <c r="T208" s="1705"/>
      <c r="U208" s="1705"/>
      <c r="V208" s="1705"/>
      <c r="W208" s="1705"/>
      <c r="X208" s="1705"/>
      <c r="Y208" s="1705"/>
      <c r="Z208" s="1705"/>
      <c r="AA208" s="1705"/>
      <c r="AB208" s="1705"/>
      <c r="AC208" s="1705"/>
      <c r="AD208" s="1705"/>
      <c r="AE208" s="1705"/>
      <c r="AF208" s="1705"/>
      <c r="AG208" s="1705"/>
      <c r="AH208" s="1705"/>
      <c r="AI208" s="1705"/>
      <c r="AJ208" s="1705"/>
      <c r="AK208" s="1705"/>
    </row>
    <row r="209" spans="1:38">
      <c r="B209" s="149"/>
      <c r="C209" s="149"/>
      <c r="D209" s="5"/>
      <c r="M209" s="149"/>
      <c r="N209" s="149"/>
      <c r="O209" s="149"/>
      <c r="P209" s="149"/>
      <c r="Q209" s="149"/>
      <c r="R209" s="149"/>
      <c r="S209" s="149"/>
    </row>
    <row r="210" spans="1:38">
      <c r="B210" s="149"/>
      <c r="C210" s="149"/>
      <c r="D210" s="5" t="s">
        <v>581</v>
      </c>
      <c r="E210" s="5" t="s">
        <v>805</v>
      </c>
      <c r="G210" s="149"/>
      <c r="H210" s="149"/>
      <c r="I210" s="149"/>
      <c r="J210" s="149"/>
      <c r="M210" s="149"/>
      <c r="N210" s="149"/>
      <c r="O210" s="149"/>
      <c r="P210" s="149"/>
      <c r="Q210" s="149"/>
      <c r="R210" s="149"/>
      <c r="S210" s="149"/>
      <c r="T210" s="149"/>
      <c r="U210" s="149"/>
      <c r="V210" s="149"/>
      <c r="W210" s="149"/>
    </row>
    <row r="211" spans="1:38">
      <c r="B211" s="149"/>
      <c r="C211" s="149"/>
      <c r="E211" s="149" t="s">
        <v>740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579</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741</v>
      </c>
      <c r="D216" s="5"/>
      <c r="G216" s="5" t="s">
        <v>850</v>
      </c>
      <c r="M216" s="149"/>
      <c r="N216" s="149"/>
      <c r="O216" s="149"/>
      <c r="P216" s="149"/>
      <c r="Q216" s="149"/>
      <c r="R216" s="149"/>
      <c r="S216" s="149"/>
    </row>
    <row r="217" spans="1:38">
      <c r="B217" s="149"/>
      <c r="C217" s="149"/>
      <c r="E217" t="s">
        <v>117</v>
      </c>
      <c r="F217" s="149" t="s">
        <v>849</v>
      </c>
      <c r="G217" s="149"/>
      <c r="H217" s="149"/>
      <c r="I217" s="149"/>
      <c r="L217" s="149"/>
      <c r="N217" s="149"/>
      <c r="O217" s="149"/>
      <c r="P217" s="149"/>
      <c r="Q217" s="149"/>
      <c r="R217" s="149"/>
      <c r="S217" s="149"/>
    </row>
    <row r="218" spans="1:38">
      <c r="B218" s="149"/>
      <c r="C218" s="149"/>
      <c r="F218" s="149" t="s">
        <v>678</v>
      </c>
      <c r="G218" s="149" t="s">
        <v>744</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678</v>
      </c>
      <c r="G220" s="149" t="s">
        <v>742</v>
      </c>
      <c r="I220" s="149"/>
      <c r="M220" s="149"/>
      <c r="N220" s="149"/>
      <c r="O220" s="149"/>
      <c r="P220" s="149"/>
      <c r="Q220" s="149"/>
      <c r="R220" s="149"/>
      <c r="S220" s="149"/>
    </row>
    <row r="221" spans="1:38">
      <c r="B221" s="149"/>
      <c r="C221" s="149"/>
      <c r="F221" s="149"/>
      <c r="G221" s="149" t="s">
        <v>743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475</v>
      </c>
      <c r="I225" s="149"/>
      <c r="J225" s="149"/>
      <c r="K225" s="149"/>
      <c r="M225" s="149"/>
      <c r="N225" s="149"/>
      <c r="O225" s="149"/>
      <c r="P225" s="149"/>
      <c r="Q225" s="149"/>
      <c r="R225" s="149"/>
      <c r="S225" s="149"/>
    </row>
    <row r="226" spans="2:19">
      <c r="B226" s="5"/>
      <c r="E226" s="149" t="s">
        <v>117</v>
      </c>
      <c r="F226" s="149" t="s">
        <v>745</v>
      </c>
      <c r="G226" s="149"/>
      <c r="I226" s="149"/>
      <c r="J226" s="149"/>
      <c r="K226" s="149"/>
      <c r="L226" s="149"/>
      <c r="M226" s="149"/>
      <c r="N226" s="149"/>
      <c r="O226" s="149"/>
      <c r="P226" s="149"/>
      <c r="Q226" s="149"/>
      <c r="R226" s="149"/>
      <c r="S226" s="149"/>
    </row>
    <row r="227" spans="2:19">
      <c r="B227" s="5"/>
      <c r="E227" s="149" t="s">
        <v>118</v>
      </c>
      <c r="F227" s="149" t="s">
        <v>705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746</v>
      </c>
      <c r="G230" s="149"/>
      <c r="I230" s="149"/>
      <c r="J230" s="149"/>
      <c r="K230" s="149"/>
      <c r="L230" s="149"/>
      <c r="M230" s="149"/>
      <c r="N230" s="149"/>
      <c r="O230" s="149"/>
      <c r="P230" s="149"/>
      <c r="Q230" s="149"/>
      <c r="R230" s="149"/>
      <c r="S230" s="149"/>
    </row>
    <row r="231" spans="2:19">
      <c r="B231" s="5"/>
      <c r="E231" s="149"/>
      <c r="F231" s="149" t="s">
        <v>747</v>
      </c>
      <c r="G231" s="149"/>
      <c r="H231" s="149"/>
      <c r="I231" s="149"/>
      <c r="J231" s="149"/>
      <c r="K231" s="149"/>
      <c r="L231" s="149"/>
      <c r="M231" s="149"/>
      <c r="N231" s="149"/>
      <c r="O231" s="149"/>
      <c r="P231" s="149"/>
      <c r="Q231" s="149"/>
      <c r="R231" s="149"/>
      <c r="S231" s="149"/>
    </row>
    <row r="232" spans="2:19">
      <c r="B232" s="5"/>
      <c r="D232" s="149"/>
      <c r="E232" s="149" t="s">
        <v>118</v>
      </c>
      <c r="F232" s="149" t="s">
        <v>705</v>
      </c>
      <c r="G232" s="149"/>
      <c r="I232" s="149"/>
      <c r="J232" s="149"/>
      <c r="K232" s="149"/>
      <c r="L232" s="149"/>
      <c r="M232" s="149"/>
      <c r="N232" s="149"/>
      <c r="O232" s="149"/>
      <c r="P232" s="149"/>
      <c r="Q232" s="149"/>
      <c r="R232" s="149"/>
      <c r="S232" s="149"/>
    </row>
    <row r="233" spans="2:19">
      <c r="B233" s="5"/>
      <c r="E233" s="149" t="s">
        <v>124</v>
      </c>
      <c r="F233" s="152" t="s">
        <v>1008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678</v>
      </c>
      <c r="G237" s="149" t="s">
        <v>748</v>
      </c>
      <c r="I237" s="149"/>
      <c r="M237" s="149"/>
      <c r="N237" s="149"/>
      <c r="O237" s="149"/>
      <c r="P237" s="149"/>
      <c r="Q237" s="149"/>
      <c r="R237" s="149"/>
      <c r="S237" s="149"/>
    </row>
    <row r="238" spans="2:19">
      <c r="B238" s="149"/>
      <c r="C238" s="149"/>
      <c r="F238" s="149"/>
      <c r="G238" s="149" t="s">
        <v>838</v>
      </c>
      <c r="I238" s="149"/>
      <c r="M238" s="149"/>
      <c r="N238" s="149"/>
      <c r="O238" s="149"/>
      <c r="P238" s="149"/>
      <c r="Q238" s="149"/>
      <c r="R238" s="149"/>
      <c r="S238" s="149"/>
    </row>
    <row r="239" spans="2:19">
      <c r="B239" s="149"/>
      <c r="C239" s="149"/>
      <c r="E239" t="s">
        <v>118</v>
      </c>
      <c r="F239" s="205" t="s">
        <v>462</v>
      </c>
      <c r="G239" s="5"/>
      <c r="H239" s="5"/>
      <c r="I239" s="5"/>
      <c r="L239" s="5"/>
      <c r="M239" s="5"/>
      <c r="N239" s="5"/>
      <c r="O239" s="5"/>
      <c r="P239" s="5"/>
      <c r="Q239" s="5"/>
      <c r="R239" s="5"/>
      <c r="S239" s="5"/>
    </row>
    <row r="240" spans="2:19">
      <c r="B240" s="149"/>
      <c r="C240" s="149"/>
      <c r="F240" s="149" t="s">
        <v>678</v>
      </c>
      <c r="G240" s="149" t="s">
        <v>751</v>
      </c>
      <c r="I240" s="149"/>
      <c r="M240" s="149"/>
      <c r="N240" s="149"/>
      <c r="O240" s="149"/>
      <c r="P240" s="149"/>
      <c r="Q240" s="149"/>
      <c r="R240" s="149"/>
      <c r="S240" s="149"/>
    </row>
    <row r="241" spans="2:21">
      <c r="B241" s="149"/>
      <c r="C241" s="149"/>
      <c r="F241" s="149"/>
      <c r="G241" s="149" t="s">
        <v>713</v>
      </c>
      <c r="H241" s="149" t="s">
        <v>997</v>
      </c>
      <c r="I241" s="149"/>
      <c r="M241" s="149"/>
      <c r="N241" s="149"/>
      <c r="O241" s="149"/>
      <c r="P241" s="149"/>
      <c r="Q241" s="149"/>
      <c r="R241" s="149"/>
      <c r="S241" s="149"/>
    </row>
    <row r="242" spans="2:21">
      <c r="B242" s="149"/>
      <c r="C242" s="149"/>
      <c r="F242" s="149" t="s">
        <v>354</v>
      </c>
      <c r="G242" s="203" t="s">
        <v>752</v>
      </c>
      <c r="I242" s="149"/>
      <c r="M242" s="149"/>
      <c r="N242" s="149"/>
      <c r="O242" s="149"/>
      <c r="P242" s="149"/>
      <c r="Q242" s="149"/>
      <c r="R242" s="149"/>
      <c r="S242" s="149"/>
    </row>
    <row r="243" spans="2:21">
      <c r="B243" s="149"/>
      <c r="C243" s="149"/>
      <c r="E243" t="s">
        <v>124</v>
      </c>
      <c r="F243" s="149" t="s">
        <v>678</v>
      </c>
      <c r="G243" s="203" t="s">
        <v>998</v>
      </c>
      <c r="I243" s="149"/>
      <c r="M243" s="149"/>
      <c r="N243" s="149"/>
      <c r="O243" s="149"/>
      <c r="P243" s="149"/>
      <c r="Q243" s="149"/>
      <c r="R243" s="149"/>
      <c r="S243" s="149"/>
    </row>
    <row r="244" spans="2:21">
      <c r="B244" s="149"/>
      <c r="C244" s="149"/>
      <c r="F244" s="149" t="s">
        <v>354</v>
      </c>
      <c r="G244" s="203" t="s">
        <v>999</v>
      </c>
      <c r="I244" s="149"/>
      <c r="M244" s="149"/>
      <c r="N244" s="149"/>
      <c r="O244" s="149"/>
      <c r="P244" s="149"/>
      <c r="Q244" s="149"/>
      <c r="R244" s="149"/>
      <c r="S244" s="149"/>
    </row>
    <row r="245" spans="2:21">
      <c r="B245" s="149"/>
      <c r="C245" s="149"/>
      <c r="F245" s="149" t="s">
        <v>355</v>
      </c>
      <c r="G245" s="205" t="s">
        <v>749</v>
      </c>
      <c r="I245" s="149"/>
      <c r="M245" s="149"/>
      <c r="N245" s="149"/>
      <c r="O245" s="149"/>
      <c r="P245" s="149"/>
      <c r="Q245" s="149"/>
      <c r="R245" s="149"/>
      <c r="S245" s="149"/>
    </row>
    <row r="246" spans="2:21">
      <c r="B246" s="149"/>
      <c r="C246" s="149"/>
      <c r="F246" s="149"/>
      <c r="G246" s="205" t="s">
        <v>750</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678</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1306</v>
      </c>
      <c r="G253" s="149"/>
      <c r="I253" s="184"/>
      <c r="J253" s="149"/>
      <c r="K253" s="149"/>
      <c r="L253" s="149"/>
      <c r="M253" s="149"/>
      <c r="N253" s="149"/>
      <c r="O253" s="149"/>
      <c r="P253" s="149"/>
      <c r="Q253" s="149"/>
      <c r="R253" s="149"/>
      <c r="S253" s="149"/>
      <c r="T253" s="149"/>
      <c r="U253" s="149"/>
    </row>
    <row r="254" spans="2:21">
      <c r="B254" s="5"/>
      <c r="C254" s="5"/>
      <c r="E254" s="149" t="s">
        <v>118</v>
      </c>
      <c r="F254" s="149" t="s">
        <v>994</v>
      </c>
      <c r="I254" s="149"/>
      <c r="J254" s="149"/>
      <c r="K254" s="149"/>
      <c r="L254" s="149"/>
      <c r="M254" s="149"/>
      <c r="N254" s="149"/>
      <c r="O254" s="149"/>
      <c r="P254" s="149"/>
      <c r="Q254" s="149"/>
      <c r="R254" s="149"/>
      <c r="S254" s="149"/>
      <c r="T254" s="149"/>
      <c r="U254" s="149"/>
    </row>
    <row r="255" spans="2:21">
      <c r="B255" s="5"/>
      <c r="C255" s="5"/>
      <c r="E255" s="149"/>
      <c r="F255" s="327" t="s">
        <v>678</v>
      </c>
      <c r="G255" s="327" t="s">
        <v>853</v>
      </c>
      <c r="I255" s="6"/>
      <c r="K255" s="155"/>
      <c r="L255" s="155"/>
      <c r="M255" s="155"/>
      <c r="N255" s="155"/>
      <c r="O255" s="155"/>
      <c r="P255" s="1"/>
      <c r="Q255" s="149"/>
      <c r="R255" s="149"/>
      <c r="S255" s="149"/>
      <c r="T255" s="149"/>
      <c r="U255" s="149"/>
    </row>
    <row r="256" spans="2:21">
      <c r="B256" s="5"/>
      <c r="C256" s="5"/>
      <c r="E256" s="149"/>
      <c r="F256" s="325"/>
      <c r="G256" s="327" t="s">
        <v>854</v>
      </c>
      <c r="I256" s="6"/>
      <c r="K256" s="155"/>
      <c r="L256" s="155"/>
      <c r="M256" s="155"/>
      <c r="N256" s="155"/>
      <c r="O256" s="155"/>
      <c r="P256" s="155"/>
    </row>
    <row r="257" spans="2:21">
      <c r="B257" s="5"/>
      <c r="C257" s="5"/>
      <c r="E257" s="149"/>
      <c r="F257" s="325" t="s">
        <v>354</v>
      </c>
      <c r="G257" s="327" t="s">
        <v>1000</v>
      </c>
      <c r="I257" s="149"/>
      <c r="K257" s="149"/>
      <c r="L257" s="149"/>
      <c r="M257" s="149"/>
      <c r="N257" s="149"/>
      <c r="O257" s="149"/>
      <c r="P257" s="155"/>
      <c r="Q257" s="1"/>
      <c r="R257" s="1"/>
      <c r="S257" s="1"/>
      <c r="T257" s="1"/>
      <c r="U257" s="1"/>
    </row>
    <row r="258" spans="2:21">
      <c r="B258" s="5"/>
      <c r="C258" s="5"/>
      <c r="E258" s="149"/>
      <c r="F258" s="325"/>
      <c r="G258" s="327" t="s">
        <v>915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844</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845</v>
      </c>
      <c r="I264" s="149"/>
      <c r="J264" s="149"/>
      <c r="K264" s="149"/>
      <c r="L264" s="149"/>
      <c r="M264" s="149"/>
      <c r="N264" s="149"/>
      <c r="O264" s="149"/>
      <c r="P264" s="149"/>
      <c r="Q264" s="149"/>
      <c r="R264" s="149"/>
      <c r="S264" s="149"/>
    </row>
    <row r="265" spans="2:21">
      <c r="B265" s="5"/>
      <c r="C265" s="5"/>
      <c r="E265" s="149" t="s">
        <v>606</v>
      </c>
      <c r="F265" s="327" t="s">
        <v>855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599</v>
      </c>
      <c r="E270" s="5" t="s">
        <v>292</v>
      </c>
      <c r="G270" s="149"/>
    </row>
    <row r="271" spans="2:21">
      <c r="B271" s="5"/>
      <c r="C271" s="5"/>
      <c r="E271" s="149" t="s">
        <v>260</v>
      </c>
      <c r="F271" s="149"/>
      <c r="G271" s="149"/>
      <c r="J271" s="149"/>
      <c r="K271" s="149"/>
      <c r="L271" s="149"/>
      <c r="M271" s="149"/>
      <c r="N271" s="149"/>
    </row>
    <row r="272" spans="2:21">
      <c r="B272" s="5"/>
      <c r="C272" s="5"/>
      <c r="E272" s="149" t="s">
        <v>1001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538</v>
      </c>
      <c r="E274" s="5" t="s">
        <v>637</v>
      </c>
      <c r="G274" s="149"/>
      <c r="H274" s="149"/>
      <c r="J274" s="149"/>
      <c r="K274" s="149"/>
      <c r="L274" s="149"/>
      <c r="M274" s="149"/>
      <c r="N274" s="149"/>
      <c r="O274" s="149"/>
      <c r="P274" s="149"/>
      <c r="Q274" s="149"/>
      <c r="R274" s="149"/>
      <c r="S274" s="149"/>
      <c r="T274" s="149"/>
      <c r="U274" s="149"/>
    </row>
    <row r="275" spans="2:21">
      <c r="B275" s="5"/>
      <c r="D275" s="149"/>
      <c r="E275" s="149" t="s">
        <v>1085</v>
      </c>
      <c r="J275" s="149"/>
      <c r="K275" s="149"/>
      <c r="L275" s="149"/>
      <c r="M275" s="149"/>
      <c r="N275" s="149"/>
      <c r="O275" s="149"/>
      <c r="P275" s="149"/>
      <c r="Q275" s="149"/>
      <c r="R275" s="149"/>
      <c r="S275" s="149"/>
      <c r="T275" s="149"/>
      <c r="U275" s="149"/>
    </row>
    <row r="276" spans="2:21">
      <c r="B276" s="5"/>
      <c r="D276" s="149"/>
      <c r="E276" s="149" t="s">
        <v>995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1003</v>
      </c>
      <c r="F285" s="184"/>
      <c r="G285" s="149"/>
      <c r="H285" s="184"/>
      <c r="I285" s="184"/>
      <c r="J285" s="149"/>
      <c r="K285" s="149"/>
      <c r="L285" s="149"/>
      <c r="M285" s="149"/>
      <c r="P285" s="149"/>
      <c r="Q285" s="149"/>
      <c r="R285" s="149"/>
      <c r="S285" s="149"/>
    </row>
    <row r="286" spans="2:21">
      <c r="B286" s="5"/>
      <c r="D286" s="5"/>
      <c r="E286" s="729" t="s">
        <v>914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581</v>
      </c>
      <c r="E288" s="5" t="s">
        <v>582</v>
      </c>
      <c r="K288" s="149"/>
      <c r="L288" s="149"/>
      <c r="M288" s="149"/>
      <c r="N288" s="149"/>
    </row>
    <row r="289" spans="2:38">
      <c r="B289" s="5"/>
      <c r="D289" s="149"/>
      <c r="E289" s="149" t="s">
        <v>117</v>
      </c>
      <c r="F289" s="149" t="s">
        <v>583</v>
      </c>
      <c r="G289" s="149"/>
      <c r="O289" s="149"/>
      <c r="P289" s="149"/>
      <c r="Q289" s="149"/>
      <c r="R289" s="149"/>
      <c r="S289" s="149"/>
      <c r="T289" s="149"/>
      <c r="U289" s="149"/>
      <c r="V289" s="149"/>
      <c r="W289" s="149"/>
    </row>
    <row r="290" spans="2:38">
      <c r="B290" s="5"/>
      <c r="D290" s="149"/>
      <c r="E290" s="149"/>
      <c r="F290" s="184" t="s">
        <v>1307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584</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678</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996</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585</v>
      </c>
      <c r="K295" s="149"/>
      <c r="L295" s="149"/>
      <c r="M295" s="149"/>
      <c r="N295" s="149"/>
      <c r="O295" s="149"/>
      <c r="P295" s="149"/>
      <c r="Q295" s="149"/>
      <c r="R295" s="149"/>
      <c r="S295" s="149"/>
      <c r="T295" s="149"/>
      <c r="U295" s="149"/>
      <c r="V295" s="149"/>
      <c r="W295" s="149"/>
    </row>
    <row r="296" spans="2:38">
      <c r="B296" s="5"/>
      <c r="D296" s="149"/>
      <c r="E296" s="149"/>
      <c r="F296" s="149" t="s">
        <v>461</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606</v>
      </c>
      <c r="F299" s="149" t="s">
        <v>771</v>
      </c>
      <c r="G299" s="149"/>
      <c r="K299" s="149"/>
      <c r="L299" s="149"/>
      <c r="M299" s="149"/>
      <c r="N299" s="149"/>
      <c r="O299" s="149"/>
      <c r="P299" s="149"/>
      <c r="Q299" s="149"/>
      <c r="R299" s="149"/>
      <c r="S299" s="149"/>
      <c r="T299" s="149"/>
      <c r="U299" s="149"/>
      <c r="V299" s="149"/>
      <c r="W299" s="149"/>
    </row>
    <row r="300" spans="2:38">
      <c r="B300" s="5"/>
      <c r="D300" s="149"/>
      <c r="E300" s="149" t="s">
        <v>804</v>
      </c>
      <c r="F300" s="149" t="s">
        <v>778</v>
      </c>
      <c r="G300" s="149"/>
      <c r="K300" s="149"/>
      <c r="L300" s="149"/>
      <c r="M300" s="149"/>
      <c r="N300" s="149"/>
      <c r="O300" s="149"/>
      <c r="P300" s="149"/>
      <c r="Q300" s="149"/>
      <c r="R300" s="149"/>
      <c r="S300" s="149"/>
      <c r="T300" s="149"/>
      <c r="U300" s="149"/>
      <c r="V300" s="149"/>
      <c r="W300" s="149"/>
    </row>
    <row r="301" spans="2:38">
      <c r="B301" s="5"/>
      <c r="D301" s="149"/>
      <c r="E301" s="149"/>
      <c r="F301" s="248" t="s">
        <v>1019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579</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1004</v>
      </c>
      <c r="F306" s="149"/>
      <c r="K306" s="149"/>
      <c r="L306" s="149"/>
      <c r="M306" s="149"/>
      <c r="N306" s="149"/>
      <c r="O306" s="149"/>
      <c r="P306" s="149"/>
      <c r="Q306" s="149"/>
      <c r="R306" s="149"/>
      <c r="S306" s="149"/>
      <c r="T306" s="149"/>
      <c r="U306" s="149"/>
      <c r="V306" s="149"/>
      <c r="W306" s="149"/>
    </row>
    <row r="307" spans="2:23">
      <c r="B307" s="5"/>
      <c r="D307" s="5"/>
      <c r="E307" s="149" t="s">
        <v>1002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639</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839</v>
      </c>
      <c r="F312" s="149"/>
      <c r="G312" s="149"/>
      <c r="I312" s="149"/>
      <c r="K312" s="149"/>
    </row>
    <row r="313" spans="2:23">
      <c r="B313" s="5"/>
      <c r="D313" s="5"/>
      <c r="E313" s="149" t="s">
        <v>1005</v>
      </c>
      <c r="F313" s="149"/>
      <c r="G313" s="149"/>
      <c r="I313" s="149"/>
      <c r="K313" s="149"/>
    </row>
    <row r="314" spans="2:23">
      <c r="B314" s="5"/>
      <c r="D314" s="5"/>
      <c r="E314" s="149" t="s">
        <v>840</v>
      </c>
      <c r="F314" s="149"/>
      <c r="G314" s="149"/>
      <c r="I314" s="149"/>
      <c r="K314" s="149"/>
    </row>
    <row r="315" spans="2:23">
      <c r="B315" s="5"/>
      <c r="D315" s="5"/>
      <c r="G315" s="149"/>
      <c r="I315" s="149"/>
      <c r="K315" s="149"/>
    </row>
    <row r="316" spans="2:23">
      <c r="B316" s="5"/>
      <c r="D316" s="5" t="s">
        <v>347</v>
      </c>
      <c r="E316" s="5" t="s">
        <v>780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599</v>
      </c>
      <c r="E319" s="252" t="s">
        <v>764</v>
      </c>
      <c r="F319" s="22"/>
      <c r="G319" s="149"/>
      <c r="H319" s="149"/>
      <c r="I319" s="149"/>
      <c r="J319" s="149"/>
      <c r="K319" s="149"/>
      <c r="L319" s="149"/>
      <c r="M319" s="149"/>
      <c r="N319" s="149"/>
      <c r="O319" s="149"/>
      <c r="P319" s="149"/>
      <c r="Q319" s="149"/>
      <c r="R319" s="149"/>
      <c r="S319" s="149"/>
    </row>
    <row r="320" spans="2:23">
      <c r="B320" s="5"/>
      <c r="E320" t="s">
        <v>761</v>
      </c>
      <c r="I320" s="149"/>
      <c r="J320" s="149"/>
      <c r="K320" s="149"/>
      <c r="L320" s="149"/>
      <c r="M320" s="149"/>
      <c r="N320" s="149"/>
      <c r="O320" s="149"/>
      <c r="P320" s="149"/>
      <c r="Q320" s="149"/>
      <c r="R320" s="149"/>
      <c r="S320" s="149"/>
    </row>
    <row r="321" spans="1:38">
      <c r="B321" s="5"/>
      <c r="E321" t="s">
        <v>762</v>
      </c>
      <c r="I321" s="149"/>
      <c r="J321" s="149"/>
      <c r="K321" s="149"/>
      <c r="L321" s="149"/>
      <c r="M321" s="149"/>
      <c r="N321" s="149"/>
      <c r="O321" s="149"/>
      <c r="P321" s="149"/>
      <c r="Q321" s="149"/>
      <c r="R321" s="149"/>
      <c r="S321" s="149"/>
    </row>
    <row r="322" spans="1:38">
      <c r="B322" s="5"/>
      <c r="E322" t="s">
        <v>763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640</v>
      </c>
      <c r="I324" s="149"/>
      <c r="J324" s="149"/>
      <c r="K324" s="149"/>
      <c r="L324" s="149"/>
      <c r="M324" s="149"/>
      <c r="N324" s="149"/>
      <c r="O324" s="149"/>
      <c r="P324" s="149"/>
      <c r="Q324" s="149"/>
      <c r="R324" s="149"/>
      <c r="S324" s="149"/>
    </row>
    <row r="325" spans="1:38">
      <c r="A325" t="s">
        <v>255</v>
      </c>
      <c r="D325" s="5" t="s">
        <v>212</v>
      </c>
      <c r="E325" s="183" t="s">
        <v>640</v>
      </c>
      <c r="J325" s="183"/>
      <c r="K325" s="183"/>
      <c r="L325" s="183"/>
      <c r="M325" s="182"/>
      <c r="N325" s="182"/>
      <c r="O325" s="182"/>
      <c r="P325" s="182"/>
      <c r="Q325" s="182"/>
      <c r="R325" s="182"/>
      <c r="S325" s="149"/>
    </row>
    <row r="326" spans="1:38">
      <c r="E326" t="s">
        <v>117</v>
      </c>
      <c r="F326" s="149" t="s">
        <v>1006</v>
      </c>
      <c r="J326" s="149"/>
      <c r="K326" s="149"/>
      <c r="L326" s="149"/>
      <c r="M326" s="149"/>
      <c r="N326" s="149"/>
      <c r="O326" s="149"/>
      <c r="P326" s="149"/>
      <c r="Q326" s="149"/>
      <c r="R326" s="149"/>
      <c r="S326" s="149"/>
    </row>
    <row r="327" spans="1:38">
      <c r="E327" s="149" t="s">
        <v>118</v>
      </c>
      <c r="F327" t="s">
        <v>765</v>
      </c>
      <c r="J327" s="149"/>
      <c r="K327" s="149"/>
      <c r="L327" s="149"/>
      <c r="M327" s="149"/>
      <c r="N327" s="149"/>
      <c r="O327" s="149"/>
      <c r="P327" s="149"/>
      <c r="Q327" s="149"/>
      <c r="R327" s="149"/>
      <c r="S327" s="149"/>
    </row>
    <row r="328" spans="1:38">
      <c r="F328" s="184" t="s">
        <v>1308</v>
      </c>
      <c r="I328" s="184"/>
      <c r="J328" s="149"/>
      <c r="K328" s="149"/>
      <c r="L328" s="149"/>
      <c r="M328" s="149"/>
      <c r="N328" s="149"/>
      <c r="O328" s="149"/>
      <c r="P328" s="149"/>
      <c r="Q328" s="149"/>
      <c r="R328" s="149"/>
      <c r="S328" s="149"/>
    </row>
    <row r="329" spans="1:38">
      <c r="F329" s="184" t="s">
        <v>1309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539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768</v>
      </c>
      <c r="J335" s="149"/>
      <c r="K335" s="149"/>
      <c r="L335" s="149"/>
      <c r="M335" s="149"/>
      <c r="N335" s="149"/>
      <c r="O335" s="149"/>
      <c r="P335" s="149"/>
      <c r="Q335" s="149"/>
      <c r="R335" s="149"/>
      <c r="S335" s="149"/>
    </row>
    <row r="336" spans="1:38">
      <c r="B336" s="5"/>
      <c r="E336" s="149"/>
      <c r="F336" s="149" t="s">
        <v>769</v>
      </c>
      <c r="J336" s="149"/>
      <c r="K336" s="149"/>
      <c r="L336" s="149"/>
      <c r="M336" s="149"/>
      <c r="N336" s="149"/>
      <c r="O336" s="149"/>
      <c r="P336" s="149"/>
      <c r="Q336" s="149"/>
      <c r="R336" s="149"/>
      <c r="S336" s="149"/>
    </row>
    <row r="337" spans="2:37">
      <c r="B337" s="5"/>
      <c r="E337" s="149"/>
      <c r="F337" s="149" t="s">
        <v>770</v>
      </c>
      <c r="I337" s="149"/>
      <c r="J337" s="149"/>
      <c r="K337" s="149"/>
      <c r="L337" s="149"/>
      <c r="M337" s="149"/>
      <c r="N337" s="149"/>
      <c r="O337" s="149"/>
      <c r="P337" s="149"/>
      <c r="Q337" s="149"/>
      <c r="R337" s="149"/>
      <c r="S337" s="149"/>
    </row>
    <row r="338" spans="2:37">
      <c r="B338" s="5"/>
      <c r="E338" s="149" t="s">
        <v>118</v>
      </c>
      <c r="F338" s="1705" t="s">
        <v>1312</v>
      </c>
      <c r="G338" s="1705"/>
      <c r="H338" s="1705"/>
      <c r="I338" s="1705"/>
      <c r="J338" s="1705"/>
      <c r="K338" s="1705"/>
      <c r="L338" s="1705"/>
      <c r="M338" s="1705"/>
      <c r="N338" s="1705"/>
      <c r="O338" s="1705"/>
      <c r="P338" s="1705"/>
      <c r="Q338" s="1705"/>
      <c r="R338" s="1705"/>
      <c r="S338" s="1705"/>
      <c r="T338" s="1705"/>
      <c r="U338" s="1705"/>
      <c r="V338" s="1705"/>
      <c r="W338" s="1705"/>
      <c r="X338" s="1705"/>
      <c r="Y338" s="1705"/>
      <c r="Z338" s="1705"/>
      <c r="AA338" s="1705"/>
      <c r="AB338" s="1705"/>
      <c r="AC338" s="1705"/>
      <c r="AD338" s="1705"/>
      <c r="AE338" s="1705"/>
      <c r="AF338" s="1705"/>
      <c r="AG338" s="1705"/>
      <c r="AH338" s="1705"/>
      <c r="AI338" s="1705"/>
      <c r="AJ338" s="1705"/>
      <c r="AK338" s="1705"/>
    </row>
    <row r="339" spans="2:37">
      <c r="B339" s="5"/>
      <c r="E339" s="149"/>
      <c r="F339" s="1705"/>
      <c r="G339" s="1705"/>
      <c r="H339" s="1705"/>
      <c r="I339" s="1705"/>
      <c r="J339" s="1705"/>
      <c r="K339" s="1705"/>
      <c r="L339" s="1705"/>
      <c r="M339" s="1705"/>
      <c r="N339" s="1705"/>
      <c r="O339" s="1705"/>
      <c r="P339" s="1705"/>
      <c r="Q339" s="1705"/>
      <c r="R339" s="1705"/>
      <c r="S339" s="1705"/>
      <c r="T339" s="1705"/>
      <c r="U339" s="1705"/>
      <c r="V339" s="1705"/>
      <c r="W339" s="1705"/>
      <c r="X339" s="1705"/>
      <c r="Y339" s="1705"/>
      <c r="Z339" s="1705"/>
      <c r="AA339" s="1705"/>
      <c r="AB339" s="1705"/>
      <c r="AC339" s="1705"/>
      <c r="AD339" s="1705"/>
      <c r="AE339" s="1705"/>
      <c r="AF339" s="1705"/>
      <c r="AG339" s="1705"/>
      <c r="AH339" s="1705"/>
      <c r="AI339" s="1705"/>
      <c r="AJ339" s="1705"/>
      <c r="AK339" s="1705"/>
    </row>
    <row r="340" spans="2:37">
      <c r="B340" s="5"/>
      <c r="E340" s="149"/>
      <c r="F340" s="1705"/>
      <c r="G340" s="1705"/>
      <c r="H340" s="1705"/>
      <c r="I340" s="1705"/>
      <c r="J340" s="1705"/>
      <c r="K340" s="1705"/>
      <c r="L340" s="1705"/>
      <c r="M340" s="1705"/>
      <c r="N340" s="1705"/>
      <c r="O340" s="1705"/>
      <c r="P340" s="1705"/>
      <c r="Q340" s="1705"/>
      <c r="R340" s="1705"/>
      <c r="S340" s="1705"/>
      <c r="T340" s="1705"/>
      <c r="U340" s="1705"/>
      <c r="V340" s="1705"/>
      <c r="W340" s="1705"/>
      <c r="X340" s="1705"/>
      <c r="Y340" s="1705"/>
      <c r="Z340" s="1705"/>
      <c r="AA340" s="1705"/>
      <c r="AB340" s="1705"/>
      <c r="AC340" s="1705"/>
      <c r="AD340" s="1705"/>
      <c r="AE340" s="1705"/>
      <c r="AF340" s="1705"/>
      <c r="AG340" s="1705"/>
      <c r="AH340" s="1705"/>
      <c r="AI340" s="1705"/>
      <c r="AJ340" s="1705"/>
      <c r="AK340" s="1705"/>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1394</v>
      </c>
      <c r="I342" s="183"/>
      <c r="J342" s="149"/>
      <c r="K342" s="149"/>
      <c r="L342" s="149"/>
      <c r="M342" s="149"/>
      <c r="N342" s="149"/>
      <c r="O342" s="149"/>
      <c r="P342" s="149"/>
      <c r="Q342" s="149"/>
      <c r="R342" s="149"/>
      <c r="S342" s="149"/>
    </row>
    <row r="343" spans="2:37" s="709" customFormat="1" ht="13.35" customHeight="1">
      <c r="B343" s="5"/>
      <c r="E343" s="1710" t="s">
        <v>1401</v>
      </c>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1710"/>
    </row>
    <row r="344" spans="2:37" s="709" customFormat="1">
      <c r="B344" s="5"/>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1710"/>
    </row>
    <row r="345" spans="2:37" s="709" customFormat="1">
      <c r="B345" s="5"/>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1710"/>
    </row>
    <row r="346" spans="2:37" s="709" customFormat="1">
      <c r="B346" s="5"/>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1710"/>
    </row>
    <row r="347" spans="2:37" s="709" customFormat="1">
      <c r="B347" s="5"/>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1710"/>
    </row>
    <row r="348" spans="2:37" s="709" customFormat="1">
      <c r="B348" s="5"/>
      <c r="E348" s="6" t="s">
        <v>117</v>
      </c>
      <c r="F348" s="1705" t="s">
        <v>1403</v>
      </c>
      <c r="G348" s="1705"/>
      <c r="H348" s="1705"/>
      <c r="I348" s="1705"/>
      <c r="J348" s="1705"/>
      <c r="K348" s="1705"/>
      <c r="L348" s="1705"/>
      <c r="M348" s="1705"/>
      <c r="N348" s="1705"/>
      <c r="O348" s="1705"/>
      <c r="P348" s="1705"/>
      <c r="Q348" s="1705"/>
      <c r="R348" s="1705"/>
      <c r="S348" s="1705"/>
      <c r="T348" s="1705"/>
      <c r="U348" s="1705"/>
      <c r="V348" s="1705"/>
      <c r="W348" s="1705"/>
      <c r="X348" s="1705"/>
      <c r="Y348" s="1705"/>
      <c r="Z348" s="1705"/>
      <c r="AA348" s="1705"/>
      <c r="AB348" s="1705"/>
      <c r="AC348" s="1705"/>
      <c r="AD348" s="1705"/>
      <c r="AE348" s="1705"/>
      <c r="AF348" s="1705"/>
      <c r="AG348" s="1705"/>
      <c r="AH348" s="1705"/>
      <c r="AI348" s="1705"/>
      <c r="AJ348" s="1705"/>
      <c r="AK348" s="1705"/>
    </row>
    <row r="349" spans="2:37" s="709" customFormat="1">
      <c r="B349" s="5"/>
      <c r="E349" s="6"/>
      <c r="F349" s="1705"/>
      <c r="G349" s="1705"/>
      <c r="H349" s="1705"/>
      <c r="I349" s="1705"/>
      <c r="J349" s="1705"/>
      <c r="K349" s="1705"/>
      <c r="L349" s="1705"/>
      <c r="M349" s="1705"/>
      <c r="N349" s="1705"/>
      <c r="O349" s="1705"/>
      <c r="P349" s="1705"/>
      <c r="Q349" s="1705"/>
      <c r="R349" s="1705"/>
      <c r="S349" s="1705"/>
      <c r="T349" s="1705"/>
      <c r="U349" s="1705"/>
      <c r="V349" s="1705"/>
      <c r="W349" s="1705"/>
      <c r="X349" s="1705"/>
      <c r="Y349" s="1705"/>
      <c r="Z349" s="1705"/>
      <c r="AA349" s="1705"/>
      <c r="AB349" s="1705"/>
      <c r="AC349" s="1705"/>
      <c r="AD349" s="1705"/>
      <c r="AE349" s="1705"/>
      <c r="AF349" s="1705"/>
      <c r="AG349" s="1705"/>
      <c r="AH349" s="1705"/>
      <c r="AI349" s="1705"/>
      <c r="AJ349" s="1705"/>
      <c r="AK349" s="1705"/>
    </row>
    <row r="350" spans="2:37" s="709" customFormat="1">
      <c r="B350" s="5"/>
      <c r="E350" s="6"/>
      <c r="F350" s="1705"/>
      <c r="G350" s="1705"/>
      <c r="H350" s="1705"/>
      <c r="I350" s="1705"/>
      <c r="J350" s="1705"/>
      <c r="K350" s="1705"/>
      <c r="L350" s="1705"/>
      <c r="M350" s="1705"/>
      <c r="N350" s="1705"/>
      <c r="O350" s="1705"/>
      <c r="P350" s="1705"/>
      <c r="Q350" s="1705"/>
      <c r="R350" s="1705"/>
      <c r="S350" s="1705"/>
      <c r="T350" s="1705"/>
      <c r="U350" s="1705"/>
      <c r="V350" s="1705"/>
      <c r="W350" s="1705"/>
      <c r="X350" s="1705"/>
      <c r="Y350" s="1705"/>
      <c r="Z350" s="1705"/>
      <c r="AA350" s="1705"/>
      <c r="AB350" s="1705"/>
      <c r="AC350" s="1705"/>
      <c r="AD350" s="1705"/>
      <c r="AE350" s="1705"/>
      <c r="AF350" s="1705"/>
      <c r="AG350" s="1705"/>
      <c r="AH350" s="1705"/>
      <c r="AI350" s="1705"/>
      <c r="AJ350" s="1705"/>
      <c r="AK350" s="1705"/>
    </row>
    <row r="351" spans="2:37" s="709" customFormat="1">
      <c r="B351" s="5"/>
      <c r="E351" s="6"/>
      <c r="F351" s="1705"/>
      <c r="G351" s="1705"/>
      <c r="H351" s="1705"/>
      <c r="I351" s="1705"/>
      <c r="J351" s="1705"/>
      <c r="K351" s="1705"/>
      <c r="L351" s="1705"/>
      <c r="M351" s="1705"/>
      <c r="N351" s="1705"/>
      <c r="O351" s="1705"/>
      <c r="P351" s="1705"/>
      <c r="Q351" s="1705"/>
      <c r="R351" s="1705"/>
      <c r="S351" s="1705"/>
      <c r="T351" s="1705"/>
      <c r="U351" s="1705"/>
      <c r="V351" s="1705"/>
      <c r="W351" s="1705"/>
      <c r="X351" s="1705"/>
      <c r="Y351" s="1705"/>
      <c r="Z351" s="1705"/>
      <c r="AA351" s="1705"/>
      <c r="AB351" s="1705"/>
      <c r="AC351" s="1705"/>
      <c r="AD351" s="1705"/>
      <c r="AE351" s="1705"/>
      <c r="AF351" s="1705"/>
      <c r="AG351" s="1705"/>
      <c r="AH351" s="1705"/>
      <c r="AI351" s="1705"/>
      <c r="AJ351" s="1705"/>
      <c r="AK351" s="1705"/>
    </row>
    <row r="352" spans="2:37" s="709" customFormat="1">
      <c r="B352" s="5"/>
      <c r="E352" s="6" t="s">
        <v>118</v>
      </c>
      <c r="F352" s="1705" t="s">
        <v>1402</v>
      </c>
      <c r="G352" s="1705"/>
      <c r="H352" s="1705"/>
      <c r="I352" s="1705"/>
      <c r="J352" s="1705"/>
      <c r="K352" s="1705"/>
      <c r="L352" s="1705"/>
      <c r="M352" s="1705"/>
      <c r="N352" s="1705"/>
      <c r="O352" s="1705"/>
      <c r="P352" s="1705"/>
      <c r="Q352" s="1705"/>
      <c r="R352" s="1705"/>
      <c r="S352" s="1705"/>
      <c r="T352" s="1705"/>
      <c r="U352" s="1705"/>
      <c r="V352" s="1705"/>
      <c r="W352" s="1705"/>
      <c r="X352" s="1705"/>
      <c r="Y352" s="1705"/>
      <c r="Z352" s="1705"/>
      <c r="AA352" s="1705"/>
      <c r="AB352" s="1705"/>
      <c r="AC352" s="1705"/>
      <c r="AD352" s="1705"/>
      <c r="AE352" s="1705"/>
      <c r="AF352" s="1705"/>
      <c r="AG352" s="1705"/>
      <c r="AH352" s="1705"/>
      <c r="AI352" s="1705"/>
      <c r="AJ352" s="1705"/>
      <c r="AK352" s="1705"/>
    </row>
    <row r="353" spans="1:38" s="709" customFormat="1">
      <c r="B353" s="5"/>
      <c r="F353" s="1705"/>
      <c r="G353" s="1705"/>
      <c r="H353" s="1705"/>
      <c r="I353" s="1705"/>
      <c r="J353" s="1705"/>
      <c r="K353" s="1705"/>
      <c r="L353" s="1705"/>
      <c r="M353" s="1705"/>
      <c r="N353" s="1705"/>
      <c r="O353" s="1705"/>
      <c r="P353" s="1705"/>
      <c r="Q353" s="1705"/>
      <c r="R353" s="1705"/>
      <c r="S353" s="1705"/>
      <c r="T353" s="1705"/>
      <c r="U353" s="1705"/>
      <c r="V353" s="1705"/>
      <c r="W353" s="1705"/>
      <c r="X353" s="1705"/>
      <c r="Y353" s="1705"/>
      <c r="Z353" s="1705"/>
      <c r="AA353" s="1705"/>
      <c r="AB353" s="1705"/>
      <c r="AC353" s="1705"/>
      <c r="AD353" s="1705"/>
      <c r="AE353" s="1705"/>
      <c r="AF353" s="1705"/>
      <c r="AG353" s="1705"/>
      <c r="AH353" s="1705"/>
      <c r="AI353" s="1705"/>
      <c r="AJ353" s="1705"/>
      <c r="AK353" s="1705"/>
    </row>
    <row r="354" spans="1:38" s="709" customFormat="1">
      <c r="B354" s="5"/>
      <c r="F354" s="1705"/>
      <c r="G354" s="1705"/>
      <c r="H354" s="1705"/>
      <c r="I354" s="1705"/>
      <c r="J354" s="1705"/>
      <c r="K354" s="1705"/>
      <c r="L354" s="1705"/>
      <c r="M354" s="1705"/>
      <c r="N354" s="1705"/>
      <c r="O354" s="1705"/>
      <c r="P354" s="1705"/>
      <c r="Q354" s="1705"/>
      <c r="R354" s="1705"/>
      <c r="S354" s="1705"/>
      <c r="T354" s="1705"/>
      <c r="U354" s="1705"/>
      <c r="V354" s="1705"/>
      <c r="W354" s="1705"/>
      <c r="X354" s="1705"/>
      <c r="Y354" s="1705"/>
      <c r="Z354" s="1705"/>
      <c r="AA354" s="1705"/>
      <c r="AB354" s="1705"/>
      <c r="AC354" s="1705"/>
      <c r="AD354" s="1705"/>
      <c r="AE354" s="1705"/>
      <c r="AF354" s="1705"/>
      <c r="AG354" s="1705"/>
      <c r="AH354" s="1705"/>
      <c r="AI354" s="1705"/>
      <c r="AJ354" s="1705"/>
      <c r="AK354" s="1705"/>
    </row>
    <row r="355" spans="1:38" s="709" customFormat="1">
      <c r="B355" s="5"/>
      <c r="F355" s="149"/>
      <c r="H355" s="149"/>
      <c r="I355" s="149"/>
      <c r="J355" s="149"/>
      <c r="K355" s="149"/>
      <c r="L355" s="149"/>
      <c r="M355" s="149"/>
      <c r="N355" s="149"/>
      <c r="O355" s="149"/>
      <c r="P355" s="149"/>
      <c r="Q355" s="149"/>
      <c r="R355" s="149"/>
      <c r="S355" s="149"/>
    </row>
    <row r="356" spans="1:38">
      <c r="A356" s="8"/>
      <c r="B356" s="17" t="s">
        <v>781</v>
      </c>
      <c r="C356" s="17" t="s">
        <v>641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35" customHeight="1">
      <c r="B358" s="5"/>
      <c r="C358" s="17" t="s">
        <v>1381</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3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772</v>
      </c>
      <c r="I361" s="149"/>
      <c r="J361" s="149"/>
      <c r="K361" s="149"/>
      <c r="L361" s="149"/>
      <c r="M361" s="149"/>
      <c r="N361" s="149"/>
      <c r="O361" s="149"/>
      <c r="P361" s="149"/>
      <c r="Q361" s="149"/>
      <c r="R361" s="149"/>
      <c r="S361" s="149"/>
    </row>
    <row r="362" spans="1:38">
      <c r="B362" s="5"/>
      <c r="F362" s="149" t="s">
        <v>773</v>
      </c>
      <c r="I362" s="149"/>
      <c r="J362" s="149"/>
      <c r="K362" s="149"/>
      <c r="L362" s="149"/>
      <c r="M362" s="149"/>
      <c r="N362" s="149"/>
      <c r="O362" s="149"/>
      <c r="P362" s="149"/>
      <c r="Q362" s="149"/>
      <c r="R362" s="149"/>
      <c r="S362" s="149"/>
    </row>
    <row r="363" spans="1:38">
      <c r="B363" s="5"/>
      <c r="F363" s="149" t="s">
        <v>917</v>
      </c>
      <c r="G363" s="149"/>
      <c r="K363" s="149"/>
      <c r="L363" s="149"/>
      <c r="M363" s="149"/>
      <c r="N363" s="149"/>
      <c r="O363" s="149"/>
      <c r="P363" s="149"/>
      <c r="Q363" s="149"/>
      <c r="R363" s="149"/>
      <c r="S363" s="149"/>
    </row>
    <row r="364" spans="1:38">
      <c r="B364" s="5"/>
      <c r="E364" t="s">
        <v>118</v>
      </c>
      <c r="F364" s="149" t="s">
        <v>916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774</v>
      </c>
      <c r="I365" s="149"/>
      <c r="J365" s="149"/>
      <c r="K365" s="149"/>
      <c r="L365" s="149"/>
      <c r="M365" s="149"/>
      <c r="N365" s="149"/>
      <c r="O365" s="149"/>
      <c r="P365" s="149"/>
      <c r="Q365" s="149"/>
      <c r="R365" s="149"/>
      <c r="S365" s="149"/>
    </row>
    <row r="366" spans="1:38">
      <c r="B366" s="5"/>
      <c r="F366" s="149" t="s">
        <v>775</v>
      </c>
      <c r="J366" s="149"/>
      <c r="K366" s="149"/>
      <c r="L366" s="149"/>
      <c r="M366" s="149"/>
      <c r="N366" s="149"/>
      <c r="O366" s="149"/>
      <c r="P366" s="149"/>
      <c r="Q366" s="149"/>
      <c r="R366" s="149"/>
      <c r="S366" s="149"/>
    </row>
    <row r="367" spans="1:38" s="709" customFormat="1">
      <c r="B367" s="5"/>
      <c r="E367" s="1714" t="s">
        <v>1392</v>
      </c>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c r="AI367" s="1714"/>
      <c r="AJ367" s="1714"/>
      <c r="AK367" s="1714"/>
      <c r="AL367" s="1714"/>
    </row>
    <row r="368" spans="1:38" s="709" customFormat="1">
      <c r="B368" s="5"/>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c r="AI368" s="1714"/>
      <c r="AJ368" s="1714"/>
      <c r="AK368" s="1714"/>
      <c r="AL368" s="1714"/>
    </row>
    <row r="369" spans="1:38" s="1716" customFormat="1">
      <c r="A369"/>
      <c r="B369" s="5"/>
      <c r="C369"/>
      <c r="D369"/>
      <c r="E369" s="1715" t="s">
        <v>1434</v>
      </c>
    </row>
    <row r="370" spans="1:38" s="1716"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599</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1310</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538</v>
      </c>
      <c r="E381" s="5" t="s">
        <v>1435</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776</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1313</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1436</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1310</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707" t="s">
        <v>1445</v>
      </c>
      <c r="G388" s="1707"/>
      <c r="H388" s="1707"/>
      <c r="I388" s="1707"/>
      <c r="J388" s="1707"/>
      <c r="K388" s="1707"/>
      <c r="L388" s="1707"/>
      <c r="M388" s="1707"/>
      <c r="N388" s="1707"/>
      <c r="O388" s="1707"/>
      <c r="P388" s="1707"/>
      <c r="Q388" s="1707"/>
      <c r="R388" s="1707"/>
      <c r="S388" s="1707"/>
      <c r="T388" s="1707"/>
      <c r="U388" s="1707"/>
      <c r="V388" s="1707"/>
      <c r="W388" s="1707"/>
      <c r="X388" s="1707"/>
      <c r="Y388" s="1707"/>
      <c r="Z388" s="1707"/>
      <c r="AA388" s="1707"/>
      <c r="AB388" s="1707"/>
      <c r="AC388" s="1707"/>
      <c r="AD388" s="1707"/>
      <c r="AE388" s="1707"/>
      <c r="AF388" s="1707"/>
      <c r="AG388" s="1707"/>
      <c r="AH388" s="1707"/>
      <c r="AI388" s="1707"/>
      <c r="AJ388" s="1707"/>
      <c r="AK388" s="1707"/>
      <c r="AL388" s="669"/>
    </row>
    <row r="389" spans="1:38" s="709" customFormat="1">
      <c r="A389" s="669"/>
      <c r="B389" s="183"/>
      <c r="C389" s="669"/>
      <c r="D389" s="669"/>
      <c r="E389" s="670"/>
      <c r="F389" s="1707"/>
      <c r="G389" s="1707"/>
      <c r="H389" s="1707"/>
      <c r="I389" s="1707"/>
      <c r="J389" s="1707"/>
      <c r="K389" s="1707"/>
      <c r="L389" s="1707"/>
      <c r="M389" s="1707"/>
      <c r="N389" s="1707"/>
      <c r="O389" s="1707"/>
      <c r="P389" s="1707"/>
      <c r="Q389" s="1707"/>
      <c r="R389" s="1707"/>
      <c r="S389" s="1707"/>
      <c r="T389" s="1707"/>
      <c r="U389" s="1707"/>
      <c r="V389" s="1707"/>
      <c r="W389" s="1707"/>
      <c r="X389" s="1707"/>
      <c r="Y389" s="1707"/>
      <c r="Z389" s="1707"/>
      <c r="AA389" s="1707"/>
      <c r="AB389" s="1707"/>
      <c r="AC389" s="1707"/>
      <c r="AD389" s="1707"/>
      <c r="AE389" s="1707"/>
      <c r="AF389" s="1707"/>
      <c r="AG389" s="1707"/>
      <c r="AH389" s="1707"/>
      <c r="AI389" s="1707"/>
      <c r="AJ389" s="1707"/>
      <c r="AK389" s="1707"/>
      <c r="AL389" s="669"/>
    </row>
    <row r="390" spans="1:38" s="709" customFormat="1">
      <c r="A390" s="669"/>
      <c r="B390" s="183"/>
      <c r="C390" s="669"/>
      <c r="D390" s="669"/>
      <c r="E390" s="670"/>
      <c r="F390" s="1707"/>
      <c r="G390" s="1707"/>
      <c r="H390" s="1707"/>
      <c r="I390" s="1707"/>
      <c r="J390" s="1707"/>
      <c r="K390" s="1707"/>
      <c r="L390" s="1707"/>
      <c r="M390" s="1707"/>
      <c r="N390" s="1707"/>
      <c r="O390" s="1707"/>
      <c r="P390" s="1707"/>
      <c r="Q390" s="1707"/>
      <c r="R390" s="1707"/>
      <c r="S390" s="1707"/>
      <c r="T390" s="1707"/>
      <c r="U390" s="1707"/>
      <c r="V390" s="1707"/>
      <c r="W390" s="1707"/>
      <c r="X390" s="1707"/>
      <c r="Y390" s="1707"/>
      <c r="Z390" s="1707"/>
      <c r="AA390" s="1707"/>
      <c r="AB390" s="1707"/>
      <c r="AC390" s="1707"/>
      <c r="AD390" s="1707"/>
      <c r="AE390" s="1707"/>
      <c r="AF390" s="1707"/>
      <c r="AG390" s="1707"/>
      <c r="AH390" s="1707"/>
      <c r="AI390" s="1707"/>
      <c r="AJ390" s="1707"/>
      <c r="AK390" s="1707"/>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1451</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35" customHeight="1">
      <c r="A393" s="669"/>
      <c r="B393" s="183"/>
      <c r="C393" s="669"/>
      <c r="D393" s="5"/>
      <c r="E393" s="6" t="s">
        <v>1450</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1313</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YPWTQ3fEeR3dEOLgzPDibIsAvXRxRDSMNtijcTMogpRnFA1uwzjZK9sMhkGuRMyONAXAW7ee3nRjNID+lydsmg==" saltValue="13WkbqX+9/kxr4wT1oHGR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A43E7-7FAD-4AEC-A97C-A5235572628C}">
  <dimension ref="A1:T115"/>
  <sheetViews>
    <sheetView showGridLines="0" zoomScaleNormal="100" workbookViewId="0">
      <selection activeCell="H5" sqref="H5"/>
    </sheetView>
  </sheetViews>
  <sheetFormatPr defaultColWidth="9.109375" defaultRowHeight="13.8"/>
  <cols>
    <col min="1" max="1" width="2.44140625" style="1602" customWidth="1"/>
    <col min="2" max="9" width="14.6640625" style="1602" customWidth="1"/>
    <col min="10" max="10" width="2.33203125" style="1602" customWidth="1"/>
    <col min="11" max="11" width="11.88671875" style="1601" customWidth="1"/>
    <col min="12" max="12" width="10.6640625" style="1602" customWidth="1"/>
    <col min="13" max="13" width="10.44140625" style="1602" customWidth="1"/>
    <col min="14" max="14" width="10.88671875" style="1602" customWidth="1"/>
    <col min="15" max="16384" width="9.109375" style="1602"/>
  </cols>
  <sheetData>
    <row r="1" spans="1:13" ht="30" customHeight="1">
      <c r="A1" s="3151" t="s">
        <v>1785</v>
      </c>
      <c r="B1" s="3151"/>
      <c r="C1" s="3151"/>
      <c r="D1" s="3151"/>
      <c r="E1" s="3151"/>
      <c r="F1" s="3151"/>
      <c r="G1" s="3151"/>
      <c r="H1" s="3151"/>
      <c r="I1" s="3151"/>
      <c r="J1" s="3151"/>
    </row>
    <row r="2" spans="1:13" ht="15" customHeight="1" thickBot="1">
      <c r="A2" s="1603"/>
      <c r="B2" s="1603"/>
      <c r="I2" s="1604"/>
      <c r="K2" s="1605"/>
    </row>
    <row r="3" spans="1:13" s="1613" customFormat="1" ht="20.100000000000001" customHeight="1">
      <c r="A3" s="1606"/>
      <c r="B3" s="1607"/>
      <c r="C3" s="1608"/>
      <c r="D3" s="1609"/>
      <c r="E3" s="1608"/>
      <c r="F3" s="1610" t="s">
        <v>2447</v>
      </c>
      <c r="G3" s="1608"/>
      <c r="H3" s="1611">
        <f>E16</f>
        <v>28116410</v>
      </c>
      <c r="I3" s="1612"/>
    </row>
    <row r="4" spans="1:13" s="1613" customFormat="1" ht="20.100000000000001" customHeight="1">
      <c r="B4" s="1614"/>
      <c r="D4" s="1615"/>
      <c r="F4" s="1616" t="s">
        <v>2449</v>
      </c>
      <c r="G4" s="1617" t="s">
        <v>2448</v>
      </c>
      <c r="H4" s="1618">
        <f>I16</f>
        <v>23723851.518556699</v>
      </c>
      <c r="I4" s="1619"/>
      <c r="K4" s="1620"/>
    </row>
    <row r="5" spans="1:13" s="1613" customFormat="1" ht="20.100000000000001" customHeight="1" thickBot="1">
      <c r="B5" s="1621"/>
      <c r="C5" s="1622"/>
      <c r="D5" s="1623"/>
      <c r="E5" s="1624"/>
      <c r="F5" s="1623" t="s">
        <v>2387</v>
      </c>
      <c r="G5" s="1625"/>
      <c r="H5" s="1626">
        <f>H3/H4</f>
        <v>1.1851536829088423</v>
      </c>
      <c r="I5" s="1627"/>
      <c r="K5" s="1620"/>
    </row>
    <row r="6" spans="1:13" s="1613" customFormat="1" ht="15" customHeight="1">
      <c r="B6" s="1628"/>
      <c r="C6" s="1629"/>
      <c r="F6" s="1630"/>
      <c r="K6" s="1620"/>
    </row>
    <row r="7" spans="1:13" s="1613" customFormat="1" ht="15" customHeight="1">
      <c r="E7" s="1631"/>
      <c r="F7" s="1630"/>
      <c r="K7" s="1632"/>
    </row>
    <row r="8" spans="1:13" s="1613" customFormat="1" ht="15" customHeight="1">
      <c r="A8" s="1633"/>
      <c r="B8" s="3152" t="s">
        <v>2385</v>
      </c>
      <c r="C8" s="3153"/>
      <c r="D8" s="3153"/>
      <c r="E8" s="3154"/>
      <c r="G8" s="3155" t="s">
        <v>2386</v>
      </c>
      <c r="H8" s="3156"/>
      <c r="I8" s="3157"/>
      <c r="K8" s="1632"/>
    </row>
    <row r="9" spans="1:13" ht="15" customHeight="1">
      <c r="A9" s="1603"/>
      <c r="B9" s="3150" t="s">
        <v>2426</v>
      </c>
      <c r="C9" s="3150"/>
      <c r="D9" s="3150"/>
      <c r="E9" s="1634">
        <f>G31</f>
        <v>5492500</v>
      </c>
      <c r="G9" s="3158" t="s">
        <v>2424</v>
      </c>
      <c r="H9" s="3158"/>
      <c r="I9" s="1635">
        <f>Application!AM564</f>
        <v>45254938</v>
      </c>
      <c r="K9" s="1636"/>
      <c r="M9" s="1637"/>
    </row>
    <row r="10" spans="1:13" ht="15" customHeight="1" thickBot="1">
      <c r="A10" s="1603"/>
      <c r="B10" s="3150" t="s">
        <v>2427</v>
      </c>
      <c r="C10" s="3150"/>
      <c r="D10" s="3150"/>
      <c r="E10" s="1635">
        <f>G40</f>
        <v>13864860</v>
      </c>
      <c r="G10" s="3158" t="s">
        <v>2388</v>
      </c>
      <c r="H10" s="3158"/>
      <c r="I10" s="1638">
        <f>'Basis &amp; Credits'!AB77</f>
        <v>0</v>
      </c>
      <c r="M10" s="1637"/>
    </row>
    <row r="11" spans="1:13" ht="15" customHeight="1">
      <c r="A11" s="1639"/>
      <c r="B11" s="3150" t="s">
        <v>2428</v>
      </c>
      <c r="C11" s="3150"/>
      <c r="D11" s="3150"/>
      <c r="E11" s="1635">
        <f>G49</f>
        <v>140000</v>
      </c>
      <c r="G11" s="3158" t="s">
        <v>2439</v>
      </c>
      <c r="H11" s="3158"/>
      <c r="I11" s="1640">
        <f>I9+I10</f>
        <v>45254938</v>
      </c>
      <c r="M11" s="1637"/>
    </row>
    <row r="12" spans="1:13" ht="15" customHeight="1">
      <c r="A12" s="1641"/>
      <c r="B12" s="3150" t="s">
        <v>2429</v>
      </c>
      <c r="C12" s="3150"/>
      <c r="D12" s="3150"/>
      <c r="E12" s="1635">
        <f>G58</f>
        <v>600000</v>
      </c>
      <c r="G12" s="1642" t="s">
        <v>2464</v>
      </c>
      <c r="H12" s="1643"/>
      <c r="M12" s="1637"/>
    </row>
    <row r="13" spans="1:13" ht="15" customHeight="1">
      <c r="A13" s="1603"/>
      <c r="B13" s="3150" t="s">
        <v>2430</v>
      </c>
      <c r="C13" s="3150"/>
      <c r="D13" s="3150"/>
      <c r="E13" s="1644">
        <f>G83</f>
        <v>8019050</v>
      </c>
      <c r="G13" s="3159" t="s">
        <v>144</v>
      </c>
      <c r="H13" s="3159"/>
      <c r="I13" s="1645">
        <f>15%*(Application!AJ977&gt;0)</f>
        <v>0.15</v>
      </c>
      <c r="M13" s="1637"/>
    </row>
    <row r="14" spans="1:13" ht="15" customHeight="1">
      <c r="A14" s="1603"/>
      <c r="B14" s="3150" t="s">
        <v>2431</v>
      </c>
      <c r="C14" s="3150"/>
      <c r="D14" s="3150"/>
      <c r="E14" s="1635">
        <f>IF(G96&gt;G106,G96,0)</f>
        <v>0</v>
      </c>
      <c r="G14" s="1646" t="s">
        <v>2440</v>
      </c>
      <c r="H14" s="1646"/>
      <c r="I14" s="1645">
        <f>IF(Application!AJ1011&gt;0,10%,IF(Application!AJ1015&gt;0,5%,0))</f>
        <v>0.1</v>
      </c>
      <c r="M14" s="1637"/>
    </row>
    <row r="15" spans="1:13" ht="15" customHeight="1" thickBot="1">
      <c r="A15" s="1603"/>
      <c r="B15" s="3144" t="s">
        <v>2450</v>
      </c>
      <c r="C15" s="3144"/>
      <c r="D15" s="3144"/>
      <c r="E15" s="1647">
        <f>IF(E14&gt;0,0,G106)</f>
        <v>0</v>
      </c>
      <c r="G15" s="3145" t="s">
        <v>2441</v>
      </c>
      <c r="H15" s="3146"/>
      <c r="I15" s="1648">
        <f>G114</f>
        <v>0.22577319587628866</v>
      </c>
      <c r="M15" s="1637"/>
    </row>
    <row r="16" spans="1:13" ht="15" customHeight="1">
      <c r="A16" s="1603"/>
      <c r="B16" s="3147" t="s">
        <v>2384</v>
      </c>
      <c r="C16" s="3147"/>
      <c r="D16" s="3147"/>
      <c r="E16" s="1649">
        <f>SUM(E9:E15)</f>
        <v>28116410</v>
      </c>
      <c r="G16" s="1650" t="s">
        <v>2425</v>
      </c>
      <c r="H16" s="1650"/>
      <c r="I16" s="1651">
        <f>I11-((I11*I13)+(I11*I14)+(I11*I15))</f>
        <v>23723851.518556699</v>
      </c>
    </row>
    <row r="17" spans="1:20" ht="15" customHeight="1">
      <c r="A17" s="1603"/>
      <c r="B17" s="1603"/>
      <c r="E17" s="1652"/>
      <c r="H17" s="1653"/>
      <c r="I17" s="1654"/>
    </row>
    <row r="18" spans="1:20" ht="15" customHeight="1">
      <c r="B18" s="1655" t="str">
        <f>B9</f>
        <v>A. Unit Production Benefit</v>
      </c>
      <c r="C18" s="1656"/>
      <c r="D18" s="1656"/>
      <c r="E18" s="1656"/>
      <c r="F18" s="1656"/>
      <c r="G18" s="1656"/>
      <c r="H18" s="1656"/>
      <c r="I18" s="1657"/>
      <c r="M18" s="1652">
        <f>SUM(Cdlac[Quantity])</f>
        <v>110</v>
      </c>
      <c r="O18" s="1658" t="s">
        <v>607</v>
      </c>
      <c r="P18" s="1602">
        <f>MATCH(Application!T189,Application!BP670:BP727,0)</f>
        <v>38</v>
      </c>
      <c r="S18" s="1652">
        <f>SUM(Cdlac[Population])</f>
        <v>14</v>
      </c>
    </row>
    <row r="19" spans="1:20" ht="15" customHeight="1">
      <c r="A19" s="1603"/>
      <c r="B19" s="1603"/>
      <c r="I19" s="1659"/>
      <c r="L19" s="1602" t="s">
        <v>2380</v>
      </c>
      <c r="M19" s="1602" t="s">
        <v>2379</v>
      </c>
      <c r="N19" s="1602" t="s">
        <v>2393</v>
      </c>
      <c r="O19" s="1602" t="s">
        <v>2394</v>
      </c>
      <c r="P19" s="1602" t="s">
        <v>2381</v>
      </c>
      <c r="Q19" s="1602" t="s">
        <v>2382</v>
      </c>
      <c r="R19" s="1602" t="s">
        <v>2395</v>
      </c>
      <c r="S19" s="1602" t="s">
        <v>2401</v>
      </c>
      <c r="T19" s="1602" t="s">
        <v>399</v>
      </c>
    </row>
    <row r="20" spans="1:20" ht="15" customHeight="1">
      <c r="A20" s="1641"/>
      <c r="C20" s="3148" t="s">
        <v>2443</v>
      </c>
      <c r="D20" s="3148" t="s">
        <v>2444</v>
      </c>
      <c r="E20" s="3148" t="s">
        <v>2445</v>
      </c>
      <c r="F20" s="3148" t="s">
        <v>2446</v>
      </c>
      <c r="G20" s="3148" t="s">
        <v>2442</v>
      </c>
      <c r="H20" s="1660"/>
      <c r="I20" s="1659"/>
      <c r="L20" s="1602">
        <f>IFERROR(MIN(4,MATCH(Application!B728,UnitSizes,0)-1),"")</f>
        <v>0</v>
      </c>
      <c r="M20" s="1652">
        <f>Application!G728</f>
        <v>12</v>
      </c>
      <c r="N20" s="1661">
        <f>Application!AC728</f>
        <v>0.2</v>
      </c>
      <c r="O20" s="1661">
        <f>IF(Cdlac[[#This Row],[Quantity]]&gt;0,IF(Cdlac[[#This Row],[Federal]],30%,IF($G$36,40%,Cdlac[[#This Row],[iAMI]])),"")</f>
        <v>0.3</v>
      </c>
      <c r="P20" s="1652" cm="1">
        <f t="array" ref="P20">IF(Cdlac[[#This Row],[Quantity]]&gt;0,INDEX(TcacRents,$P$18,Cdlac[[#This Row],[Bedrooms]]+1)*Cdlac[[#This Row],[AMI]],"")</f>
        <v>978.59999999999991</v>
      </c>
      <c r="Q20" s="1652" cm="1">
        <f t="array" ref="Q20">IF(Cdlac[[#This Row],[Quantity]]&gt;0,INDEX(HudFmrs,$P$18,Cdlac[[#This Row],[Bedrooms]]+1),"")</f>
        <v>2115</v>
      </c>
      <c r="R20" s="1652">
        <f>IF(Cdlac[[#This Row],[Quantity]]&gt;0,MAX(0,Cdlac[[#This Row],[Fair Market Rent]]-Cdlac[[#This Row],[Restricted Rent]]),"")</f>
        <v>1136.4000000000001</v>
      </c>
      <c r="S20" s="1602">
        <f>IF(Cdlac[[#This Row],[Quantity]]&gt;0,AND(Application!AK728&lt;&gt;"N/A",Application!AK728&lt;&gt;"")*Cdlac[[#This Row],[Quantity]],"")</f>
        <v>12</v>
      </c>
      <c r="T20" s="1602" t="b">
        <f>AND('Subsidy Contract Calculation'!F4&gt;0,'Subsidy Contract Calculation'!C4="Federal",Cdlac[[#This Row],[Quantity]]&gt;0)</f>
        <v>1</v>
      </c>
    </row>
    <row r="21" spans="1:20" ht="15" customHeight="1">
      <c r="A21" s="1641"/>
      <c r="C21" s="3149"/>
      <c r="D21" s="3149"/>
      <c r="E21" s="3149"/>
      <c r="F21" s="3149"/>
      <c r="G21" s="3149"/>
      <c r="H21" s="1660"/>
      <c r="I21" s="1659"/>
      <c r="L21" s="1602">
        <f>IFERROR(MIN(4,MATCH(Application!B729,UnitSizes,0)-1),"")</f>
        <v>0</v>
      </c>
      <c r="M21" s="1652">
        <f>Application!G729</f>
        <v>12</v>
      </c>
      <c r="N21" s="1661">
        <f>Application!AC729</f>
        <v>0.2</v>
      </c>
      <c r="O21" s="1661">
        <f>IF(Cdlac[[#This Row],[Quantity]]&gt;0,IF(Cdlac[[#This Row],[Federal]],30%,IF($G$36,40%,Cdlac[[#This Row],[iAMI]])),"")</f>
        <v>0.2</v>
      </c>
      <c r="P21" s="1652" cm="1">
        <f t="array" ref="P21">IF(Cdlac[[#This Row],[Quantity]]&gt;0,INDEX(TcacRents,$P$18,Cdlac[[#This Row],[Bedrooms]]+1)*Cdlac[[#This Row],[AMI]],"")</f>
        <v>652.40000000000009</v>
      </c>
      <c r="Q21" s="1652" cm="1">
        <f t="array" ref="Q21">IF(Cdlac[[#This Row],[Quantity]]&gt;0,INDEX(HudFmrs,$P$18,Cdlac[[#This Row],[Bedrooms]]+1),"")</f>
        <v>2115</v>
      </c>
      <c r="R21" s="1652">
        <f>IF(Cdlac[[#This Row],[Quantity]]&gt;0,MAX(0,Cdlac[[#This Row],[Fair Market Rent]]-Cdlac[[#This Row],[Restricted Rent]]),"")</f>
        <v>1462.6</v>
      </c>
      <c r="S21" s="1602">
        <f>IF(Cdlac[[#This Row],[Quantity]]&gt;0,AND(Application!AK729&lt;&gt;"N/A",Application!AK729&lt;&gt;"")*Cdlac[[#This Row],[Quantity]],"")</f>
        <v>0</v>
      </c>
      <c r="T21" s="1602" t="b">
        <f>AND('Subsidy Contract Calculation'!F5&gt;0,'Subsidy Contract Calculation'!C5="Federal",Cdlac[[#This Row],[Quantity]]&gt;0)</f>
        <v>0</v>
      </c>
    </row>
    <row r="22" spans="1:20" ht="15" customHeight="1">
      <c r="C22" s="1662">
        <v>0</v>
      </c>
      <c r="D22" s="1663">
        <v>0.9</v>
      </c>
      <c r="E22" s="1662">
        <f>SUMIFS(Cdlac[Quantity],Cdlac[Bedrooms],C22)</f>
        <v>79</v>
      </c>
      <c r="F22" s="1662">
        <f>E22</f>
        <v>79</v>
      </c>
      <c r="G22" s="1662">
        <f>D22*F22</f>
        <v>71.100000000000009</v>
      </c>
      <c r="L22" s="1602">
        <f>IFERROR(MIN(4,MATCH(Application!B730,UnitSizes,0)-1),"")</f>
        <v>0</v>
      </c>
      <c r="M22" s="1652">
        <f>Application!G730</f>
        <v>2</v>
      </c>
      <c r="N22" s="1661">
        <f>Application!AC730</f>
        <v>0.3</v>
      </c>
      <c r="O22" s="1661">
        <f>IF(Cdlac[[#This Row],[Quantity]]&gt;0,IF(Cdlac[[#This Row],[Federal]],30%,IF($G$36,40%,Cdlac[[#This Row],[iAMI]])),"")</f>
        <v>0.3</v>
      </c>
      <c r="P22" s="1652" cm="1">
        <f t="array" ref="P22">IF(Cdlac[[#This Row],[Quantity]]&gt;0,INDEX(TcacRents,$P$18,Cdlac[[#This Row],[Bedrooms]]+1)*Cdlac[[#This Row],[AMI]],"")</f>
        <v>978.59999999999991</v>
      </c>
      <c r="Q22" s="1652" cm="1">
        <f t="array" ref="Q22">IF(Cdlac[[#This Row],[Quantity]]&gt;0,INDEX(HudFmrs,$P$18,Cdlac[[#This Row],[Bedrooms]]+1),"")</f>
        <v>2115</v>
      </c>
      <c r="R22" s="1652">
        <f>IF(Cdlac[[#This Row],[Quantity]]&gt;0,MAX(0,Cdlac[[#This Row],[Fair Market Rent]]-Cdlac[[#This Row],[Restricted Rent]]),"")</f>
        <v>1136.4000000000001</v>
      </c>
      <c r="S22" s="1602">
        <f>IF(Cdlac[[#This Row],[Quantity]]&gt;0,AND(Application!AK730&lt;&gt;"N/A",Application!AK730&lt;&gt;"")*Cdlac[[#This Row],[Quantity]],"")</f>
        <v>0</v>
      </c>
      <c r="T22" s="1602" t="b">
        <f>AND('Subsidy Contract Calculation'!F6&gt;0,'Subsidy Contract Calculation'!C6="Federal",Cdlac[[#This Row],[Quantity]]&gt;0)</f>
        <v>0</v>
      </c>
    </row>
    <row r="23" spans="1:20" ht="15" customHeight="1">
      <c r="C23" s="1662">
        <v>1</v>
      </c>
      <c r="D23" s="1663">
        <v>1</v>
      </c>
      <c r="E23" s="1662">
        <f>SUMIFS(Cdlac[Quantity],Cdlac[Bedrooms],C23)</f>
        <v>0</v>
      </c>
      <c r="F23" s="1662">
        <f>E23</f>
        <v>0</v>
      </c>
      <c r="G23" s="1662">
        <f t="shared" ref="G23:G26" si="0">D23*F23</f>
        <v>0</v>
      </c>
      <c r="L23" s="1602">
        <f>IFERROR(MIN(4,MATCH(Application!B731,UnitSizes,0)-1),"")</f>
        <v>0</v>
      </c>
      <c r="M23" s="1652">
        <f>Application!G731</f>
        <v>11</v>
      </c>
      <c r="N23" s="1661">
        <f>Application!AC731</f>
        <v>0.5</v>
      </c>
      <c r="O23" s="1661">
        <f>IF(Cdlac[[#This Row],[Quantity]]&gt;0,IF(Cdlac[[#This Row],[Federal]],30%,IF($G$36,40%,Cdlac[[#This Row],[iAMI]])),"")</f>
        <v>0.5</v>
      </c>
      <c r="P23" s="1652" cm="1">
        <f t="array" ref="P23">IF(Cdlac[[#This Row],[Quantity]]&gt;0,INDEX(TcacRents,$P$18,Cdlac[[#This Row],[Bedrooms]]+1)*Cdlac[[#This Row],[AMI]],"")</f>
        <v>1631</v>
      </c>
      <c r="Q23" s="1652" cm="1">
        <f t="array" ref="Q23">IF(Cdlac[[#This Row],[Quantity]]&gt;0,INDEX(HudFmrs,$P$18,Cdlac[[#This Row],[Bedrooms]]+1),"")</f>
        <v>2115</v>
      </c>
      <c r="R23" s="1652">
        <f>IF(Cdlac[[#This Row],[Quantity]]&gt;0,MAX(0,Cdlac[[#This Row],[Fair Market Rent]]-Cdlac[[#This Row],[Restricted Rent]]),"")</f>
        <v>484</v>
      </c>
      <c r="S23" s="1602">
        <f>IF(Cdlac[[#This Row],[Quantity]]&gt;0,AND(Application!AK731&lt;&gt;"N/A",Application!AK731&lt;&gt;"")*Cdlac[[#This Row],[Quantity]],"")</f>
        <v>0</v>
      </c>
      <c r="T23" s="1602" t="b">
        <f>AND('Subsidy Contract Calculation'!F7&gt;0,'Subsidy Contract Calculation'!C7="Federal",Cdlac[[#This Row],[Quantity]]&gt;0)</f>
        <v>0</v>
      </c>
    </row>
    <row r="24" spans="1:20" ht="15" customHeight="1">
      <c r="A24" s="1664"/>
      <c r="C24" s="1665">
        <v>2</v>
      </c>
      <c r="D24" s="1663">
        <v>1.25</v>
      </c>
      <c r="E24" s="1662">
        <f>SUMIFS(Cdlac[Quantity],Cdlac[Bedrooms],C24)</f>
        <v>31</v>
      </c>
      <c r="F24" s="1665">
        <f>SUM(E24:E26)-SUM(F25:F26)</f>
        <v>31</v>
      </c>
      <c r="G24" s="1662">
        <f t="shared" si="0"/>
        <v>38.75</v>
      </c>
      <c r="H24" s="1664"/>
      <c r="I24" s="1664"/>
      <c r="L24" s="1602">
        <f>IFERROR(MIN(4,MATCH(Application!B732,UnitSizes,0)-1),"")</f>
        <v>0</v>
      </c>
      <c r="M24" s="1652">
        <f>Application!G732</f>
        <v>10</v>
      </c>
      <c r="N24" s="1661">
        <f>Application!AC732</f>
        <v>0.6</v>
      </c>
      <c r="O24" s="1661">
        <f>IF(Cdlac[[#This Row],[Quantity]]&gt;0,IF(Cdlac[[#This Row],[Federal]],30%,IF($G$36,40%,Cdlac[[#This Row],[iAMI]])),"")</f>
        <v>0.6</v>
      </c>
      <c r="P24" s="1652" cm="1">
        <f t="array" ref="P24">IF(Cdlac[[#This Row],[Quantity]]&gt;0,INDEX(TcacRents,$P$18,Cdlac[[#This Row],[Bedrooms]]+1)*Cdlac[[#This Row],[AMI]],"")</f>
        <v>1957.1999999999998</v>
      </c>
      <c r="Q24" s="1652" cm="1">
        <f t="array" ref="Q24">IF(Cdlac[[#This Row],[Quantity]]&gt;0,INDEX(HudFmrs,$P$18,Cdlac[[#This Row],[Bedrooms]]+1),"")</f>
        <v>2115</v>
      </c>
      <c r="R24" s="1652">
        <f>IF(Cdlac[[#This Row],[Quantity]]&gt;0,MAX(0,Cdlac[[#This Row],[Fair Market Rent]]-Cdlac[[#This Row],[Restricted Rent]]),"")</f>
        <v>157.80000000000018</v>
      </c>
      <c r="S24" s="1602">
        <f>IF(Cdlac[[#This Row],[Quantity]]&gt;0,AND(Application!AK732&lt;&gt;"N/A",Application!AK732&lt;&gt;"")*Cdlac[[#This Row],[Quantity]],"")</f>
        <v>0</v>
      </c>
      <c r="T24" s="1602" t="b">
        <f>AND('Subsidy Contract Calculation'!F8&gt;0,'Subsidy Contract Calculation'!C8="Federal",Cdlac[[#This Row],[Quantity]]&gt;0)</f>
        <v>0</v>
      </c>
    </row>
    <row r="25" spans="1:20" ht="15" customHeight="1">
      <c r="A25" s="1664"/>
      <c r="C25" s="1665">
        <v>3</v>
      </c>
      <c r="D25" s="1663">
        <f>1.5+0.25*0</f>
        <v>1.5</v>
      </c>
      <c r="E25" s="1662">
        <f>SUMIFS(Cdlac[Quantity],Cdlac[Bedrooms],C25)</f>
        <v>0</v>
      </c>
      <c r="F25" s="1665">
        <f>MIN(E25,ROUNDDOWN(E27*30%,0))</f>
        <v>0</v>
      </c>
      <c r="G25" s="1662">
        <f t="shared" si="0"/>
        <v>0</v>
      </c>
      <c r="H25" s="1664"/>
      <c r="I25" s="1664"/>
      <c r="L25" s="1602">
        <f>IFERROR(MIN(4,MATCH(Application!B733,UnitSizes,0)-1),"")</f>
        <v>0</v>
      </c>
      <c r="M25" s="1652">
        <f>Application!G733</f>
        <v>32</v>
      </c>
      <c r="N25" s="1661">
        <f>Application!AC733</f>
        <v>0.6</v>
      </c>
      <c r="O25" s="1661">
        <f>IF(Cdlac[[#This Row],[Quantity]]&gt;0,IF(Cdlac[[#This Row],[Federal]],30%,IF($G$36,40%,Cdlac[[#This Row],[iAMI]])),"")</f>
        <v>0.6</v>
      </c>
      <c r="P25" s="1652" cm="1">
        <f t="array" ref="P25">IF(Cdlac[[#This Row],[Quantity]]&gt;0,INDEX(TcacRents,$P$18,Cdlac[[#This Row],[Bedrooms]]+1)*Cdlac[[#This Row],[AMI]],"")</f>
        <v>1957.1999999999998</v>
      </c>
      <c r="Q25" s="1652" cm="1">
        <f t="array" ref="Q25">IF(Cdlac[[#This Row],[Quantity]]&gt;0,INDEX(HudFmrs,$P$18,Cdlac[[#This Row],[Bedrooms]]+1),"")</f>
        <v>2115</v>
      </c>
      <c r="R25" s="1652">
        <f>IF(Cdlac[[#This Row],[Quantity]]&gt;0,MAX(0,Cdlac[[#This Row],[Fair Market Rent]]-Cdlac[[#This Row],[Restricted Rent]]),"")</f>
        <v>157.80000000000018</v>
      </c>
      <c r="S25" s="1602">
        <f>IF(Cdlac[[#This Row],[Quantity]]&gt;0,AND(Application!AK733&lt;&gt;"N/A",Application!AK733&lt;&gt;"")*Cdlac[[#This Row],[Quantity]],"")</f>
        <v>0</v>
      </c>
      <c r="T25" s="1602" t="b">
        <f>AND('Subsidy Contract Calculation'!F9&gt;0,'Subsidy Contract Calculation'!C9="Federal",Cdlac[[#This Row],[Quantity]]&gt;0)</f>
        <v>0</v>
      </c>
    </row>
    <row r="26" spans="1:20" ht="15" customHeight="1" thickBot="1">
      <c r="A26" s="1664"/>
      <c r="C26" s="1666">
        <v>4</v>
      </c>
      <c r="D26" s="1667">
        <f>1.75+0.25*0</f>
        <v>1.75</v>
      </c>
      <c r="E26" s="1668">
        <f>SUMIFS(Cdlac[Quantity],Cdlac[Bedrooms],C26)</f>
        <v>0</v>
      </c>
      <c r="F26" s="1666">
        <f>MIN(E26,ROUNDDOWN(E27*10%,0))</f>
        <v>0</v>
      </c>
      <c r="G26" s="1668">
        <f t="shared" si="0"/>
        <v>0</v>
      </c>
      <c r="H26" s="1664"/>
      <c r="I26" s="1664"/>
      <c r="L26" s="1602">
        <f>IFERROR(MIN(4,MATCH(Application!B734,UnitSizes,0)-1),"")</f>
        <v>2</v>
      </c>
      <c r="M26" s="1652">
        <f>Application!G734</f>
        <v>2</v>
      </c>
      <c r="N26" s="1661">
        <f>Application!AC734</f>
        <v>0.3</v>
      </c>
      <c r="O26" s="1661">
        <f>IF(Cdlac[[#This Row],[Quantity]]&gt;0,IF(Cdlac[[#This Row],[Federal]],30%,IF($G$36,40%,Cdlac[[#This Row],[iAMI]])),"")</f>
        <v>0.3</v>
      </c>
      <c r="P26" s="1652" cm="1">
        <f t="array" ref="P26">IF(Cdlac[[#This Row],[Quantity]]&gt;0,INDEX(TcacRents,$P$18,Cdlac[[#This Row],[Bedrooms]]+1)*Cdlac[[#This Row],[AMI]],"")</f>
        <v>1258.2</v>
      </c>
      <c r="Q26" s="1652" cm="1">
        <f t="array" ref="Q26">IF(Cdlac[[#This Row],[Quantity]]&gt;0,INDEX(HudFmrs,$P$18,Cdlac[[#This Row],[Bedrooms]]+1),"")</f>
        <v>3198</v>
      </c>
      <c r="R26" s="1652">
        <f>IF(Cdlac[[#This Row],[Quantity]]&gt;0,MAX(0,Cdlac[[#This Row],[Fair Market Rent]]-Cdlac[[#This Row],[Restricted Rent]]),"")</f>
        <v>1939.8</v>
      </c>
      <c r="S26" s="1602">
        <f>IF(Cdlac[[#This Row],[Quantity]]&gt;0,AND(Application!AK734&lt;&gt;"N/A",Application!AK734&lt;&gt;"")*Cdlac[[#This Row],[Quantity]],"")</f>
        <v>2</v>
      </c>
      <c r="T26" s="1602" t="b">
        <f>AND('Subsidy Contract Calculation'!F10&gt;0,'Subsidy Contract Calculation'!C10="Federal",Cdlac[[#This Row],[Quantity]]&gt;0)</f>
        <v>1</v>
      </c>
    </row>
    <row r="27" spans="1:20" ht="15" customHeight="1">
      <c r="A27" s="1664"/>
      <c r="C27" s="3132" t="s">
        <v>1786</v>
      </c>
      <c r="D27" s="3133"/>
      <c r="E27" s="1669">
        <f>SUM(E22:E26)</f>
        <v>110</v>
      </c>
      <c r="F27" s="1669">
        <f>SUM(F22:F26)</f>
        <v>110</v>
      </c>
      <c r="G27" s="1670">
        <f>SUMPRODUCT(D22:D26,F22:F26)</f>
        <v>109.85000000000001</v>
      </c>
      <c r="H27" s="1664"/>
      <c r="I27" s="1664"/>
      <c r="L27" s="1602">
        <f>IFERROR(MIN(4,MATCH(Application!B735,UnitSizes,0)-1),"")</f>
        <v>2</v>
      </c>
      <c r="M27" s="1652">
        <f>Application!G735</f>
        <v>2</v>
      </c>
      <c r="N27" s="1661">
        <f>Application!AC735</f>
        <v>0.3</v>
      </c>
      <c r="O27" s="1661">
        <f>IF(Cdlac[[#This Row],[Quantity]]&gt;0,IF(Cdlac[[#This Row],[Federal]],30%,IF($G$36,40%,Cdlac[[#This Row],[iAMI]])),"")</f>
        <v>0.3</v>
      </c>
      <c r="P27" s="1652" cm="1">
        <f t="array" ref="P27">IF(Cdlac[[#This Row],[Quantity]]&gt;0,INDEX(TcacRents,$P$18,Cdlac[[#This Row],[Bedrooms]]+1)*Cdlac[[#This Row],[AMI]],"")</f>
        <v>1258.2</v>
      </c>
      <c r="Q27" s="1652" cm="1">
        <f t="array" ref="Q27">IF(Cdlac[[#This Row],[Quantity]]&gt;0,INDEX(HudFmrs,$P$18,Cdlac[[#This Row],[Bedrooms]]+1),"")</f>
        <v>3198</v>
      </c>
      <c r="R27" s="1652">
        <f>IF(Cdlac[[#This Row],[Quantity]]&gt;0,MAX(0,Cdlac[[#This Row],[Fair Market Rent]]-Cdlac[[#This Row],[Restricted Rent]]),"")</f>
        <v>1939.8</v>
      </c>
      <c r="S27" s="1602">
        <f>IF(Cdlac[[#This Row],[Quantity]]&gt;0,AND(Application!AK735&lt;&gt;"N/A",Application!AK735&lt;&gt;"")*Cdlac[[#This Row],[Quantity]],"")</f>
        <v>0</v>
      </c>
      <c r="T27" s="1602" t="b">
        <f>AND('Subsidy Contract Calculation'!F11&gt;0,'Subsidy Contract Calculation'!C11="Federal",Cdlac[[#This Row],[Quantity]]&gt;0)</f>
        <v>0</v>
      </c>
    </row>
    <row r="28" spans="1:20" ht="15" customHeight="1">
      <c r="A28" s="1664"/>
      <c r="C28" s="1664"/>
      <c r="D28" s="1664"/>
      <c r="E28" s="1664"/>
      <c r="F28" s="1664"/>
      <c r="G28" s="1664"/>
      <c r="H28" s="1664"/>
      <c r="I28" s="1664"/>
      <c r="L28" s="1602">
        <f>IFERROR(MIN(4,MATCH(Application!B736,UnitSizes,0)-1),"")</f>
        <v>2</v>
      </c>
      <c r="M28" s="1652">
        <f>Application!G736</f>
        <v>4</v>
      </c>
      <c r="N28" s="1661">
        <f>Application!AC736</f>
        <v>0.5</v>
      </c>
      <c r="O28" s="1661">
        <f>IF(Cdlac[[#This Row],[Quantity]]&gt;0,IF(Cdlac[[#This Row],[Federal]],30%,IF($G$36,40%,Cdlac[[#This Row],[iAMI]])),"")</f>
        <v>0.5</v>
      </c>
      <c r="P28" s="1652" cm="1">
        <f t="array" ref="P28">IF(Cdlac[[#This Row],[Quantity]]&gt;0,INDEX(TcacRents,$P$18,Cdlac[[#This Row],[Bedrooms]]+1)*Cdlac[[#This Row],[AMI]],"")</f>
        <v>2097</v>
      </c>
      <c r="Q28" s="1652" cm="1">
        <f t="array" ref="Q28">IF(Cdlac[[#This Row],[Quantity]]&gt;0,INDEX(HudFmrs,$P$18,Cdlac[[#This Row],[Bedrooms]]+1),"")</f>
        <v>3198</v>
      </c>
      <c r="R28" s="1652">
        <f>IF(Cdlac[[#This Row],[Quantity]]&gt;0,MAX(0,Cdlac[[#This Row],[Fair Market Rent]]-Cdlac[[#This Row],[Restricted Rent]]),"")</f>
        <v>1101</v>
      </c>
      <c r="S28" s="1602">
        <f>IF(Cdlac[[#This Row],[Quantity]]&gt;0,AND(Application!AK736&lt;&gt;"N/A",Application!AK736&lt;&gt;"")*Cdlac[[#This Row],[Quantity]],"")</f>
        <v>0</v>
      </c>
      <c r="T28" s="1602" t="b">
        <f>AND('Subsidy Contract Calculation'!F12&gt;0,'Subsidy Contract Calculation'!C12="Federal",Cdlac[[#This Row],[Quantity]]&gt;0)</f>
        <v>0</v>
      </c>
    </row>
    <row r="29" spans="1:20" ht="15" customHeight="1">
      <c r="A29" s="1664"/>
      <c r="E29" s="1671" t="s">
        <v>2442</v>
      </c>
      <c r="G29" s="1672">
        <f>G27</f>
        <v>109.85000000000001</v>
      </c>
      <c r="H29" s="1664"/>
      <c r="I29" s="1664"/>
      <c r="L29" s="1602">
        <f>IFERROR(MIN(4,MATCH(Application!B737,UnitSizes,0)-1),"")</f>
        <v>2</v>
      </c>
      <c r="M29" s="1652">
        <f>Application!G737</f>
        <v>9</v>
      </c>
      <c r="N29" s="1661">
        <f>Application!AC737</f>
        <v>0.5</v>
      </c>
      <c r="O29" s="1661">
        <f>IF(Cdlac[[#This Row],[Quantity]]&gt;0,IF(Cdlac[[#This Row],[Federal]],30%,IF($G$36,40%,Cdlac[[#This Row],[iAMI]])),"")</f>
        <v>0.5</v>
      </c>
      <c r="P29" s="1652" cm="1">
        <f t="array" ref="P29">IF(Cdlac[[#This Row],[Quantity]]&gt;0,INDEX(TcacRents,$P$18,Cdlac[[#This Row],[Bedrooms]]+1)*Cdlac[[#This Row],[AMI]],"")</f>
        <v>2097</v>
      </c>
      <c r="Q29" s="1652" cm="1">
        <f t="array" ref="Q29">IF(Cdlac[[#This Row],[Quantity]]&gt;0,INDEX(HudFmrs,$P$18,Cdlac[[#This Row],[Bedrooms]]+1),"")</f>
        <v>3198</v>
      </c>
      <c r="R29" s="1652">
        <f>IF(Cdlac[[#This Row],[Quantity]]&gt;0,MAX(0,Cdlac[[#This Row],[Fair Market Rent]]-Cdlac[[#This Row],[Restricted Rent]]),"")</f>
        <v>1101</v>
      </c>
      <c r="S29" s="1602">
        <f>IF(Cdlac[[#This Row],[Quantity]]&gt;0,AND(Application!AK737&lt;&gt;"N/A",Application!AK737&lt;&gt;"")*Cdlac[[#This Row],[Quantity]],"")</f>
        <v>0</v>
      </c>
      <c r="T29" s="1602" t="b">
        <f>AND('Subsidy Contract Calculation'!F13&gt;0,'Subsidy Contract Calculation'!C13="Federal",Cdlac[[#This Row],[Quantity]]&gt;0)</f>
        <v>0</v>
      </c>
    </row>
    <row r="30" spans="1:20" ht="15" customHeight="1">
      <c r="A30" s="1664"/>
      <c r="E30" s="1671" t="s">
        <v>2392</v>
      </c>
      <c r="F30" s="1673" t="s">
        <v>2451</v>
      </c>
      <c r="G30" s="1674">
        <v>50000</v>
      </c>
      <c r="H30" s="1664"/>
      <c r="I30" s="1664"/>
      <c r="L30" s="1602">
        <f>IFERROR(MIN(4,MATCH(Application!B738,UnitSizes,0)-1),"")</f>
        <v>2</v>
      </c>
      <c r="M30" s="1652">
        <f>Application!G738</f>
        <v>14</v>
      </c>
      <c r="N30" s="1661">
        <f>Application!AC738</f>
        <v>0.6</v>
      </c>
      <c r="O30" s="1661">
        <f>IF(Cdlac[[#This Row],[Quantity]]&gt;0,IF(Cdlac[[#This Row],[Federal]],30%,IF($G$36,40%,Cdlac[[#This Row],[iAMI]])),"")</f>
        <v>0.6</v>
      </c>
      <c r="P30" s="1652" cm="1">
        <f t="array" ref="P30">IF(Cdlac[[#This Row],[Quantity]]&gt;0,INDEX(TcacRents,$P$18,Cdlac[[#This Row],[Bedrooms]]+1)*Cdlac[[#This Row],[AMI]],"")</f>
        <v>2516.4</v>
      </c>
      <c r="Q30" s="1652" cm="1">
        <f t="array" ref="Q30">IF(Cdlac[[#This Row],[Quantity]]&gt;0,INDEX(HudFmrs,$P$18,Cdlac[[#This Row],[Bedrooms]]+1),"")</f>
        <v>3198</v>
      </c>
      <c r="R30" s="1652">
        <f>IF(Cdlac[[#This Row],[Quantity]]&gt;0,MAX(0,Cdlac[[#This Row],[Fair Market Rent]]-Cdlac[[#This Row],[Restricted Rent]]),"")</f>
        <v>681.59999999999991</v>
      </c>
      <c r="S30" s="1602">
        <f>IF(Cdlac[[#This Row],[Quantity]]&gt;0,AND(Application!AK738&lt;&gt;"N/A",Application!AK738&lt;&gt;"")*Cdlac[[#This Row],[Quantity]],"")</f>
        <v>0</v>
      </c>
      <c r="T30" s="1602" t="b">
        <f>AND('Subsidy Contract Calculation'!F14&gt;0,'Subsidy Contract Calculation'!C14="Federal",Cdlac[[#This Row],[Quantity]]&gt;0)</f>
        <v>0</v>
      </c>
    </row>
    <row r="31" spans="1:20" ht="15" customHeight="1">
      <c r="A31" s="1664"/>
      <c r="E31" s="1675" t="s">
        <v>2435</v>
      </c>
      <c r="F31" s="1603"/>
      <c r="G31" s="1676">
        <f>G30*G29</f>
        <v>5492500</v>
      </c>
      <c r="H31" s="1664"/>
      <c r="I31" s="1664"/>
      <c r="L31" s="1602" t="str">
        <f>IFERROR(MIN(4,MATCH(Application!B739,UnitSizes,0)-1),"")</f>
        <v/>
      </c>
      <c r="M31" s="1652">
        <f>Application!G739</f>
        <v>0</v>
      </c>
      <c r="N31" s="1661">
        <f>Application!AC739</f>
        <v>0</v>
      </c>
      <c r="O31" s="1661" t="str">
        <f>IF(Cdlac[[#This Row],[Quantity]]&gt;0,IF(Cdlac[[#This Row],[Federal]],30%,IF($G$36,40%,Cdlac[[#This Row],[iAMI]])),"")</f>
        <v/>
      </c>
      <c r="P31" s="1652" t="str" cm="1">
        <f t="array" ref="P31">IF(Cdlac[[#This Row],[Quantity]]&gt;0,INDEX(TcacRents,$P$18,Cdlac[[#This Row],[Bedrooms]]+1)*Cdlac[[#This Row],[AMI]],"")</f>
        <v/>
      </c>
      <c r="Q31" s="1652" t="str" cm="1">
        <f t="array" ref="Q31">IF(Cdlac[[#This Row],[Quantity]]&gt;0,INDEX(HudFmrs,$P$18,Cdlac[[#This Row],[Bedrooms]]+1),"")</f>
        <v/>
      </c>
      <c r="R31" s="1652" t="str">
        <f>IF(Cdlac[[#This Row],[Quantity]]&gt;0,MAX(0,Cdlac[[#This Row],[Fair Market Rent]]-Cdlac[[#This Row],[Restricted Rent]]),"")</f>
        <v/>
      </c>
      <c r="S31" s="1602" t="str">
        <f>IF(Cdlac[[#This Row],[Quantity]]&gt;0,AND(Application!AK739&lt;&gt;"N/A",Application!AK739&lt;&gt;"")*Cdlac[[#This Row],[Quantity]],"")</f>
        <v/>
      </c>
      <c r="T31" s="1602" t="b">
        <f>AND('Subsidy Contract Calculation'!F15&gt;0,'Subsidy Contract Calculation'!C15="Federal",Cdlac[[#This Row],[Quantity]]&gt;0)</f>
        <v>0</v>
      </c>
    </row>
    <row r="32" spans="1:20" ht="15" customHeight="1">
      <c r="A32" s="1664"/>
      <c r="B32" s="1664"/>
      <c r="C32" s="1664"/>
      <c r="D32" s="1664"/>
      <c r="E32" s="1664"/>
      <c r="F32" s="1664"/>
      <c r="G32" s="1664"/>
      <c r="H32" s="1664"/>
      <c r="I32" s="1664"/>
      <c r="L32" s="1602" t="str">
        <f>IFERROR(MIN(4,MATCH(Application!B740,UnitSizes,0)-1),"")</f>
        <v/>
      </c>
      <c r="M32" s="1652">
        <f>Application!G740</f>
        <v>0</v>
      </c>
      <c r="N32" s="1661">
        <f>Application!AC740</f>
        <v>0</v>
      </c>
      <c r="O32" s="1661" t="str">
        <f>IF(Cdlac[[#This Row],[Quantity]]&gt;0,IF(Cdlac[[#This Row],[Federal]],30%,IF($G$36,40%,Cdlac[[#This Row],[iAMI]])),"")</f>
        <v/>
      </c>
      <c r="P32" s="1652" t="str" cm="1">
        <f t="array" ref="P32">IF(Cdlac[[#This Row],[Quantity]]&gt;0,INDEX(TcacRents,$P$18,Cdlac[[#This Row],[Bedrooms]]+1)*Cdlac[[#This Row],[AMI]],"")</f>
        <v/>
      </c>
      <c r="Q32" s="1652" t="str" cm="1">
        <f t="array" ref="Q32">IF(Cdlac[[#This Row],[Quantity]]&gt;0,INDEX(HudFmrs,$P$18,Cdlac[[#This Row],[Bedrooms]]+1),"")</f>
        <v/>
      </c>
      <c r="R32" s="1652" t="str">
        <f>IF(Cdlac[[#This Row],[Quantity]]&gt;0,MAX(0,Cdlac[[#This Row],[Fair Market Rent]]-Cdlac[[#This Row],[Restricted Rent]]),"")</f>
        <v/>
      </c>
      <c r="S32" s="1602" t="str">
        <f>IF(Cdlac[[#This Row],[Quantity]]&gt;0,AND(Application!AK740&lt;&gt;"N/A",Application!AK740&lt;&gt;"")*Cdlac[[#This Row],[Quantity]],"")</f>
        <v/>
      </c>
      <c r="T32" s="1602" t="b">
        <f>AND('Subsidy Contract Calculation'!F16&gt;0,'Subsidy Contract Calculation'!C16="Federal",Cdlac[[#This Row],[Quantity]]&gt;0)</f>
        <v>0</v>
      </c>
    </row>
    <row r="33" spans="2:20" ht="15" customHeight="1">
      <c r="B33" s="1655" t="str">
        <f>B10</f>
        <v>B. Rent Savings Benefit</v>
      </c>
      <c r="C33" s="1656"/>
      <c r="D33" s="1656"/>
      <c r="E33" s="1656"/>
      <c r="F33" s="1656"/>
      <c r="G33" s="1656"/>
      <c r="H33" s="1656"/>
      <c r="I33" s="1657"/>
      <c r="L33" s="1602" t="str">
        <f>IFERROR(MIN(4,MATCH(Application!B741,UnitSizes,0)-1),"")</f>
        <v/>
      </c>
      <c r="M33" s="1652">
        <f>Application!G741</f>
        <v>0</v>
      </c>
      <c r="N33" s="1661">
        <f>Application!AC741</f>
        <v>0</v>
      </c>
      <c r="O33" s="1661" t="str">
        <f>IF(Cdlac[[#This Row],[Quantity]]&gt;0,IF(Cdlac[[#This Row],[Federal]],30%,IF($G$36,40%,Cdlac[[#This Row],[iAMI]])),"")</f>
        <v/>
      </c>
      <c r="P33" s="1652" t="str" cm="1">
        <f t="array" ref="P33">IF(Cdlac[[#This Row],[Quantity]]&gt;0,INDEX(TcacRents,$P$18,Cdlac[[#This Row],[Bedrooms]]+1)*Cdlac[[#This Row],[AMI]],"")</f>
        <v/>
      </c>
      <c r="Q33" s="1652" t="str" cm="1">
        <f t="array" ref="Q33">IF(Cdlac[[#This Row],[Quantity]]&gt;0,INDEX(HudFmrs,$P$18,Cdlac[[#This Row],[Bedrooms]]+1),"")</f>
        <v/>
      </c>
      <c r="R33" s="1652" t="str">
        <f>IF(Cdlac[[#This Row],[Quantity]]&gt;0,MAX(0,Cdlac[[#This Row],[Fair Market Rent]]-Cdlac[[#This Row],[Restricted Rent]]),"")</f>
        <v/>
      </c>
      <c r="S33" s="1602" t="str">
        <f>IF(Cdlac[[#This Row],[Quantity]]&gt;0,AND(Application!AK741&lt;&gt;"N/A",Application!AK741&lt;&gt;"")*Cdlac[[#This Row],[Quantity]],"")</f>
        <v/>
      </c>
      <c r="T33" s="1602" t="b">
        <f>AND('Subsidy Contract Calculation'!F17&gt;0,'Subsidy Contract Calculation'!C17="Federal",Cdlac[[#This Row],[Quantity]]&gt;0)</f>
        <v>0</v>
      </c>
    </row>
    <row r="34" spans="2:20" ht="15" customHeight="1">
      <c r="L34" s="1602" t="str">
        <f>IFERROR(MIN(4,MATCH(Application!B742,UnitSizes,0)-1),"")</f>
        <v/>
      </c>
      <c r="M34" s="1652">
        <f>Application!G742</f>
        <v>0</v>
      </c>
      <c r="N34" s="1661">
        <f>Application!AC742</f>
        <v>0</v>
      </c>
      <c r="O34" s="1661" t="str">
        <f>IF(Cdlac[[#This Row],[Quantity]]&gt;0,IF(Cdlac[[#This Row],[Federal]],30%,IF($G$36,40%,Cdlac[[#This Row],[iAMI]])),"")</f>
        <v/>
      </c>
      <c r="P34" s="1652" t="str" cm="1">
        <f t="array" ref="P34">IF(Cdlac[[#This Row],[Quantity]]&gt;0,INDEX(TcacRents,$P$18,Cdlac[[#This Row],[Bedrooms]]+1)*Cdlac[[#This Row],[AMI]],"")</f>
        <v/>
      </c>
      <c r="Q34" s="1652" t="str" cm="1">
        <f t="array" ref="Q34">IF(Cdlac[[#This Row],[Quantity]]&gt;0,INDEX(HudFmrs,$P$18,Cdlac[[#This Row],[Bedrooms]]+1),"")</f>
        <v/>
      </c>
      <c r="R34" s="1652" t="str">
        <f>IF(Cdlac[[#This Row],[Quantity]]&gt;0,MAX(0,Cdlac[[#This Row],[Fair Market Rent]]-Cdlac[[#This Row],[Restricted Rent]]),"")</f>
        <v/>
      </c>
      <c r="S34" s="1602" t="str">
        <f>IF(Cdlac[[#This Row],[Quantity]]&gt;0,AND(Application!AK742&lt;&gt;"N/A",Application!AK742&lt;&gt;"")*Cdlac[[#This Row],[Quantity]],"")</f>
        <v/>
      </c>
      <c r="T34" s="1602" t="b">
        <f>AND('Subsidy Contract Calculation'!F18&gt;0,'Subsidy Contract Calculation'!C18="Federal",Cdlac[[#This Row],[Quantity]]&gt;0)</f>
        <v>0</v>
      </c>
    </row>
    <row r="35" spans="2:20" ht="15" customHeight="1">
      <c r="E35" s="1658" t="s">
        <v>2462</v>
      </c>
      <c r="G35" s="1677" cm="1">
        <f t="array" ref="G35">SUMPRODUCT(Cdlac[Quantity],Cdlac[iAMI],IF(Cdlac[Federal],0,1))/SUMIFS(Cdlac[Quantity],Cdlac[Federal],FALSE)</f>
        <v>0.51250000000000007</v>
      </c>
      <c r="L35" s="1602" t="str">
        <f>IFERROR(MIN(4,MATCH(Application!B743,UnitSizes,0)-1),"")</f>
        <v/>
      </c>
      <c r="M35" s="1652">
        <f>Application!G743</f>
        <v>0</v>
      </c>
      <c r="N35" s="1661">
        <f>Application!AC743</f>
        <v>0</v>
      </c>
      <c r="O35" s="1661" t="str">
        <f>IF(Cdlac[[#This Row],[Quantity]]&gt;0,IF(Cdlac[[#This Row],[Federal]],30%,IF($G$36,40%,Cdlac[[#This Row],[iAMI]])),"")</f>
        <v/>
      </c>
      <c r="P35" s="1652" t="str" cm="1">
        <f t="array" ref="P35">IF(Cdlac[[#This Row],[Quantity]]&gt;0,INDEX(TcacRents,$P$18,Cdlac[[#This Row],[Bedrooms]]+1)*Cdlac[[#This Row],[AMI]],"")</f>
        <v/>
      </c>
      <c r="Q35" s="1652" t="str" cm="1">
        <f t="array" ref="Q35">IF(Cdlac[[#This Row],[Quantity]]&gt;0,INDEX(HudFmrs,$P$18,Cdlac[[#This Row],[Bedrooms]]+1),"")</f>
        <v/>
      </c>
      <c r="R35" s="1652" t="str">
        <f>IF(Cdlac[[#This Row],[Quantity]]&gt;0,MAX(0,Cdlac[[#This Row],[Fair Market Rent]]-Cdlac[[#This Row],[Restricted Rent]]),"")</f>
        <v/>
      </c>
      <c r="S35" s="1602" t="str">
        <f>IF(Cdlac[[#This Row],[Quantity]]&gt;0,AND(Application!AK743&lt;&gt;"N/A",Application!AK743&lt;&gt;"")*Cdlac[[#This Row],[Quantity]],"")</f>
        <v/>
      </c>
      <c r="T35" s="1602" t="b">
        <f>AND('Subsidy Contract Calculation'!F19&gt;0,'Subsidy Contract Calculation'!C19="Federal",Cdlac[[#This Row],[Quantity]]&gt;0)</f>
        <v>0</v>
      </c>
    </row>
    <row r="36" spans="2:20" ht="15" customHeight="1">
      <c r="E36" s="1658" t="s">
        <v>2457</v>
      </c>
      <c r="G36" s="1678" t="b">
        <f>G35&lt;40%</f>
        <v>0</v>
      </c>
      <c r="L36" s="1602" t="str">
        <f>IFERROR(MIN(4,MATCH(Application!B744,UnitSizes,0)-1),"")</f>
        <v/>
      </c>
      <c r="M36" s="1652">
        <f>Application!G744</f>
        <v>0</v>
      </c>
      <c r="N36" s="1661">
        <f>Application!AC744</f>
        <v>0</v>
      </c>
      <c r="O36" s="1661" t="str">
        <f>IF(Cdlac[[#This Row],[Quantity]]&gt;0,IF(Cdlac[[#This Row],[Federal]],30%,IF($G$36,40%,Cdlac[[#This Row],[iAMI]])),"")</f>
        <v/>
      </c>
      <c r="P36" s="1652" t="str" cm="1">
        <f t="array" ref="P36">IF(Cdlac[[#This Row],[Quantity]]&gt;0,INDEX(TcacRents,$P$18,Cdlac[[#This Row],[Bedrooms]]+1)*Cdlac[[#This Row],[AMI]],"")</f>
        <v/>
      </c>
      <c r="Q36" s="1652" t="str" cm="1">
        <f t="array" ref="Q36">IF(Cdlac[[#This Row],[Quantity]]&gt;0,INDEX(HudFmrs,$P$18,Cdlac[[#This Row],[Bedrooms]]+1),"")</f>
        <v/>
      </c>
      <c r="R36" s="1652" t="str">
        <f>IF(Cdlac[[#This Row],[Quantity]]&gt;0,MAX(0,Cdlac[[#This Row],[Fair Market Rent]]-Cdlac[[#This Row],[Restricted Rent]]),"")</f>
        <v/>
      </c>
      <c r="S36" s="1602" t="str">
        <f>IF(Cdlac[[#This Row],[Quantity]]&gt;0,AND(Application!AK744&lt;&gt;"N/A",Application!AK744&lt;&gt;"")*Cdlac[[#This Row],[Quantity]],"")</f>
        <v/>
      </c>
      <c r="T36" s="1602" t="b">
        <f>AND('Subsidy Contract Calculation'!F20&gt;0,'Subsidy Contract Calculation'!C20="Federal",Cdlac[[#This Row],[Quantity]]&gt;0)</f>
        <v>0</v>
      </c>
    </row>
    <row r="37" spans="2:20" ht="15" customHeight="1">
      <c r="L37" s="1602" t="str">
        <f>IFERROR(MIN(4,MATCH(Application!B745,UnitSizes,0)-1),"")</f>
        <v/>
      </c>
      <c r="M37" s="1652">
        <f>Application!G745</f>
        <v>0</v>
      </c>
      <c r="N37" s="1661">
        <f>Application!AC745</f>
        <v>0</v>
      </c>
      <c r="O37" s="1661" t="str">
        <f>IF(Cdlac[[#This Row],[Quantity]]&gt;0,IF(Cdlac[[#This Row],[Federal]],30%,IF($G$36,40%,Cdlac[[#This Row],[iAMI]])),"")</f>
        <v/>
      </c>
      <c r="P37" s="1652" t="str" cm="1">
        <f t="array" ref="P37">IF(Cdlac[[#This Row],[Quantity]]&gt;0,INDEX(TcacRents,$P$18,Cdlac[[#This Row],[Bedrooms]]+1)*Cdlac[[#This Row],[AMI]],"")</f>
        <v/>
      </c>
      <c r="Q37" s="1652" t="str" cm="1">
        <f t="array" ref="Q37">IF(Cdlac[[#This Row],[Quantity]]&gt;0,INDEX(HudFmrs,$P$18,Cdlac[[#This Row],[Bedrooms]]+1),"")</f>
        <v/>
      </c>
      <c r="R37" s="1652" t="str">
        <f>IF(Cdlac[[#This Row],[Quantity]]&gt;0,MAX(0,Cdlac[[#This Row],[Fair Market Rent]]-Cdlac[[#This Row],[Restricted Rent]]),"")</f>
        <v/>
      </c>
      <c r="S37" s="1602" t="str">
        <f>IF(Cdlac[[#This Row],[Quantity]]&gt;0,AND(Application!AK745&lt;&gt;"N/A",Application!AK745&lt;&gt;"")*Cdlac[[#This Row],[Quantity]],"")</f>
        <v/>
      </c>
      <c r="T37" s="1602" t="b">
        <f>AND('Subsidy Contract Calculation'!F21&gt;0,'Subsidy Contract Calculation'!C21="Federal",Cdlac[[#This Row],[Quantity]]&gt;0)</f>
        <v>0</v>
      </c>
    </row>
    <row r="38" spans="2:20" ht="15" customHeight="1">
      <c r="E38" s="1658" t="s">
        <v>2396</v>
      </c>
      <c r="G38" s="1679">
        <f>SUMPRODUCT(Cdlac[Quantity],Cdlac[Delta])</f>
        <v>77027</v>
      </c>
      <c r="L38" s="1602" t="str">
        <f>IFERROR(MIN(4,MATCH(Application!B746,UnitSizes,0)-1),"")</f>
        <v/>
      </c>
      <c r="M38" s="1652">
        <f>Application!G746</f>
        <v>0</v>
      </c>
      <c r="N38" s="1661">
        <f>Application!AC746</f>
        <v>0</v>
      </c>
      <c r="O38" s="1661" t="str">
        <f>IF(Cdlac[[#This Row],[Quantity]]&gt;0,IF(Cdlac[[#This Row],[Federal]],30%,IF($G$36,40%,Cdlac[[#This Row],[iAMI]])),"")</f>
        <v/>
      </c>
      <c r="P38" s="1652" t="str" cm="1">
        <f t="array" ref="P38">IF(Cdlac[[#This Row],[Quantity]]&gt;0,INDEX(TcacRents,$P$18,Cdlac[[#This Row],[Bedrooms]]+1)*Cdlac[[#This Row],[AMI]],"")</f>
        <v/>
      </c>
      <c r="Q38" s="1652" t="str" cm="1">
        <f t="array" ref="Q38">IF(Cdlac[[#This Row],[Quantity]]&gt;0,INDEX(HudFmrs,$P$18,Cdlac[[#This Row],[Bedrooms]]+1),"")</f>
        <v/>
      </c>
      <c r="R38" s="1652" t="str">
        <f>IF(Cdlac[[#This Row],[Quantity]]&gt;0,MAX(0,Cdlac[[#This Row],[Fair Market Rent]]-Cdlac[[#This Row],[Restricted Rent]]),"")</f>
        <v/>
      </c>
      <c r="S38" s="1602" t="str">
        <f>IF(Cdlac[[#This Row],[Quantity]]&gt;0,AND(Application!AK746&lt;&gt;"N/A",Application!AK746&lt;&gt;"")*Cdlac[[#This Row],[Quantity]],"")</f>
        <v/>
      </c>
      <c r="T38" s="1602" t="b">
        <f>AND('Subsidy Contract Calculation'!F22&gt;0,'Subsidy Contract Calculation'!C22="Federal",Cdlac[[#This Row],[Quantity]]&gt;0)</f>
        <v>0</v>
      </c>
    </row>
    <row r="39" spans="2:20" ht="15" customHeight="1">
      <c r="E39" s="1671" t="s">
        <v>2463</v>
      </c>
      <c r="F39" s="1673" t="s">
        <v>2451</v>
      </c>
      <c r="G39" s="1680">
        <f>12*15</f>
        <v>180</v>
      </c>
      <c r="L39" s="1602" t="str">
        <f>IFERROR(MIN(4,MATCH(Application!B747,UnitSizes,0)-1),"")</f>
        <v/>
      </c>
      <c r="M39" s="1652">
        <f>Application!G747</f>
        <v>0</v>
      </c>
      <c r="N39" s="1661">
        <f>Application!AC747</f>
        <v>0</v>
      </c>
      <c r="O39" s="1661" t="str">
        <f>IF(Cdlac[[#This Row],[Quantity]]&gt;0,IF(Cdlac[[#This Row],[Federal]],30%,IF($G$36,40%,Cdlac[[#This Row],[iAMI]])),"")</f>
        <v/>
      </c>
      <c r="P39" s="1652" t="str" cm="1">
        <f t="array" ref="P39">IF(Cdlac[[#This Row],[Quantity]]&gt;0,INDEX(TcacRents,$P$18,Cdlac[[#This Row],[Bedrooms]]+1)*Cdlac[[#This Row],[AMI]],"")</f>
        <v/>
      </c>
      <c r="Q39" s="1652" t="str" cm="1">
        <f t="array" ref="Q39">IF(Cdlac[[#This Row],[Quantity]]&gt;0,INDEX(HudFmrs,$P$18,Cdlac[[#This Row],[Bedrooms]]+1),"")</f>
        <v/>
      </c>
      <c r="R39" s="1652" t="str">
        <f>IF(Cdlac[[#This Row],[Quantity]]&gt;0,MAX(0,Cdlac[[#This Row],[Fair Market Rent]]-Cdlac[[#This Row],[Restricted Rent]]),"")</f>
        <v/>
      </c>
      <c r="S39" s="1602" t="str">
        <f>IF(Cdlac[[#This Row],[Quantity]]&gt;0,AND(Application!AK747&lt;&gt;"N/A",Application!AK747&lt;&gt;"")*Cdlac[[#This Row],[Quantity]],"")</f>
        <v/>
      </c>
      <c r="T39" s="1602" t="b">
        <f>AND('Subsidy Contract Calculation'!F23&gt;0,'Subsidy Contract Calculation'!C23="Federal",Cdlac[[#This Row],[Quantity]]&gt;0)</f>
        <v>0</v>
      </c>
    </row>
    <row r="40" spans="2:20" ht="15" customHeight="1">
      <c r="E40" s="1681" t="s">
        <v>2389</v>
      </c>
      <c r="F40" s="1603"/>
      <c r="G40" s="1682">
        <f>G38*G39</f>
        <v>13864860</v>
      </c>
      <c r="L40" s="1602" t="str">
        <f>IFERROR(MIN(4,MATCH(Application!B748,UnitSizes,0)-1),"")</f>
        <v/>
      </c>
      <c r="M40" s="1652">
        <f>Application!G748</f>
        <v>0</v>
      </c>
      <c r="N40" s="1661">
        <f>Application!AC748</f>
        <v>0</v>
      </c>
      <c r="O40" s="1661" t="str">
        <f>IF(Cdlac[[#This Row],[Quantity]]&gt;0,IF(Cdlac[[#This Row],[Federal]],30%,IF($G$36,40%,Cdlac[[#This Row],[iAMI]])),"")</f>
        <v/>
      </c>
      <c r="P40" s="1652" t="str" cm="1">
        <f t="array" ref="P40">IF(Cdlac[[#This Row],[Quantity]]&gt;0,INDEX(TcacRents,$P$18,Cdlac[[#This Row],[Bedrooms]]+1)*Cdlac[[#This Row],[AMI]],"")</f>
        <v/>
      </c>
      <c r="Q40" s="1652" t="str" cm="1">
        <f t="array" ref="Q40">IF(Cdlac[[#This Row],[Quantity]]&gt;0,INDEX(HudFmrs,$P$18,Cdlac[[#This Row],[Bedrooms]]+1),"")</f>
        <v/>
      </c>
      <c r="R40" s="1652" t="str">
        <f>IF(Cdlac[[#This Row],[Quantity]]&gt;0,MAX(0,Cdlac[[#This Row],[Fair Market Rent]]-Cdlac[[#This Row],[Restricted Rent]]),"")</f>
        <v/>
      </c>
      <c r="S40" s="1602" t="str">
        <f>IF(Cdlac[[#This Row],[Quantity]]&gt;0,AND(Application!AK748&lt;&gt;"N/A",Application!AK748&lt;&gt;"")*Cdlac[[#This Row],[Quantity]],"")</f>
        <v/>
      </c>
      <c r="T40" s="1602" t="b">
        <f>AND('Subsidy Contract Calculation'!F24&gt;0,'Subsidy Contract Calculation'!C24="Federal",Cdlac[[#This Row],[Quantity]]&gt;0)</f>
        <v>0</v>
      </c>
    </row>
    <row r="41" spans="2:20" ht="15" customHeight="1">
      <c r="L41" s="1602" t="str">
        <f>IFERROR(MIN(4,MATCH(Application!B749,UnitSizes,0)-1),"")</f>
        <v/>
      </c>
      <c r="M41" s="1652">
        <f>Application!G749</f>
        <v>0</v>
      </c>
      <c r="N41" s="1661">
        <f>Application!AC749</f>
        <v>0</v>
      </c>
      <c r="O41" s="1661" t="str">
        <f>IF(Cdlac[[#This Row],[Quantity]]&gt;0,IF(Cdlac[[#This Row],[Federal]],30%,IF($G$36,40%,Cdlac[[#This Row],[iAMI]])),"")</f>
        <v/>
      </c>
      <c r="P41" s="1652" t="str" cm="1">
        <f t="array" ref="P41">IF(Cdlac[[#This Row],[Quantity]]&gt;0,INDEX(TcacRents,$P$18,Cdlac[[#This Row],[Bedrooms]]+1)*Cdlac[[#This Row],[AMI]],"")</f>
        <v/>
      </c>
      <c r="Q41" s="1652" t="str" cm="1">
        <f t="array" ref="Q41">IF(Cdlac[[#This Row],[Quantity]]&gt;0,INDEX(HudFmrs,$P$18,Cdlac[[#This Row],[Bedrooms]]+1),"")</f>
        <v/>
      </c>
      <c r="R41" s="1652" t="str">
        <f>IF(Cdlac[[#This Row],[Quantity]]&gt;0,MAX(0,Cdlac[[#This Row],[Fair Market Rent]]-Cdlac[[#This Row],[Restricted Rent]]),"")</f>
        <v/>
      </c>
      <c r="S41" s="1602" t="str">
        <f>IF(Cdlac[[#This Row],[Quantity]]&gt;0,AND(Application!AK749&lt;&gt;"N/A",Application!AK749&lt;&gt;"")*Cdlac[[#This Row],[Quantity]],"")</f>
        <v/>
      </c>
      <c r="T41" s="1602" t="b">
        <f>AND('Subsidy Contract Calculation'!F25&gt;0,'Subsidy Contract Calculation'!C25="Federal",Cdlac[[#This Row],[Quantity]]&gt;0)</f>
        <v>0</v>
      </c>
    </row>
    <row r="42" spans="2:20" ht="15" customHeight="1">
      <c r="B42" s="1655" t="str">
        <f>B11</f>
        <v>C. Special Needs Population Benefit</v>
      </c>
      <c r="C42" s="1656"/>
      <c r="D42" s="1656"/>
      <c r="E42" s="1656"/>
      <c r="F42" s="1656"/>
      <c r="G42" s="1656"/>
      <c r="H42" s="1656"/>
      <c r="I42" s="1657"/>
      <c r="L42" s="1602" t="str">
        <f>IFERROR(MIN(4,MATCH(Application!B750,UnitSizes,0)-1),"")</f>
        <v/>
      </c>
      <c r="M42" s="1652">
        <f>Application!G750</f>
        <v>0</v>
      </c>
      <c r="N42" s="1661">
        <f>Application!AC750</f>
        <v>0</v>
      </c>
      <c r="O42" s="1661" t="str">
        <f>IF(Cdlac[[#This Row],[Quantity]]&gt;0,IF(Cdlac[[#This Row],[Federal]],30%,IF($G$36,40%,Cdlac[[#This Row],[iAMI]])),"")</f>
        <v/>
      </c>
      <c r="P42" s="1652" t="str" cm="1">
        <f t="array" ref="P42">IF(Cdlac[[#This Row],[Quantity]]&gt;0,INDEX(TcacRents,$P$18,Cdlac[[#This Row],[Bedrooms]]+1)*Cdlac[[#This Row],[AMI]],"")</f>
        <v/>
      </c>
      <c r="Q42" s="1652" t="str" cm="1">
        <f t="array" ref="Q42">IF(Cdlac[[#This Row],[Quantity]]&gt;0,INDEX(HudFmrs,$P$18,Cdlac[[#This Row],[Bedrooms]]+1),"")</f>
        <v/>
      </c>
      <c r="R42" s="1652" t="str">
        <f>IF(Cdlac[[#This Row],[Quantity]]&gt;0,MAX(0,Cdlac[[#This Row],[Fair Market Rent]]-Cdlac[[#This Row],[Restricted Rent]]),"")</f>
        <v/>
      </c>
      <c r="S42" s="1602" t="str">
        <f>IF(Cdlac[[#This Row],[Quantity]]&gt;0,AND(Application!AK750&lt;&gt;"N/A",Application!AK750&lt;&gt;"")*Cdlac[[#This Row],[Quantity]],"")</f>
        <v/>
      </c>
      <c r="T42" s="1602" t="b">
        <f>AND('Subsidy Contract Calculation'!F26&gt;0,'Subsidy Contract Calculation'!C26="Federal",Cdlac[[#This Row],[Quantity]]&gt;0)</f>
        <v>0</v>
      </c>
    </row>
    <row r="43" spans="2:20" ht="15" customHeight="1">
      <c r="L43" s="1602" t="str">
        <f>IFERROR(MIN(4,MATCH(Application!B751,UnitSizes,0)-1),"")</f>
        <v/>
      </c>
      <c r="M43" s="1652">
        <f>Application!G751</f>
        <v>0</v>
      </c>
      <c r="N43" s="1661">
        <f>Application!AC751</f>
        <v>0</v>
      </c>
      <c r="O43" s="1661" t="str">
        <f>IF(Cdlac[[#This Row],[Quantity]]&gt;0,IF(Cdlac[[#This Row],[Federal]],30%,IF($G$36,40%,Cdlac[[#This Row],[iAMI]])),"")</f>
        <v/>
      </c>
      <c r="P43" s="1652" t="str" cm="1">
        <f t="array" ref="P43">IF(Cdlac[[#This Row],[Quantity]]&gt;0,INDEX(TcacRents,$P$18,Cdlac[[#This Row],[Bedrooms]]+1)*Cdlac[[#This Row],[AMI]],"")</f>
        <v/>
      </c>
      <c r="Q43" s="1652" t="str" cm="1">
        <f t="array" ref="Q43">IF(Cdlac[[#This Row],[Quantity]]&gt;0,INDEX(HudFmrs,$P$18,Cdlac[[#This Row],[Bedrooms]]+1),"")</f>
        <v/>
      </c>
      <c r="R43" s="1652" t="str">
        <f>IF(Cdlac[[#This Row],[Quantity]]&gt;0,MAX(0,Cdlac[[#This Row],[Fair Market Rent]]-Cdlac[[#This Row],[Restricted Rent]]),"")</f>
        <v/>
      </c>
      <c r="S43" s="1602" t="str">
        <f>IF(Cdlac[[#This Row],[Quantity]]&gt;0,AND(Application!AK751&lt;&gt;"N/A",Application!AK751&lt;&gt;"")*Cdlac[[#This Row],[Quantity]],"")</f>
        <v/>
      </c>
      <c r="T43" s="1602" t="b">
        <f>AND('Subsidy Contract Calculation'!F27&gt;0,'Subsidy Contract Calculation'!C27="Federal",Cdlac[[#This Row],[Quantity]]&gt;0)</f>
        <v>0</v>
      </c>
    </row>
    <row r="44" spans="2:20" ht="15" customHeight="1">
      <c r="E44" s="1671" t="s">
        <v>2452</v>
      </c>
      <c r="G44" s="1683">
        <f>S18</f>
        <v>14</v>
      </c>
      <c r="L44" s="1602" t="str">
        <f>IFERROR(MIN(4,MATCH(Application!B752,UnitSizes,0)-1),"")</f>
        <v/>
      </c>
      <c r="M44" s="1652">
        <f>Application!G752</f>
        <v>0</v>
      </c>
      <c r="N44" s="1661">
        <f>Application!AC752</f>
        <v>0</v>
      </c>
      <c r="O44" s="1684" t="str">
        <f>IF(Cdlac[[#This Row],[Quantity]]&gt;0,IF(Cdlac[[#This Row],[Federal]],30%,IF($G$36,40%,Cdlac[[#This Row],[iAMI]])),"")</f>
        <v/>
      </c>
      <c r="P44" s="1652" t="str" cm="1">
        <f t="array" ref="P44">IF(Cdlac[[#This Row],[Quantity]]&gt;0,INDEX(TcacRents,$P$18,Cdlac[[#This Row],[Bedrooms]]+1)*Cdlac[[#This Row],[AMI]],"")</f>
        <v/>
      </c>
      <c r="Q44" s="1652" t="str" cm="1">
        <f t="array" ref="Q44">IF(Cdlac[[#This Row],[Quantity]]&gt;0,INDEX(HudFmrs,$P$18,Cdlac[[#This Row],[Bedrooms]]+1),"")</f>
        <v/>
      </c>
      <c r="R44" s="1652" t="str">
        <f>IF(Cdlac[[#This Row],[Quantity]]&gt;0,MAX(0,Cdlac[[#This Row],[Fair Market Rent]]-Cdlac[[#This Row],[Restricted Rent]]),"")</f>
        <v/>
      </c>
      <c r="S44" s="1602" t="str">
        <f>IF(Cdlac[[#This Row],[Quantity]]&gt;0,AND(Application!AK752&lt;&gt;"N/A",Application!AK752&lt;&gt;"")*Cdlac[[#This Row],[Quantity]],"")</f>
        <v/>
      </c>
      <c r="T44" s="1602" t="b">
        <f>AND('Subsidy Contract Calculation'!F28&gt;0,'Subsidy Contract Calculation'!C28="Federal",Cdlac[[#This Row],[Quantity]]&gt;0)</f>
        <v>0</v>
      </c>
    </row>
    <row r="45" spans="2:20" ht="15" customHeight="1">
      <c r="E45" s="1671" t="s">
        <v>2453</v>
      </c>
      <c r="G45" s="1683">
        <f>ROUNDDOWN(E27*50%,0)</f>
        <v>55</v>
      </c>
    </row>
    <row r="46" spans="2:20" ht="15" customHeight="1">
      <c r="E46" s="1671"/>
      <c r="G46" s="1683"/>
    </row>
    <row r="47" spans="2:20" ht="15" customHeight="1">
      <c r="E47" s="1671" t="s">
        <v>2402</v>
      </c>
      <c r="G47" s="1672">
        <f>MIN(G44:G45)</f>
        <v>14</v>
      </c>
    </row>
    <row r="48" spans="2:20" ht="15" customHeight="1">
      <c r="E48" s="1671" t="s">
        <v>2392</v>
      </c>
      <c r="F48" s="1673" t="s">
        <v>2451</v>
      </c>
      <c r="G48" s="1685">
        <v>10000</v>
      </c>
    </row>
    <row r="49" spans="2:14" ht="15" customHeight="1">
      <c r="E49" s="1675" t="s">
        <v>2434</v>
      </c>
      <c r="F49" s="1603"/>
      <c r="G49" s="1682">
        <f>G47*G48</f>
        <v>140000</v>
      </c>
    </row>
    <row r="50" spans="2:14" ht="15" customHeight="1"/>
    <row r="51" spans="2:14" ht="15" customHeight="1">
      <c r="B51" s="1655" t="str">
        <f>B12</f>
        <v>D. Extremely Low Income Benefit</v>
      </c>
      <c r="C51" s="1656"/>
      <c r="D51" s="1656"/>
      <c r="E51" s="1656"/>
      <c r="F51" s="1656"/>
      <c r="G51" s="1656"/>
      <c r="H51" s="1656"/>
      <c r="I51" s="1657"/>
    </row>
    <row r="52" spans="2:14" ht="15" customHeight="1"/>
    <row r="53" spans="2:14" ht="15" customHeight="1">
      <c r="E53" s="1671" t="s">
        <v>2454</v>
      </c>
      <c r="G53" s="1686">
        <f>SUMIFS(Cdlac[Quantity],Cdlac[iAMI],"&lt;=30%")</f>
        <v>30</v>
      </c>
    </row>
    <row r="54" spans="2:14" ht="15" customHeight="1">
      <c r="E54" s="1671" t="s">
        <v>2453</v>
      </c>
      <c r="G54" s="1686">
        <f>ROUNDDOWN(E27*50%,0)</f>
        <v>55</v>
      </c>
    </row>
    <row r="55" spans="2:14" ht="15" customHeight="1">
      <c r="E55" s="1671"/>
      <c r="G55" s="1686"/>
    </row>
    <row r="56" spans="2:14" ht="15" customHeight="1">
      <c r="E56" s="1671" t="s">
        <v>2402</v>
      </c>
      <c r="G56" s="1672">
        <f>MIN(G53:G54)</f>
        <v>30</v>
      </c>
    </row>
    <row r="57" spans="2:14" ht="15" customHeight="1">
      <c r="E57" s="1671" t="s">
        <v>2392</v>
      </c>
      <c r="F57" s="1673" t="s">
        <v>2451</v>
      </c>
      <c r="G57" s="1685">
        <v>20000</v>
      </c>
    </row>
    <row r="58" spans="2:14" ht="15" customHeight="1">
      <c r="E58" s="1675" t="s">
        <v>2433</v>
      </c>
      <c r="F58" s="1603"/>
      <c r="G58" s="1682">
        <f>G56*G57</f>
        <v>600000</v>
      </c>
    </row>
    <row r="59" spans="2:14" ht="15" customHeight="1"/>
    <row r="60" spans="2:14" ht="15" customHeight="1">
      <c r="B60" s="1655" t="str">
        <f>B13</f>
        <v>E. Sustainability Benefit</v>
      </c>
      <c r="C60" s="1656"/>
      <c r="D60" s="1656"/>
      <c r="E60" s="1656"/>
      <c r="F60" s="1656"/>
      <c r="G60" s="1656"/>
      <c r="H60" s="1656"/>
      <c r="I60" s="1657"/>
    </row>
    <row r="61" spans="2:14" ht="15" customHeight="1" thickBot="1"/>
    <row r="62" spans="2:14" ht="15" customHeight="1">
      <c r="E62" s="1658" t="s">
        <v>2405</v>
      </c>
      <c r="G62" s="1672">
        <f>VLOOKUP('Points System'!$H$595,'Points System'!$AO$575:$AP$580,2,FALSE)</f>
        <v>7</v>
      </c>
      <c r="L62" s="1687" t="str">
        <f>'Points System'!H627</f>
        <v>(i)</v>
      </c>
      <c r="M62" s="3134" t="s">
        <v>1596</v>
      </c>
      <c r="N62" s="3135"/>
    </row>
    <row r="63" spans="2:14" ht="15" customHeight="1">
      <c r="E63" s="1658" t="s">
        <v>2392</v>
      </c>
      <c r="F63" s="1673" t="s">
        <v>2451</v>
      </c>
      <c r="G63" s="1688">
        <v>4000</v>
      </c>
      <c r="L63" s="1689" t="str">
        <f>'Points System'!H639</f>
        <v>(i)</v>
      </c>
      <c r="M63" s="3136" t="s">
        <v>2406</v>
      </c>
      <c r="N63" s="3137"/>
    </row>
    <row r="64" spans="2:14" ht="15" customHeight="1">
      <c r="E64" s="1658" t="s">
        <v>2455</v>
      </c>
      <c r="F64" s="1673" t="s">
        <v>2451</v>
      </c>
      <c r="G64" s="1690">
        <f>G27</f>
        <v>109.85000000000001</v>
      </c>
      <c r="L64" s="1689" t="str">
        <f>'Points System'!H674</f>
        <v>(i)</v>
      </c>
      <c r="M64" s="3136" t="s">
        <v>2407</v>
      </c>
      <c r="N64" s="3137"/>
    </row>
    <row r="65" spans="2:14" ht="15" customHeight="1">
      <c r="E65" s="1675" t="s">
        <v>2411</v>
      </c>
      <c r="F65" s="1603"/>
      <c r="G65" s="1682">
        <f>G62*G63*G64</f>
        <v>3075800.0000000005</v>
      </c>
      <c r="L65" s="1689" t="str">
        <f>'Points System'!H694</f>
        <v>N/A</v>
      </c>
      <c r="M65" s="3136" t="s">
        <v>2408</v>
      </c>
      <c r="N65" s="3137"/>
    </row>
    <row r="66" spans="2:14" ht="15" customHeight="1">
      <c r="C66" s="1691"/>
      <c r="G66" s="1672"/>
      <c r="L66" s="1692" t="str">
        <f>'Points System'!H708</f>
        <v>N/A</v>
      </c>
      <c r="M66" s="3136" t="s">
        <v>1626</v>
      </c>
      <c r="N66" s="3137"/>
    </row>
    <row r="67" spans="2:14" ht="15" customHeight="1">
      <c r="E67" s="1658" t="s">
        <v>2456</v>
      </c>
      <c r="G67" s="1690">
        <f>COUNTIFS(L62:L69,"(i)")</f>
        <v>5</v>
      </c>
      <c r="L67" s="1689" t="str">
        <f>'Points System'!H720</f>
        <v>N/A</v>
      </c>
      <c r="M67" s="3136" t="s">
        <v>2409</v>
      </c>
      <c r="N67" s="3137"/>
    </row>
    <row r="68" spans="2:14" ht="15" customHeight="1">
      <c r="E68" s="1658" t="s">
        <v>2392</v>
      </c>
      <c r="F68" s="1673" t="s">
        <v>2451</v>
      </c>
      <c r="G68" s="1685">
        <v>4000</v>
      </c>
      <c r="L68" s="1689" t="str">
        <f>'Points System'!H736</f>
        <v>(i)</v>
      </c>
      <c r="M68" s="3136" t="s">
        <v>2410</v>
      </c>
      <c r="N68" s="3137"/>
    </row>
    <row r="69" spans="2:14" ht="15" customHeight="1" thickBot="1">
      <c r="E69" s="1675" t="s">
        <v>2412</v>
      </c>
      <c r="F69" s="1603"/>
      <c r="G69" s="1682">
        <f>G64*G67*G68</f>
        <v>2197000</v>
      </c>
      <c r="L69" s="1693" t="str">
        <f>'Points System'!H748</f>
        <v>(i)</v>
      </c>
      <c r="M69" s="3138" t="s">
        <v>1629</v>
      </c>
      <c r="N69" s="3139"/>
    </row>
    <row r="70" spans="2:14" ht="15" customHeight="1"/>
    <row r="71" spans="2:14" ht="15" customHeight="1">
      <c r="C71" s="1694" t="s">
        <v>2414</v>
      </c>
    </row>
    <row r="72" spans="2:14" ht="15" customHeight="1">
      <c r="C72" s="1691" t="s">
        <v>2415</v>
      </c>
      <c r="G72" s="1695"/>
    </row>
    <row r="73" spans="2:14" ht="15" customHeight="1">
      <c r="C73" s="1691" t="s">
        <v>2416</v>
      </c>
      <c r="G73" s="1695" t="s">
        <v>569</v>
      </c>
    </row>
    <row r="74" spans="2:14" ht="15" customHeight="1">
      <c r="C74" s="1691" t="s">
        <v>2417</v>
      </c>
      <c r="G74" s="1695" t="s">
        <v>569</v>
      </c>
    </row>
    <row r="75" spans="2:14" ht="15" customHeight="1">
      <c r="C75" s="1691" t="s">
        <v>2418</v>
      </c>
      <c r="G75" s="1695" t="s">
        <v>569</v>
      </c>
    </row>
    <row r="76" spans="2:14" ht="15" customHeight="1"/>
    <row r="77" spans="2:14" ht="15" customHeight="1">
      <c r="B77" s="1679"/>
      <c r="C77" s="1691"/>
      <c r="E77" s="1658" t="s">
        <v>2458</v>
      </c>
      <c r="G77" s="1686" t="b">
        <f>COUNTIFS(G72:G75,"Yes")&gt;=1</f>
        <v>1</v>
      </c>
    </row>
    <row r="78" spans="2:14" ht="15" customHeight="1">
      <c r="E78" s="1691"/>
    </row>
    <row r="79" spans="2:14" ht="15" customHeight="1">
      <c r="E79" s="1658" t="s">
        <v>2455</v>
      </c>
      <c r="F79" s="1673" t="s">
        <v>2451</v>
      </c>
      <c r="G79" s="1672">
        <f>G44</f>
        <v>14</v>
      </c>
    </row>
    <row r="80" spans="2:14" ht="15" customHeight="1">
      <c r="E80" s="1658" t="s">
        <v>2392</v>
      </c>
      <c r="F80" s="1673" t="s">
        <v>2451</v>
      </c>
      <c r="G80" s="1685">
        <v>25000</v>
      </c>
    </row>
    <row r="81" spans="2:14" ht="15" customHeight="1">
      <c r="E81" s="1675" t="s">
        <v>2413</v>
      </c>
      <c r="F81" s="1603"/>
      <c r="G81" s="1682">
        <f>G77*G80*G64</f>
        <v>2746250</v>
      </c>
    </row>
    <row r="82" spans="2:14" ht="15" customHeight="1">
      <c r="C82" s="1691"/>
      <c r="E82" s="1691"/>
    </row>
    <row r="83" spans="2:14" ht="15" customHeight="1">
      <c r="E83" s="1675" t="s">
        <v>2390</v>
      </c>
      <c r="G83" s="1682">
        <f>G81+G69+G65</f>
        <v>8019050</v>
      </c>
    </row>
    <row r="84" spans="2:14" ht="15" customHeight="1"/>
    <row r="85" spans="2:14" ht="15" customHeight="1">
      <c r="B85" s="1655" t="str">
        <f>B14</f>
        <v>F. Opportunity Benefit</v>
      </c>
      <c r="C85" s="1656"/>
      <c r="D85" s="1656"/>
      <c r="E85" s="1656"/>
      <c r="F85" s="1656"/>
      <c r="G85" s="1656"/>
      <c r="H85" s="1656"/>
      <c r="I85" s="1657"/>
    </row>
    <row r="86" spans="2:14" ht="15" customHeight="1" thickBot="1"/>
    <row r="87" spans="2:14" ht="15" customHeight="1">
      <c r="C87" s="1691" t="s">
        <v>2437</v>
      </c>
      <c r="G87" s="1695" t="s">
        <v>569</v>
      </c>
      <c r="L87" s="3140" t="s">
        <v>2421</v>
      </c>
      <c r="M87" s="3141"/>
      <c r="N87" s="1696">
        <v>30000</v>
      </c>
    </row>
    <row r="88" spans="2:14" ht="15" customHeight="1">
      <c r="C88" s="1691" t="s">
        <v>2438</v>
      </c>
      <c r="G88" s="1678" t="str">
        <f>IF(Application!D210="Large Family","Yes","No")</f>
        <v>No</v>
      </c>
      <c r="L88" s="3142" t="s">
        <v>2383</v>
      </c>
      <c r="M88" s="3143"/>
      <c r="N88" s="1697">
        <v>20000</v>
      </c>
    </row>
    <row r="89" spans="2:14" ht="15" customHeight="1" thickBot="1">
      <c r="C89" s="1691" t="s">
        <v>2419</v>
      </c>
      <c r="G89" s="1695" t="s">
        <v>694</v>
      </c>
      <c r="L89" s="3130" t="s">
        <v>2422</v>
      </c>
      <c r="M89" s="3131"/>
      <c r="N89" s="1698">
        <v>10000</v>
      </c>
    </row>
    <row r="90" spans="2:14" ht="15" customHeight="1">
      <c r="C90" s="1691" t="s">
        <v>2420</v>
      </c>
      <c r="G90" s="1602" t="str">
        <f>Application!T193</f>
        <v>Low Resource</v>
      </c>
    </row>
    <row r="91" spans="2:14" ht="15" customHeight="1">
      <c r="C91" s="1691"/>
    </row>
    <row r="92" spans="2:14" ht="15" customHeight="1">
      <c r="E92" s="1658" t="s">
        <v>2458</v>
      </c>
      <c r="G92" s="1686" t="b">
        <f>AND(COUNTIFS(G88:G89,"Yes")&gt;=1,G87="Yes")</f>
        <v>0</v>
      </c>
    </row>
    <row r="93" spans="2:14" ht="15" customHeight="1">
      <c r="E93" s="1658"/>
      <c r="G93" s="1686"/>
    </row>
    <row r="94" spans="2:14" ht="15" customHeight="1">
      <c r="E94" s="1658" t="s">
        <v>2392</v>
      </c>
      <c r="G94" s="1679">
        <f>IFERROR(INDEX(N87:N89,MATCH(LEFT(G90,17),L87:L89,0)),0)</f>
        <v>0</v>
      </c>
    </row>
    <row r="95" spans="2:14" ht="15" customHeight="1">
      <c r="E95" s="1658" t="str">
        <f>E64</f>
        <v>Bedroom-Adjusted Low-Income Units</v>
      </c>
      <c r="F95" s="1673" t="s">
        <v>2451</v>
      </c>
      <c r="G95" s="1672">
        <f>G27</f>
        <v>109.85000000000001</v>
      </c>
    </row>
    <row r="96" spans="2:14" ht="15" customHeight="1">
      <c r="D96" s="1603"/>
      <c r="E96" s="1675" t="s">
        <v>2391</v>
      </c>
      <c r="F96" s="1603"/>
      <c r="G96" s="1682">
        <f>G95*G94*G92</f>
        <v>0</v>
      </c>
    </row>
    <row r="97" spans="2:9" ht="15" customHeight="1"/>
    <row r="98" spans="2:9" ht="15" customHeight="1">
      <c r="B98" s="1655" t="s">
        <v>2404</v>
      </c>
      <c r="C98" s="1656"/>
      <c r="D98" s="1656"/>
      <c r="E98" s="1656"/>
      <c r="F98" s="1656"/>
      <c r="G98" s="1656"/>
      <c r="H98" s="1656"/>
      <c r="I98" s="1657"/>
    </row>
    <row r="99" spans="2:9" ht="15" customHeight="1"/>
    <row r="100" spans="2:9" ht="15" customHeight="1">
      <c r="F100" s="1699" t="s">
        <v>2432</v>
      </c>
      <c r="G100" s="1695" t="s">
        <v>694</v>
      </c>
    </row>
    <row r="101" spans="2:9" ht="15" customHeight="1">
      <c r="F101" s="1699"/>
    </row>
    <row r="102" spans="2:9" ht="15" customHeight="1">
      <c r="E102" s="1658" t="s">
        <v>2458</v>
      </c>
      <c r="G102" s="1686" t="b">
        <f>G100="Yes"</f>
        <v>0</v>
      </c>
    </row>
    <row r="103" spans="2:9" ht="15" customHeight="1"/>
    <row r="104" spans="2:9" ht="15" customHeight="1">
      <c r="E104" s="1658" t="str">
        <f>E64</f>
        <v>Bedroom-Adjusted Low-Income Units</v>
      </c>
      <c r="G104" s="1672">
        <f>G27</f>
        <v>109.85000000000001</v>
      </c>
    </row>
    <row r="105" spans="2:9" ht="15" customHeight="1">
      <c r="E105" s="1658" t="s">
        <v>2392</v>
      </c>
      <c r="F105" s="1673" t="s">
        <v>2451</v>
      </c>
      <c r="G105" s="1700">
        <v>20000</v>
      </c>
    </row>
    <row r="106" spans="2:9" ht="15" customHeight="1">
      <c r="E106" s="1675" t="s">
        <v>2423</v>
      </c>
      <c r="F106" s="1603"/>
      <c r="G106" s="1682">
        <f>G102*G105*G104</f>
        <v>0</v>
      </c>
    </row>
    <row r="107" spans="2:9" ht="15" customHeight="1"/>
    <row r="108" spans="2:9" ht="15" customHeight="1">
      <c r="B108" s="1655" t="s">
        <v>2460</v>
      </c>
      <c r="C108" s="1656"/>
      <c r="D108" s="1656"/>
      <c r="E108" s="1656"/>
      <c r="F108" s="1656"/>
      <c r="G108" s="1656"/>
      <c r="H108" s="1656"/>
      <c r="I108" s="1657"/>
    </row>
    <row r="109" spans="2:9" ht="15" customHeight="1"/>
    <row r="110" spans="2:9" ht="15" customHeight="1">
      <c r="E110" s="1658" t="s">
        <v>607</v>
      </c>
      <c r="G110" s="1602" t="str">
        <f>IF(Application!T189="","",Application!T189)</f>
        <v>San Francisco</v>
      </c>
    </row>
    <row r="111" spans="2:9" ht="15" customHeight="1">
      <c r="E111" s="1658"/>
      <c r="G111" s="1679"/>
    </row>
    <row r="112" spans="2:9" ht="15" customHeight="1">
      <c r="E112" s="1658" t="str">
        <f>"2-Bedroom "&amp;G110&amp;" County Basis Limit"</f>
        <v>2-Bedroom San Francisco County Basis Limit</v>
      </c>
      <c r="G112" s="1679">
        <f>Application!R971</f>
        <v>738400</v>
      </c>
    </row>
    <row r="113" spans="4:9" ht="15" customHeight="1">
      <c r="E113" s="1658" t="s">
        <v>2459</v>
      </c>
      <c r="G113" s="1679">
        <f>MEDIAN((Application!BR809:BR866))</f>
        <v>388000</v>
      </c>
    </row>
    <row r="114" spans="4:9" ht="15" customHeight="1">
      <c r="D114" s="1603"/>
      <c r="E114" s="1675" t="s">
        <v>2461</v>
      </c>
      <c r="F114" s="1701"/>
      <c r="G114" s="1702">
        <f>((G112-G113)/G113)*0.25</f>
        <v>0.22577319587628866</v>
      </c>
      <c r="H114" s="1703"/>
      <c r="I114" s="1703"/>
    </row>
    <row r="115" spans="4:9" ht="15" customHeight="1">
      <c r="D115" s="1601"/>
      <c r="E115" s="1601"/>
    </row>
  </sheetData>
  <sheetProtection algorithmName="SHA-512" hashValue="aw0e25zYJok0lxJEau50XNv5zq+Krs1OLVYuFOwpXpydpzX6z3HvoLZXLwMPkWlB8Qy/g77gK6k0M5NIMBqvlw==" saltValue="5luadf7zY8rKmBegTR4/XA==" spinCount="100000" sheet="1" objects="1" scenarios="1"/>
  <mergeCells count="33">
    <mergeCell ref="B14:D14"/>
    <mergeCell ref="A1:J1"/>
    <mergeCell ref="B8:E8"/>
    <mergeCell ref="G8:I8"/>
    <mergeCell ref="B9:D9"/>
    <mergeCell ref="G9:H9"/>
    <mergeCell ref="B10:D10"/>
    <mergeCell ref="G10:H10"/>
    <mergeCell ref="B11:D11"/>
    <mergeCell ref="G11:H11"/>
    <mergeCell ref="B12:D12"/>
    <mergeCell ref="B13:D13"/>
    <mergeCell ref="G13:H13"/>
    <mergeCell ref="B15:D15"/>
    <mergeCell ref="G15:H15"/>
    <mergeCell ref="B16:D16"/>
    <mergeCell ref="C20:C21"/>
    <mergeCell ref="D20:D21"/>
    <mergeCell ref="E20:E21"/>
    <mergeCell ref="F20:F21"/>
    <mergeCell ref="G20:G21"/>
    <mergeCell ref="L89:M89"/>
    <mergeCell ref="C27:D27"/>
    <mergeCell ref="M62:N62"/>
    <mergeCell ref="M63:N63"/>
    <mergeCell ref="M64:N64"/>
    <mergeCell ref="M65:N65"/>
    <mergeCell ref="M66:N66"/>
    <mergeCell ref="M67:N67"/>
    <mergeCell ref="M68:N68"/>
    <mergeCell ref="M69:N69"/>
    <mergeCell ref="L87:M87"/>
    <mergeCell ref="L88:M88"/>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xr:uid="{7E8947AA-51B3-4D70-ABA8-E1343AC86DC6}">
      <formula1>"Yes,No"</formula1>
    </dataValidation>
    <dataValidation type="list" allowBlank="1" showInputMessage="1" showErrorMessage="1" sqref="G72:G75" xr:uid="{6EF7B613-45E5-467E-BF76-C4A1DF6E88A3}">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D1" zoomScaleNormal="100" zoomScaleSheetLayoutView="100" workbookViewId="0">
      <selection activeCell="X36" sqref="W36:X36"/>
    </sheetView>
  </sheetViews>
  <sheetFormatPr defaultColWidth="0" defaultRowHeight="0" customHeight="1" zeroHeight="1"/>
  <cols>
    <col min="1" max="1" width="1.44140625" style="782" customWidth="1"/>
    <col min="2" max="2" width="0.88671875" style="782" customWidth="1"/>
    <col min="3" max="18" width="2.44140625" style="782" customWidth="1"/>
    <col min="19" max="19" width="4" style="782" customWidth="1"/>
    <col min="20" max="39" width="2.6640625" style="782" customWidth="1"/>
    <col min="40" max="40" width="1.44140625" style="782" customWidth="1"/>
    <col min="41" max="76" width="2.44140625" style="782" hidden="1"/>
    <col min="77" max="256" width="2.44140625" style="610" hidden="1"/>
    <col min="257" max="257" width="1.44140625" style="610" hidden="1" customWidth="1"/>
    <col min="258" max="258" width="0.88671875" style="610" hidden="1" customWidth="1"/>
    <col min="259" max="274" width="2.44140625" style="610" hidden="1" customWidth="1"/>
    <col min="275" max="275" width="4" style="610" hidden="1" customWidth="1"/>
    <col min="276" max="295" width="2.44140625" style="610" hidden="1" customWidth="1"/>
    <col min="296" max="296" width="1.44140625" style="610" hidden="1" customWidth="1"/>
    <col min="297" max="512" width="2.44140625" style="610" hidden="1"/>
    <col min="513" max="513" width="1.44140625" style="610" hidden="1" customWidth="1"/>
    <col min="514" max="514" width="0.88671875" style="610" hidden="1" customWidth="1"/>
    <col min="515" max="530" width="2.44140625" style="610" hidden="1" customWidth="1"/>
    <col min="531" max="531" width="4" style="610" hidden="1" customWidth="1"/>
    <col min="532" max="551" width="2.44140625" style="610" hidden="1" customWidth="1"/>
    <col min="552" max="552" width="1.44140625" style="610" hidden="1" customWidth="1"/>
    <col min="553" max="768" width="2.44140625" style="610" hidden="1"/>
    <col min="769" max="769" width="1.44140625" style="610" hidden="1" customWidth="1"/>
    <col min="770" max="770" width="0.88671875" style="610" hidden="1" customWidth="1"/>
    <col min="771" max="786" width="2.44140625" style="610" hidden="1" customWidth="1"/>
    <col min="787" max="787" width="4" style="610" hidden="1" customWidth="1"/>
    <col min="788" max="807" width="2.44140625" style="610" hidden="1" customWidth="1"/>
    <col min="808" max="808" width="1.44140625" style="610" hidden="1" customWidth="1"/>
    <col min="809" max="1024" width="2.44140625" style="610" hidden="1"/>
    <col min="1025" max="1025" width="1.44140625" style="610" hidden="1" customWidth="1"/>
    <col min="1026" max="1026" width="0.88671875" style="610" hidden="1" customWidth="1"/>
    <col min="1027" max="1042" width="2.44140625" style="610" hidden="1" customWidth="1"/>
    <col min="1043" max="1043" width="4" style="610" hidden="1" customWidth="1"/>
    <col min="1044" max="1063" width="2.44140625" style="610" hidden="1" customWidth="1"/>
    <col min="1064" max="1064" width="1.44140625" style="610" hidden="1" customWidth="1"/>
    <col min="1065" max="1280" width="2.44140625" style="610" hidden="1"/>
    <col min="1281" max="1281" width="1.44140625" style="610" hidden="1" customWidth="1"/>
    <col min="1282" max="1282" width="0.88671875" style="610" hidden="1" customWidth="1"/>
    <col min="1283" max="1298" width="2.44140625" style="610" hidden="1" customWidth="1"/>
    <col min="1299" max="1299" width="4" style="610" hidden="1" customWidth="1"/>
    <col min="1300" max="1319" width="2.44140625" style="610" hidden="1" customWidth="1"/>
    <col min="1320" max="1320" width="1.44140625" style="610" hidden="1" customWidth="1"/>
    <col min="1321" max="1536" width="2.44140625" style="610" hidden="1"/>
    <col min="1537" max="1537" width="1.44140625" style="610" hidden="1" customWidth="1"/>
    <col min="1538" max="1538" width="0.88671875" style="610" hidden="1" customWidth="1"/>
    <col min="1539" max="1554" width="2.44140625" style="610" hidden="1" customWidth="1"/>
    <col min="1555" max="1555" width="4" style="610" hidden="1" customWidth="1"/>
    <col min="1556" max="1575" width="2.44140625" style="610" hidden="1" customWidth="1"/>
    <col min="1576" max="1576" width="1.44140625" style="610" hidden="1" customWidth="1"/>
    <col min="1577" max="1792" width="2.44140625" style="610" hidden="1"/>
    <col min="1793" max="1793" width="1.44140625" style="610" hidden="1" customWidth="1"/>
    <col min="1794" max="1794" width="0.88671875" style="610" hidden="1" customWidth="1"/>
    <col min="1795" max="1810" width="2.44140625" style="610" hidden="1" customWidth="1"/>
    <col min="1811" max="1811" width="4" style="610" hidden="1" customWidth="1"/>
    <col min="1812" max="1831" width="2.44140625" style="610" hidden="1" customWidth="1"/>
    <col min="1832" max="1832" width="1.44140625" style="610" hidden="1" customWidth="1"/>
    <col min="1833" max="2048" width="2.44140625" style="610" hidden="1"/>
    <col min="2049" max="2049" width="1.44140625" style="610" hidden="1" customWidth="1"/>
    <col min="2050" max="2050" width="0.88671875" style="610" hidden="1" customWidth="1"/>
    <col min="2051" max="2066" width="2.44140625" style="610" hidden="1" customWidth="1"/>
    <col min="2067" max="2067" width="4" style="610" hidden="1" customWidth="1"/>
    <col min="2068" max="2087" width="2.44140625" style="610" hidden="1" customWidth="1"/>
    <col min="2088" max="2088" width="1.44140625" style="610" hidden="1" customWidth="1"/>
    <col min="2089" max="2304" width="2.44140625" style="610" hidden="1"/>
    <col min="2305" max="2305" width="1.44140625" style="610" hidden="1" customWidth="1"/>
    <col min="2306" max="2306" width="0.88671875" style="610" hidden="1" customWidth="1"/>
    <col min="2307" max="2322" width="2.44140625" style="610" hidden="1" customWidth="1"/>
    <col min="2323" max="2323" width="4" style="610" hidden="1" customWidth="1"/>
    <col min="2324" max="2343" width="2.44140625" style="610" hidden="1" customWidth="1"/>
    <col min="2344" max="2344" width="1.44140625" style="610" hidden="1" customWidth="1"/>
    <col min="2345" max="2560" width="2.44140625" style="610" hidden="1"/>
    <col min="2561" max="2561" width="1.44140625" style="610" hidden="1" customWidth="1"/>
    <col min="2562" max="2562" width="0.88671875" style="610" hidden="1" customWidth="1"/>
    <col min="2563" max="2578" width="2.44140625" style="610" hidden="1" customWidth="1"/>
    <col min="2579" max="2579" width="4" style="610" hidden="1" customWidth="1"/>
    <col min="2580" max="2599" width="2.44140625" style="610" hidden="1" customWidth="1"/>
    <col min="2600" max="2600" width="1.44140625" style="610" hidden="1" customWidth="1"/>
    <col min="2601" max="2816" width="2.44140625" style="610" hidden="1"/>
    <col min="2817" max="2817" width="1.44140625" style="610" hidden="1" customWidth="1"/>
    <col min="2818" max="2818" width="0.88671875" style="610" hidden="1" customWidth="1"/>
    <col min="2819" max="2834" width="2.44140625" style="610" hidden="1" customWidth="1"/>
    <col min="2835" max="2835" width="4" style="610" hidden="1" customWidth="1"/>
    <col min="2836" max="2855" width="2.44140625" style="610" hidden="1" customWidth="1"/>
    <col min="2856" max="2856" width="1.44140625" style="610" hidden="1" customWidth="1"/>
    <col min="2857" max="3072" width="2.44140625" style="610" hidden="1"/>
    <col min="3073" max="3073" width="1.44140625" style="610" hidden="1" customWidth="1"/>
    <col min="3074" max="3074" width="0.88671875" style="610" hidden="1" customWidth="1"/>
    <col min="3075" max="3090" width="2.44140625" style="610" hidden="1" customWidth="1"/>
    <col min="3091" max="3091" width="4" style="610" hidden="1" customWidth="1"/>
    <col min="3092" max="3111" width="2.44140625" style="610" hidden="1" customWidth="1"/>
    <col min="3112" max="3112" width="1.44140625" style="610" hidden="1" customWidth="1"/>
    <col min="3113" max="3328" width="2.44140625" style="610" hidden="1"/>
    <col min="3329" max="3329" width="1.44140625" style="610" hidden="1" customWidth="1"/>
    <col min="3330" max="3330" width="0.88671875" style="610" hidden="1" customWidth="1"/>
    <col min="3331" max="3346" width="2.44140625" style="610" hidden="1" customWidth="1"/>
    <col min="3347" max="3347" width="4" style="610" hidden="1" customWidth="1"/>
    <col min="3348" max="3367" width="2.44140625" style="610" hidden="1" customWidth="1"/>
    <col min="3368" max="3368" width="1.44140625" style="610" hidden="1" customWidth="1"/>
    <col min="3369" max="3584" width="2.44140625" style="610" hidden="1"/>
    <col min="3585" max="3585" width="1.44140625" style="610" hidden="1" customWidth="1"/>
    <col min="3586" max="3586" width="0.88671875" style="610" hidden="1" customWidth="1"/>
    <col min="3587" max="3602" width="2.44140625" style="610" hidden="1" customWidth="1"/>
    <col min="3603" max="3603" width="4" style="610" hidden="1" customWidth="1"/>
    <col min="3604" max="3623" width="2.44140625" style="610" hidden="1" customWidth="1"/>
    <col min="3624" max="3624" width="1.44140625" style="610" hidden="1" customWidth="1"/>
    <col min="3625" max="3840" width="2.44140625" style="610" hidden="1"/>
    <col min="3841" max="3841" width="1.44140625" style="610" hidden="1" customWidth="1"/>
    <col min="3842" max="3842" width="0.88671875" style="610" hidden="1" customWidth="1"/>
    <col min="3843" max="3858" width="2.44140625" style="610" hidden="1" customWidth="1"/>
    <col min="3859" max="3859" width="4" style="610" hidden="1" customWidth="1"/>
    <col min="3860" max="3879" width="2.44140625" style="610" hidden="1" customWidth="1"/>
    <col min="3880" max="3880" width="1.44140625" style="610" hidden="1" customWidth="1"/>
    <col min="3881" max="4096" width="2.44140625" style="610" hidden="1"/>
    <col min="4097" max="4097" width="1.44140625" style="610" hidden="1" customWidth="1"/>
    <col min="4098" max="4098" width="0.88671875" style="610" hidden="1" customWidth="1"/>
    <col min="4099" max="4114" width="2.44140625" style="610" hidden="1" customWidth="1"/>
    <col min="4115" max="4115" width="4" style="610" hidden="1" customWidth="1"/>
    <col min="4116" max="4135" width="2.44140625" style="610" hidden="1" customWidth="1"/>
    <col min="4136" max="4136" width="1.44140625" style="610" hidden="1" customWidth="1"/>
    <col min="4137" max="4352" width="2.44140625" style="610" hidden="1"/>
    <col min="4353" max="4353" width="1.44140625" style="610" hidden="1" customWidth="1"/>
    <col min="4354" max="4354" width="0.88671875" style="610" hidden="1" customWidth="1"/>
    <col min="4355" max="4370" width="2.44140625" style="610" hidden="1" customWidth="1"/>
    <col min="4371" max="4371" width="4" style="610" hidden="1" customWidth="1"/>
    <col min="4372" max="4391" width="2.44140625" style="610" hidden="1" customWidth="1"/>
    <col min="4392" max="4392" width="1.44140625" style="610" hidden="1" customWidth="1"/>
    <col min="4393" max="4608" width="2.44140625" style="610" hidden="1"/>
    <col min="4609" max="4609" width="1.44140625" style="610" hidden="1" customWidth="1"/>
    <col min="4610" max="4610" width="0.88671875" style="610" hidden="1" customWidth="1"/>
    <col min="4611" max="4626" width="2.44140625" style="610" hidden="1" customWidth="1"/>
    <col min="4627" max="4627" width="4" style="610" hidden="1" customWidth="1"/>
    <col min="4628" max="4647" width="2.44140625" style="610" hidden="1" customWidth="1"/>
    <col min="4648" max="4648" width="1.44140625" style="610" hidden="1" customWidth="1"/>
    <col min="4649" max="4864" width="2.44140625" style="610" hidden="1"/>
    <col min="4865" max="4865" width="1.44140625" style="610" hidden="1" customWidth="1"/>
    <col min="4866" max="4866" width="0.88671875" style="610" hidden="1" customWidth="1"/>
    <col min="4867" max="4882" width="2.44140625" style="610" hidden="1" customWidth="1"/>
    <col min="4883" max="4883" width="4" style="610" hidden="1" customWidth="1"/>
    <col min="4884" max="4903" width="2.44140625" style="610" hidden="1" customWidth="1"/>
    <col min="4904" max="4904" width="1.44140625" style="610" hidden="1" customWidth="1"/>
    <col min="4905" max="5120" width="2.44140625" style="610" hidden="1"/>
    <col min="5121" max="5121" width="1.44140625" style="610" hidden="1" customWidth="1"/>
    <col min="5122" max="5122" width="0.88671875" style="610" hidden="1" customWidth="1"/>
    <col min="5123" max="5138" width="2.44140625" style="610" hidden="1" customWidth="1"/>
    <col min="5139" max="5139" width="4" style="610" hidden="1" customWidth="1"/>
    <col min="5140" max="5159" width="2.44140625" style="610" hidden="1" customWidth="1"/>
    <col min="5160" max="5160" width="1.44140625" style="610" hidden="1" customWidth="1"/>
    <col min="5161" max="5376" width="2.44140625" style="610" hidden="1"/>
    <col min="5377" max="5377" width="1.44140625" style="610" hidden="1" customWidth="1"/>
    <col min="5378" max="5378" width="0.88671875" style="610" hidden="1" customWidth="1"/>
    <col min="5379" max="5394" width="2.44140625" style="610" hidden="1" customWidth="1"/>
    <col min="5395" max="5395" width="4" style="610" hidden="1" customWidth="1"/>
    <col min="5396" max="5415" width="2.44140625" style="610" hidden="1" customWidth="1"/>
    <col min="5416" max="5416" width="1.44140625" style="610" hidden="1" customWidth="1"/>
    <col min="5417" max="5632" width="2.44140625" style="610" hidden="1"/>
    <col min="5633" max="5633" width="1.44140625" style="610" hidden="1" customWidth="1"/>
    <col min="5634" max="5634" width="0.88671875" style="610" hidden="1" customWidth="1"/>
    <col min="5635" max="5650" width="2.44140625" style="610" hidden="1" customWidth="1"/>
    <col min="5651" max="5651" width="4" style="610" hidden="1" customWidth="1"/>
    <col min="5652" max="5671" width="2.44140625" style="610" hidden="1" customWidth="1"/>
    <col min="5672" max="5672" width="1.44140625" style="610" hidden="1" customWidth="1"/>
    <col min="5673" max="5888" width="2.44140625" style="610" hidden="1"/>
    <col min="5889" max="5889" width="1.44140625" style="610" hidden="1" customWidth="1"/>
    <col min="5890" max="5890" width="0.88671875" style="610" hidden="1" customWidth="1"/>
    <col min="5891" max="5906" width="2.44140625" style="610" hidden="1" customWidth="1"/>
    <col min="5907" max="5907" width="4" style="610" hidden="1" customWidth="1"/>
    <col min="5908" max="5927" width="2.44140625" style="610" hidden="1" customWidth="1"/>
    <col min="5928" max="5928" width="1.44140625" style="610" hidden="1" customWidth="1"/>
    <col min="5929" max="6144" width="2.44140625" style="610" hidden="1"/>
    <col min="6145" max="6145" width="1.44140625" style="610" hidden="1" customWidth="1"/>
    <col min="6146" max="6146" width="0.88671875" style="610" hidden="1" customWidth="1"/>
    <col min="6147" max="6162" width="2.44140625" style="610" hidden="1" customWidth="1"/>
    <col min="6163" max="6163" width="4" style="610" hidden="1" customWidth="1"/>
    <col min="6164" max="6183" width="2.44140625" style="610" hidden="1" customWidth="1"/>
    <col min="6184" max="6184" width="1.44140625" style="610" hidden="1" customWidth="1"/>
    <col min="6185" max="6400" width="2.44140625" style="610" hidden="1"/>
    <col min="6401" max="6401" width="1.44140625" style="610" hidden="1" customWidth="1"/>
    <col min="6402" max="6402" width="0.88671875" style="610" hidden="1" customWidth="1"/>
    <col min="6403" max="6418" width="2.44140625" style="610" hidden="1" customWidth="1"/>
    <col min="6419" max="6419" width="4" style="610" hidden="1" customWidth="1"/>
    <col min="6420" max="6439" width="2.44140625" style="610" hidden="1" customWidth="1"/>
    <col min="6440" max="6440" width="1.44140625" style="610" hidden="1" customWidth="1"/>
    <col min="6441" max="6656" width="2.44140625" style="610" hidden="1"/>
    <col min="6657" max="6657" width="1.44140625" style="610" hidden="1" customWidth="1"/>
    <col min="6658" max="6658" width="0.88671875" style="610" hidden="1" customWidth="1"/>
    <col min="6659" max="6674" width="2.44140625" style="610" hidden="1" customWidth="1"/>
    <col min="6675" max="6675" width="4" style="610" hidden="1" customWidth="1"/>
    <col min="6676" max="6695" width="2.44140625" style="610" hidden="1" customWidth="1"/>
    <col min="6696" max="6696" width="1.44140625" style="610" hidden="1" customWidth="1"/>
    <col min="6697" max="6912" width="2.44140625" style="610" hidden="1"/>
    <col min="6913" max="6913" width="1.44140625" style="610" hidden="1" customWidth="1"/>
    <col min="6914" max="6914" width="0.88671875" style="610" hidden="1" customWidth="1"/>
    <col min="6915" max="6930" width="2.44140625" style="610" hidden="1" customWidth="1"/>
    <col min="6931" max="6931" width="4" style="610" hidden="1" customWidth="1"/>
    <col min="6932" max="6951" width="2.44140625" style="610" hidden="1" customWidth="1"/>
    <col min="6952" max="6952" width="1.44140625" style="610" hidden="1" customWidth="1"/>
    <col min="6953" max="7168" width="2.44140625" style="610" hidden="1"/>
    <col min="7169" max="7169" width="1.44140625" style="610" hidden="1" customWidth="1"/>
    <col min="7170" max="7170" width="0.88671875" style="610" hidden="1" customWidth="1"/>
    <col min="7171" max="7186" width="2.44140625" style="610" hidden="1" customWidth="1"/>
    <col min="7187" max="7187" width="4" style="610" hidden="1" customWidth="1"/>
    <col min="7188" max="7207" width="2.44140625" style="610" hidden="1" customWidth="1"/>
    <col min="7208" max="7208" width="1.44140625" style="610" hidden="1" customWidth="1"/>
    <col min="7209" max="7424" width="2.44140625" style="610" hidden="1"/>
    <col min="7425" max="7425" width="1.44140625" style="610" hidden="1" customWidth="1"/>
    <col min="7426" max="7426" width="0.88671875" style="610" hidden="1" customWidth="1"/>
    <col min="7427" max="7442" width="2.44140625" style="610" hidden="1" customWidth="1"/>
    <col min="7443" max="7443" width="4" style="610" hidden="1" customWidth="1"/>
    <col min="7444" max="7463" width="2.44140625" style="610" hidden="1" customWidth="1"/>
    <col min="7464" max="7464" width="1.44140625" style="610" hidden="1" customWidth="1"/>
    <col min="7465" max="7680" width="2.44140625" style="610" hidden="1"/>
    <col min="7681" max="7681" width="1.44140625" style="610" hidden="1" customWidth="1"/>
    <col min="7682" max="7682" width="0.88671875" style="610" hidden="1" customWidth="1"/>
    <col min="7683" max="7698" width="2.44140625" style="610" hidden="1" customWidth="1"/>
    <col min="7699" max="7699" width="4" style="610" hidden="1" customWidth="1"/>
    <col min="7700" max="7719" width="2.44140625" style="610" hidden="1" customWidth="1"/>
    <col min="7720" max="7720" width="1.44140625" style="610" hidden="1" customWidth="1"/>
    <col min="7721" max="7936" width="2.44140625" style="610" hidden="1"/>
    <col min="7937" max="7937" width="1.44140625" style="610" hidden="1" customWidth="1"/>
    <col min="7938" max="7938" width="0.88671875" style="610" hidden="1" customWidth="1"/>
    <col min="7939" max="7954" width="2.44140625" style="610" hidden="1" customWidth="1"/>
    <col min="7955" max="7955" width="4" style="610" hidden="1" customWidth="1"/>
    <col min="7956" max="7975" width="2.44140625" style="610" hidden="1" customWidth="1"/>
    <col min="7976" max="7976" width="1.44140625" style="610" hidden="1" customWidth="1"/>
    <col min="7977" max="8192" width="2.44140625" style="610" hidden="1"/>
    <col min="8193" max="8193" width="1.44140625" style="610" hidden="1" customWidth="1"/>
    <col min="8194" max="8194" width="0.88671875" style="610" hidden="1" customWidth="1"/>
    <col min="8195" max="8210" width="2.44140625" style="610" hidden="1" customWidth="1"/>
    <col min="8211" max="8211" width="4" style="610" hidden="1" customWidth="1"/>
    <col min="8212" max="8231" width="2.44140625" style="610" hidden="1" customWidth="1"/>
    <col min="8232" max="8232" width="1.44140625" style="610" hidden="1" customWidth="1"/>
    <col min="8233" max="8448" width="2.44140625" style="610" hidden="1"/>
    <col min="8449" max="8449" width="1.44140625" style="610" hidden="1" customWidth="1"/>
    <col min="8450" max="8450" width="0.88671875" style="610" hidden="1" customWidth="1"/>
    <col min="8451" max="8466" width="2.44140625" style="610" hidden="1" customWidth="1"/>
    <col min="8467" max="8467" width="4" style="610" hidden="1" customWidth="1"/>
    <col min="8468" max="8487" width="2.44140625" style="610" hidden="1" customWidth="1"/>
    <col min="8488" max="8488" width="1.44140625" style="610" hidden="1" customWidth="1"/>
    <col min="8489" max="8704" width="2.44140625" style="610" hidden="1"/>
    <col min="8705" max="8705" width="1.44140625" style="610" hidden="1" customWidth="1"/>
    <col min="8706" max="8706" width="0.88671875" style="610" hidden="1" customWidth="1"/>
    <col min="8707" max="8722" width="2.44140625" style="610" hidden="1" customWidth="1"/>
    <col min="8723" max="8723" width="4" style="610" hidden="1" customWidth="1"/>
    <col min="8724" max="8743" width="2.44140625" style="610" hidden="1" customWidth="1"/>
    <col min="8744" max="8744" width="1.44140625" style="610" hidden="1" customWidth="1"/>
    <col min="8745" max="8960" width="2.44140625" style="610" hidden="1"/>
    <col min="8961" max="8961" width="1.44140625" style="610" hidden="1" customWidth="1"/>
    <col min="8962" max="8962" width="0.88671875" style="610" hidden="1" customWidth="1"/>
    <col min="8963" max="8978" width="2.44140625" style="610" hidden="1" customWidth="1"/>
    <col min="8979" max="8979" width="4" style="610" hidden="1" customWidth="1"/>
    <col min="8980" max="8999" width="2.44140625" style="610" hidden="1" customWidth="1"/>
    <col min="9000" max="9000" width="1.44140625" style="610" hidden="1" customWidth="1"/>
    <col min="9001" max="9216" width="2.44140625" style="610" hidden="1"/>
    <col min="9217" max="9217" width="1.44140625" style="610" hidden="1" customWidth="1"/>
    <col min="9218" max="9218" width="0.88671875" style="610" hidden="1" customWidth="1"/>
    <col min="9219" max="9234" width="2.44140625" style="610" hidden="1" customWidth="1"/>
    <col min="9235" max="9235" width="4" style="610" hidden="1" customWidth="1"/>
    <col min="9236" max="9255" width="2.44140625" style="610" hidden="1" customWidth="1"/>
    <col min="9256" max="9256" width="1.44140625" style="610" hidden="1" customWidth="1"/>
    <col min="9257" max="9472" width="2.44140625" style="610" hidden="1"/>
    <col min="9473" max="9473" width="1.44140625" style="610" hidden="1" customWidth="1"/>
    <col min="9474" max="9474" width="0.88671875" style="610" hidden="1" customWidth="1"/>
    <col min="9475" max="9490" width="2.44140625" style="610" hidden="1" customWidth="1"/>
    <col min="9491" max="9491" width="4" style="610" hidden="1" customWidth="1"/>
    <col min="9492" max="9511" width="2.44140625" style="610" hidden="1" customWidth="1"/>
    <col min="9512" max="9512" width="1.44140625" style="610" hidden="1" customWidth="1"/>
    <col min="9513" max="9728" width="2.44140625" style="610" hidden="1"/>
    <col min="9729" max="9729" width="1.44140625" style="610" hidden="1" customWidth="1"/>
    <col min="9730" max="9730" width="0.88671875" style="610" hidden="1" customWidth="1"/>
    <col min="9731" max="9746" width="2.44140625" style="610" hidden="1" customWidth="1"/>
    <col min="9747" max="9747" width="4" style="610" hidden="1" customWidth="1"/>
    <col min="9748" max="9767" width="2.44140625" style="610" hidden="1" customWidth="1"/>
    <col min="9768" max="9768" width="1.44140625" style="610" hidden="1" customWidth="1"/>
    <col min="9769" max="9984" width="2.44140625" style="610" hidden="1"/>
    <col min="9985" max="9985" width="1.44140625" style="610" hidden="1" customWidth="1"/>
    <col min="9986" max="9986" width="0.88671875" style="610" hidden="1" customWidth="1"/>
    <col min="9987" max="10002" width="2.44140625" style="610" hidden="1" customWidth="1"/>
    <col min="10003" max="10003" width="4" style="610" hidden="1" customWidth="1"/>
    <col min="10004" max="10023" width="2.44140625" style="610" hidden="1" customWidth="1"/>
    <col min="10024" max="10024" width="1.44140625" style="610" hidden="1" customWidth="1"/>
    <col min="10025" max="10240" width="2.44140625" style="610" hidden="1"/>
    <col min="10241" max="10241" width="1.44140625" style="610" hidden="1" customWidth="1"/>
    <col min="10242" max="10242" width="0.88671875" style="610" hidden="1" customWidth="1"/>
    <col min="10243" max="10258" width="2.44140625" style="610" hidden="1" customWidth="1"/>
    <col min="10259" max="10259" width="4" style="610" hidden="1" customWidth="1"/>
    <col min="10260" max="10279" width="2.44140625" style="610" hidden="1" customWidth="1"/>
    <col min="10280" max="10280" width="1.44140625" style="610" hidden="1" customWidth="1"/>
    <col min="10281" max="10496" width="2.44140625" style="610" hidden="1"/>
    <col min="10497" max="10497" width="1.44140625" style="610" hidden="1" customWidth="1"/>
    <col min="10498" max="10498" width="0.88671875" style="610" hidden="1" customWidth="1"/>
    <col min="10499" max="10514" width="2.44140625" style="610" hidden="1" customWidth="1"/>
    <col min="10515" max="10515" width="4" style="610" hidden="1" customWidth="1"/>
    <col min="10516" max="10535" width="2.44140625" style="610" hidden="1" customWidth="1"/>
    <col min="10536" max="10536" width="1.44140625" style="610" hidden="1" customWidth="1"/>
    <col min="10537" max="10752" width="2.44140625" style="610" hidden="1"/>
    <col min="10753" max="10753" width="1.44140625" style="610" hidden="1" customWidth="1"/>
    <col min="10754" max="10754" width="0.88671875" style="610" hidden="1" customWidth="1"/>
    <col min="10755" max="10770" width="2.44140625" style="610" hidden="1" customWidth="1"/>
    <col min="10771" max="10771" width="4" style="610" hidden="1" customWidth="1"/>
    <col min="10772" max="10791" width="2.44140625" style="610" hidden="1" customWidth="1"/>
    <col min="10792" max="10792" width="1.44140625" style="610" hidden="1" customWidth="1"/>
    <col min="10793" max="11008" width="2.44140625" style="610" hidden="1"/>
    <col min="11009" max="11009" width="1.44140625" style="610" hidden="1" customWidth="1"/>
    <col min="11010" max="11010" width="0.88671875" style="610" hidden="1" customWidth="1"/>
    <col min="11011" max="11026" width="2.44140625" style="610" hidden="1" customWidth="1"/>
    <col min="11027" max="11027" width="4" style="610" hidden="1" customWidth="1"/>
    <col min="11028" max="11047" width="2.44140625" style="610" hidden="1" customWidth="1"/>
    <col min="11048" max="11048" width="1.44140625" style="610" hidden="1" customWidth="1"/>
    <col min="11049" max="11264" width="2.44140625" style="610" hidden="1"/>
    <col min="11265" max="11265" width="1.44140625" style="610" hidden="1" customWidth="1"/>
    <col min="11266" max="11266" width="0.88671875" style="610" hidden="1" customWidth="1"/>
    <col min="11267" max="11282" width="2.44140625" style="610" hidden="1" customWidth="1"/>
    <col min="11283" max="11283" width="4" style="610" hidden="1" customWidth="1"/>
    <col min="11284" max="11303" width="2.44140625" style="610" hidden="1" customWidth="1"/>
    <col min="11304" max="11304" width="1.44140625" style="610" hidden="1" customWidth="1"/>
    <col min="11305" max="11520" width="2.44140625" style="610" hidden="1"/>
    <col min="11521" max="11521" width="1.44140625" style="610" hidden="1" customWidth="1"/>
    <col min="11522" max="11522" width="0.88671875" style="610" hidden="1" customWidth="1"/>
    <col min="11523" max="11538" width="2.44140625" style="610" hidden="1" customWidth="1"/>
    <col min="11539" max="11539" width="4" style="610" hidden="1" customWidth="1"/>
    <col min="11540" max="11559" width="2.44140625" style="610" hidden="1" customWidth="1"/>
    <col min="11560" max="11560" width="1.44140625" style="610" hidden="1" customWidth="1"/>
    <col min="11561" max="11776" width="2.44140625" style="610" hidden="1"/>
    <col min="11777" max="11777" width="1.44140625" style="610" hidden="1" customWidth="1"/>
    <col min="11778" max="11778" width="0.88671875" style="610" hidden="1" customWidth="1"/>
    <col min="11779" max="11794" width="2.44140625" style="610" hidden="1" customWidth="1"/>
    <col min="11795" max="11795" width="4" style="610" hidden="1" customWidth="1"/>
    <col min="11796" max="11815" width="2.44140625" style="610" hidden="1" customWidth="1"/>
    <col min="11816" max="11816" width="1.44140625" style="610" hidden="1" customWidth="1"/>
    <col min="11817" max="12032" width="2.44140625" style="610" hidden="1"/>
    <col min="12033" max="12033" width="1.44140625" style="610" hidden="1" customWidth="1"/>
    <col min="12034" max="12034" width="0.88671875" style="610" hidden="1" customWidth="1"/>
    <col min="12035" max="12050" width="2.44140625" style="610" hidden="1" customWidth="1"/>
    <col min="12051" max="12051" width="4" style="610" hidden="1" customWidth="1"/>
    <col min="12052" max="12071" width="2.44140625" style="610" hidden="1" customWidth="1"/>
    <col min="12072" max="12072" width="1.44140625" style="610" hidden="1" customWidth="1"/>
    <col min="12073" max="12288" width="2.44140625" style="610" hidden="1"/>
    <col min="12289" max="12289" width="1.44140625" style="610" hidden="1" customWidth="1"/>
    <col min="12290" max="12290" width="0.88671875" style="610" hidden="1" customWidth="1"/>
    <col min="12291" max="12306" width="2.44140625" style="610" hidden="1" customWidth="1"/>
    <col min="12307" max="12307" width="4" style="610" hidden="1" customWidth="1"/>
    <col min="12308" max="12327" width="2.44140625" style="610" hidden="1" customWidth="1"/>
    <col min="12328" max="12328" width="1.44140625" style="610" hidden="1" customWidth="1"/>
    <col min="12329" max="12544" width="2.44140625" style="610" hidden="1"/>
    <col min="12545" max="12545" width="1.44140625" style="610" hidden="1" customWidth="1"/>
    <col min="12546" max="12546" width="0.88671875" style="610" hidden="1" customWidth="1"/>
    <col min="12547" max="12562" width="2.44140625" style="610" hidden="1" customWidth="1"/>
    <col min="12563" max="12563" width="4" style="610" hidden="1" customWidth="1"/>
    <col min="12564" max="12583" width="2.44140625" style="610" hidden="1" customWidth="1"/>
    <col min="12584" max="12584" width="1.44140625" style="610" hidden="1" customWidth="1"/>
    <col min="12585" max="12800" width="2.44140625" style="610" hidden="1"/>
    <col min="12801" max="12801" width="1.44140625" style="610" hidden="1" customWidth="1"/>
    <col min="12802" max="12802" width="0.88671875" style="610" hidden="1" customWidth="1"/>
    <col min="12803" max="12818" width="2.44140625" style="610" hidden="1" customWidth="1"/>
    <col min="12819" max="12819" width="4" style="610" hidden="1" customWidth="1"/>
    <col min="12820" max="12839" width="2.44140625" style="610" hidden="1" customWidth="1"/>
    <col min="12840" max="12840" width="1.44140625" style="610" hidden="1" customWidth="1"/>
    <col min="12841" max="13056" width="2.44140625" style="610" hidden="1"/>
    <col min="13057" max="13057" width="1.44140625" style="610" hidden="1" customWidth="1"/>
    <col min="13058" max="13058" width="0.88671875" style="610" hidden="1" customWidth="1"/>
    <col min="13059" max="13074" width="2.44140625" style="610" hidden="1" customWidth="1"/>
    <col min="13075" max="13075" width="4" style="610" hidden="1" customWidth="1"/>
    <col min="13076" max="13095" width="2.44140625" style="610" hidden="1" customWidth="1"/>
    <col min="13096" max="13096" width="1.44140625" style="610" hidden="1" customWidth="1"/>
    <col min="13097" max="13312" width="2.44140625" style="610" hidden="1"/>
    <col min="13313" max="13313" width="1.44140625" style="610" hidden="1" customWidth="1"/>
    <col min="13314" max="13314" width="0.88671875" style="610" hidden="1" customWidth="1"/>
    <col min="13315" max="13330" width="2.44140625" style="610" hidden="1" customWidth="1"/>
    <col min="13331" max="13331" width="4" style="610" hidden="1" customWidth="1"/>
    <col min="13332" max="13351" width="2.44140625" style="610" hidden="1" customWidth="1"/>
    <col min="13352" max="13352" width="1.44140625" style="610" hidden="1" customWidth="1"/>
    <col min="13353" max="13568" width="2.44140625" style="610" hidden="1"/>
    <col min="13569" max="13569" width="1.44140625" style="610" hidden="1" customWidth="1"/>
    <col min="13570" max="13570" width="0.88671875" style="610" hidden="1" customWidth="1"/>
    <col min="13571" max="13586" width="2.44140625" style="610" hidden="1" customWidth="1"/>
    <col min="13587" max="13587" width="4" style="610" hidden="1" customWidth="1"/>
    <col min="13588" max="13607" width="2.44140625" style="610" hidden="1" customWidth="1"/>
    <col min="13608" max="13608" width="1.44140625" style="610" hidden="1" customWidth="1"/>
    <col min="13609" max="13824" width="2.44140625" style="610" hidden="1"/>
    <col min="13825" max="13825" width="1.44140625" style="610" hidden="1" customWidth="1"/>
    <col min="13826" max="13826" width="0.88671875" style="610" hidden="1" customWidth="1"/>
    <col min="13827" max="13842" width="2.44140625" style="610" hidden="1" customWidth="1"/>
    <col min="13843" max="13843" width="4" style="610" hidden="1" customWidth="1"/>
    <col min="13844" max="13863" width="2.44140625" style="610" hidden="1" customWidth="1"/>
    <col min="13864" max="13864" width="1.44140625" style="610" hidden="1" customWidth="1"/>
    <col min="13865" max="14080" width="2.44140625" style="610" hidden="1"/>
    <col min="14081" max="14081" width="1.44140625" style="610" hidden="1" customWidth="1"/>
    <col min="14082" max="14082" width="0.88671875" style="610" hidden="1" customWidth="1"/>
    <col min="14083" max="14098" width="2.44140625" style="610" hidden="1" customWidth="1"/>
    <col min="14099" max="14099" width="4" style="610" hidden="1" customWidth="1"/>
    <col min="14100" max="14119" width="2.44140625" style="610" hidden="1" customWidth="1"/>
    <col min="14120" max="14120" width="1.44140625" style="610" hidden="1" customWidth="1"/>
    <col min="14121" max="14336" width="2.44140625" style="610" hidden="1"/>
    <col min="14337" max="14337" width="1.44140625" style="610" hidden="1" customWidth="1"/>
    <col min="14338" max="14338" width="0.88671875" style="610" hidden="1" customWidth="1"/>
    <col min="14339" max="14354" width="2.44140625" style="610" hidden="1" customWidth="1"/>
    <col min="14355" max="14355" width="4" style="610" hidden="1" customWidth="1"/>
    <col min="14356" max="14375" width="2.44140625" style="610" hidden="1" customWidth="1"/>
    <col min="14376" max="14376" width="1.44140625" style="610" hidden="1" customWidth="1"/>
    <col min="14377" max="14592" width="2.44140625" style="610" hidden="1"/>
    <col min="14593" max="14593" width="1.44140625" style="610" hidden="1" customWidth="1"/>
    <col min="14594" max="14594" width="0.88671875" style="610" hidden="1" customWidth="1"/>
    <col min="14595" max="14610" width="2.44140625" style="610" hidden="1" customWidth="1"/>
    <col min="14611" max="14611" width="4" style="610" hidden="1" customWidth="1"/>
    <col min="14612" max="14631" width="2.44140625" style="610" hidden="1" customWidth="1"/>
    <col min="14632" max="14632" width="1.44140625" style="610" hidden="1" customWidth="1"/>
    <col min="14633" max="14848" width="2.44140625" style="610" hidden="1"/>
    <col min="14849" max="14849" width="1.44140625" style="610" hidden="1" customWidth="1"/>
    <col min="14850" max="14850" width="0.88671875" style="610" hidden="1" customWidth="1"/>
    <col min="14851" max="14866" width="2.44140625" style="610" hidden="1" customWidth="1"/>
    <col min="14867" max="14867" width="4" style="610" hidden="1" customWidth="1"/>
    <col min="14868" max="14887" width="2.44140625" style="610" hidden="1" customWidth="1"/>
    <col min="14888" max="14888" width="1.44140625" style="610" hidden="1" customWidth="1"/>
    <col min="14889" max="15104" width="2.44140625" style="610" hidden="1"/>
    <col min="15105" max="15105" width="1.44140625" style="610" hidden="1" customWidth="1"/>
    <col min="15106" max="15106" width="0.88671875" style="610" hidden="1" customWidth="1"/>
    <col min="15107" max="15122" width="2.44140625" style="610" hidden="1" customWidth="1"/>
    <col min="15123" max="15123" width="4" style="610" hidden="1" customWidth="1"/>
    <col min="15124" max="15143" width="2.44140625" style="610" hidden="1" customWidth="1"/>
    <col min="15144" max="15144" width="1.44140625" style="610" hidden="1" customWidth="1"/>
    <col min="15145" max="15360" width="2.44140625" style="610" hidden="1"/>
    <col min="15361" max="15361" width="1.44140625" style="610" hidden="1" customWidth="1"/>
    <col min="15362" max="15362" width="0.88671875" style="610" hidden="1" customWidth="1"/>
    <col min="15363" max="15378" width="2.44140625" style="610" hidden="1" customWidth="1"/>
    <col min="15379" max="15379" width="4" style="610" hidden="1" customWidth="1"/>
    <col min="15380" max="15399" width="2.44140625" style="610" hidden="1" customWidth="1"/>
    <col min="15400" max="15400" width="1.44140625" style="610" hidden="1" customWidth="1"/>
    <col min="15401" max="15616" width="2.44140625" style="610" hidden="1"/>
    <col min="15617" max="15617" width="1.44140625" style="610" hidden="1" customWidth="1"/>
    <col min="15618" max="15618" width="0.88671875" style="610" hidden="1" customWidth="1"/>
    <col min="15619" max="15634" width="2.44140625" style="610" hidden="1" customWidth="1"/>
    <col min="15635" max="15635" width="4" style="610" hidden="1" customWidth="1"/>
    <col min="15636" max="15655" width="2.44140625" style="610" hidden="1" customWidth="1"/>
    <col min="15656" max="15656" width="1.44140625" style="610" hidden="1" customWidth="1"/>
    <col min="15657" max="15872" width="2.44140625" style="610" hidden="1"/>
    <col min="15873" max="15873" width="1.44140625" style="610" hidden="1" customWidth="1"/>
    <col min="15874" max="15874" width="0.88671875" style="610" hidden="1" customWidth="1"/>
    <col min="15875" max="15890" width="2.44140625" style="610" hidden="1" customWidth="1"/>
    <col min="15891" max="15891" width="4" style="610" hidden="1" customWidth="1"/>
    <col min="15892" max="15911" width="2.44140625" style="610" hidden="1" customWidth="1"/>
    <col min="15912" max="15912" width="1.44140625" style="610" hidden="1" customWidth="1"/>
    <col min="15913" max="16128" width="2.44140625" style="610" hidden="1"/>
    <col min="16129" max="16129" width="1.44140625" style="610" hidden="1" customWidth="1"/>
    <col min="16130" max="16130" width="0.88671875" style="610" hidden="1" customWidth="1"/>
    <col min="16131" max="16146" width="2.44140625" style="610" hidden="1" customWidth="1"/>
    <col min="16147" max="16147" width="4" style="610" hidden="1" customWidth="1"/>
    <col min="16148" max="16167" width="2.44140625" style="610" hidden="1" customWidth="1"/>
    <col min="16168" max="16168" width="1.44140625" style="610" hidden="1" customWidth="1"/>
    <col min="16169" max="16384" width="2.44140625" style="610" hidden="1"/>
  </cols>
  <sheetData>
    <row r="1" spans="1:98" ht="12.75" customHeight="1">
      <c r="A1" s="3202" t="s">
        <v>1462</v>
      </c>
      <c r="B1" s="3202"/>
      <c r="C1" s="3202"/>
      <c r="D1" s="3202"/>
      <c r="E1" s="3202"/>
      <c r="F1" s="3202"/>
      <c r="G1" s="3202"/>
      <c r="H1" s="3202"/>
      <c r="I1" s="3202"/>
      <c r="J1" s="3202"/>
      <c r="K1" s="3202"/>
      <c r="L1" s="3202"/>
      <c r="M1" s="3202"/>
      <c r="N1" s="3202"/>
      <c r="O1" s="3202"/>
      <c r="P1" s="3202"/>
      <c r="Q1" s="3202"/>
      <c r="R1" s="3202"/>
      <c r="S1" s="3202"/>
      <c r="T1" s="3202"/>
      <c r="U1" s="3202"/>
      <c r="V1" s="3202"/>
      <c r="W1" s="3202"/>
      <c r="X1" s="3202"/>
      <c r="Y1" s="3202"/>
      <c r="Z1" s="3202"/>
      <c r="AA1" s="3202"/>
      <c r="AB1" s="3202"/>
      <c r="AC1" s="3202"/>
      <c r="AD1" s="3202"/>
      <c r="AE1" s="3202"/>
      <c r="AF1" s="3202"/>
      <c r="AG1" s="3202"/>
      <c r="AH1" s="3202"/>
      <c r="AI1" s="3202"/>
      <c r="AJ1" s="3202"/>
      <c r="AK1" s="3202"/>
      <c r="AL1" s="3202"/>
      <c r="AM1" s="3202"/>
      <c r="AN1" s="3202"/>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8" thickBot="1">
      <c r="A2" s="3203"/>
      <c r="B2" s="3203"/>
      <c r="C2" s="3203"/>
      <c r="D2" s="3203"/>
      <c r="E2" s="3203"/>
      <c r="F2" s="3203"/>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203"/>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8"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2">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2">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2">
      <c r="A6" s="615"/>
      <c r="B6" s="610"/>
      <c r="C6" s="664" t="s">
        <v>1404</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35" customHeight="1">
      <c r="A7" s="610"/>
      <c r="B7" s="616"/>
      <c r="C7" s="617"/>
      <c r="D7" s="617"/>
      <c r="E7" s="617"/>
      <c r="F7" s="617"/>
      <c r="G7" s="617"/>
      <c r="H7" s="617"/>
      <c r="I7" s="617"/>
      <c r="J7" s="617"/>
      <c r="K7" s="617"/>
      <c r="L7" s="617"/>
      <c r="M7" s="617"/>
      <c r="N7" s="617"/>
      <c r="O7" s="617"/>
      <c r="P7" s="617"/>
      <c r="Q7" s="617"/>
      <c r="R7" s="617"/>
      <c r="S7" s="617"/>
      <c r="T7" s="3204" t="str">
        <f xml:space="preserve"> IF(T25=100%,'Sources and Basis Breakdown'!G2,'Sources and Basis Breakdown'!F2)</f>
        <v>30% PVC for New Const/
Rehabilitation
DDA/QCT
Building(s)</v>
      </c>
      <c r="U7" s="3204"/>
      <c r="V7" s="3204"/>
      <c r="W7" s="3204"/>
      <c r="X7" s="3204"/>
      <c r="Y7" s="3204" t="str">
        <f>IF(T25=100%," ",'Sources and Basis Breakdown'!G2)</f>
        <v>30% PVC for New Const/
Rehabilitation
NON-DDA/
NON-QCT Building(s)</v>
      </c>
      <c r="Z7" s="3204"/>
      <c r="AA7" s="3204"/>
      <c r="AB7" s="3204"/>
      <c r="AC7" s="3204"/>
      <c r="AD7" s="3204" t="str">
        <f xml:space="preserve"> IF(T25=100%, 'Sources and Basis Breakdown'!J2,'Sources and Basis Breakdown'!I2)</f>
        <v>30% PVC for Acquisition
DDA/QCT Building(s)</v>
      </c>
      <c r="AE7" s="3204"/>
      <c r="AF7" s="3204"/>
      <c r="AG7" s="3204"/>
      <c r="AH7" s="3204"/>
      <c r="AI7" s="3204" t="str">
        <f>IF(T25=100%," ",'Sources and Basis Breakdown'!J2)</f>
        <v>30% PVC for Acquisition
NON-DDA/
NON-QCT Building(s)</v>
      </c>
      <c r="AJ7" s="3204"/>
      <c r="AK7" s="3204"/>
      <c r="AL7" s="3204"/>
      <c r="AM7" s="3204"/>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204"/>
      <c r="U8" s="3204"/>
      <c r="V8" s="3204"/>
      <c r="W8" s="3204"/>
      <c r="X8" s="3204"/>
      <c r="Y8" s="3204"/>
      <c r="Z8" s="3204"/>
      <c r="AA8" s="3204"/>
      <c r="AB8" s="3204"/>
      <c r="AC8" s="3204"/>
      <c r="AD8" s="3204"/>
      <c r="AE8" s="3204"/>
      <c r="AF8" s="3204"/>
      <c r="AG8" s="3204"/>
      <c r="AH8" s="3204"/>
      <c r="AI8" s="3204"/>
      <c r="AJ8" s="3204"/>
      <c r="AK8" s="3204"/>
      <c r="AL8" s="3204"/>
      <c r="AM8" s="3204"/>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2">
      <c r="A9" s="610"/>
      <c r="B9" s="618"/>
      <c r="C9" s="619"/>
      <c r="D9" s="619"/>
      <c r="E9" s="619"/>
      <c r="F9" s="619"/>
      <c r="G9" s="619"/>
      <c r="H9" s="619"/>
      <c r="I9" s="619"/>
      <c r="J9" s="619"/>
      <c r="K9" s="619"/>
      <c r="L9" s="619"/>
      <c r="M9" s="619"/>
      <c r="N9" s="619"/>
      <c r="O9" s="619"/>
      <c r="P9" s="619"/>
      <c r="Q9" s="619"/>
      <c r="R9" s="619"/>
      <c r="S9" s="619"/>
      <c r="T9" s="3204"/>
      <c r="U9" s="3204"/>
      <c r="V9" s="3204"/>
      <c r="W9" s="3204"/>
      <c r="X9" s="3204"/>
      <c r="Y9" s="3204"/>
      <c r="Z9" s="3204"/>
      <c r="AA9" s="3204"/>
      <c r="AB9" s="3204"/>
      <c r="AC9" s="3204"/>
      <c r="AD9" s="3204"/>
      <c r="AE9" s="3204"/>
      <c r="AF9" s="3204"/>
      <c r="AG9" s="3204"/>
      <c r="AH9" s="3204"/>
      <c r="AI9" s="3204"/>
      <c r="AJ9" s="3204"/>
      <c r="AK9" s="3204"/>
      <c r="AL9" s="3204"/>
      <c r="AM9" s="3204"/>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85" customHeight="1">
      <c r="A10" s="610"/>
      <c r="B10" s="620"/>
      <c r="C10" s="621"/>
      <c r="D10" s="621"/>
      <c r="E10" s="621"/>
      <c r="F10" s="621"/>
      <c r="G10" s="621"/>
      <c r="H10" s="621"/>
      <c r="I10" s="621"/>
      <c r="J10" s="621"/>
      <c r="K10" s="621"/>
      <c r="L10" s="621"/>
      <c r="M10" s="621"/>
      <c r="N10" s="621"/>
      <c r="O10" s="621"/>
      <c r="P10" s="621"/>
      <c r="Q10" s="621"/>
      <c r="R10" s="621"/>
      <c r="S10" s="621"/>
      <c r="T10" s="3204"/>
      <c r="U10" s="3204"/>
      <c r="V10" s="3204"/>
      <c r="W10" s="3204"/>
      <c r="X10" s="3204"/>
      <c r="Y10" s="3204"/>
      <c r="Z10" s="3204"/>
      <c r="AA10" s="3204"/>
      <c r="AB10" s="3204"/>
      <c r="AC10" s="3204"/>
      <c r="AD10" s="3204"/>
      <c r="AE10" s="3204"/>
      <c r="AF10" s="3204"/>
      <c r="AG10" s="3204"/>
      <c r="AH10" s="3204"/>
      <c r="AI10" s="3204"/>
      <c r="AJ10" s="3204"/>
      <c r="AK10" s="3204"/>
      <c r="AL10" s="3204"/>
      <c r="AM10" s="3204"/>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2">
      <c r="A11" s="610"/>
      <c r="B11" s="3172" t="s">
        <v>389</v>
      </c>
      <c r="C11" s="3173"/>
      <c r="D11" s="3173"/>
      <c r="E11" s="3173"/>
      <c r="F11" s="3173"/>
      <c r="G11" s="3173"/>
      <c r="H11" s="3173"/>
      <c r="I11" s="3173"/>
      <c r="J11" s="3173"/>
      <c r="K11" s="3173"/>
      <c r="L11" s="3173"/>
      <c r="M11" s="3173"/>
      <c r="N11" s="3173"/>
      <c r="O11" s="3173"/>
      <c r="P11" s="3173"/>
      <c r="Q11" s="3173"/>
      <c r="R11" s="3173"/>
      <c r="S11" s="3174"/>
      <c r="T11" s="3205">
        <f>IF('Sources and Basis Breakdown'!F107=0,'Sources and Basis Breakdown'!E107,'Sources and Basis Breakdown'!F107)</f>
        <v>82270597</v>
      </c>
      <c r="U11" s="3206"/>
      <c r="V11" s="3206"/>
      <c r="W11" s="3206"/>
      <c r="X11" s="3206"/>
      <c r="Y11" s="3205">
        <f>IF(Y7=" ",0,IF('Sources and Basis Breakdown'!G107+'Sources and Basis Breakdown'!F107='Sources and Basis Breakdown'!E107,'Sources and Basis Breakdown'!G107,0))</f>
        <v>0</v>
      </c>
      <c r="Z11" s="3206"/>
      <c r="AA11" s="3206"/>
      <c r="AB11" s="3206"/>
      <c r="AC11" s="3206"/>
      <c r="AD11" s="3206">
        <f>IF('Sources and Basis Breakdown'!I107=0,'Sources and Basis Breakdown'!H107,'Sources and Basis Breakdown'!I107)</f>
        <v>0</v>
      </c>
      <c r="AE11" s="3206"/>
      <c r="AF11" s="3206"/>
      <c r="AG11" s="3206"/>
      <c r="AH11" s="3206"/>
      <c r="AI11" s="3206">
        <f>IF(Y7=" ",0,IF('Sources and Basis Breakdown'!I107+'Sources and Basis Breakdown'!J107='Sources and Basis Breakdown'!H107,'Sources and Basis Breakdown'!J107,0))</f>
        <v>0</v>
      </c>
      <c r="AJ11" s="3206"/>
      <c r="AK11" s="3206"/>
      <c r="AL11" s="3206"/>
      <c r="AM11" s="3206"/>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2">
      <c r="A12" s="610"/>
      <c r="B12" s="3197" t="s">
        <v>521</v>
      </c>
      <c r="C12" s="3198"/>
      <c r="D12" s="3198"/>
      <c r="E12" s="3198"/>
      <c r="F12" s="3198"/>
      <c r="G12" s="3198"/>
      <c r="H12" s="3198"/>
      <c r="I12" s="3198"/>
      <c r="J12" s="3198"/>
      <c r="K12" s="3198"/>
      <c r="L12" s="3198"/>
      <c r="M12" s="3198"/>
      <c r="N12" s="3198"/>
      <c r="O12" s="3198"/>
      <c r="P12" s="3198"/>
      <c r="Q12" s="3198"/>
      <c r="R12" s="3198"/>
      <c r="S12" s="3199"/>
      <c r="T12" s="3160"/>
      <c r="U12" s="3161"/>
      <c r="V12" s="3161"/>
      <c r="W12" s="3161"/>
      <c r="X12" s="3162"/>
      <c r="Y12" s="3160"/>
      <c r="Z12" s="3161"/>
      <c r="AA12" s="3161"/>
      <c r="AB12" s="3161"/>
      <c r="AC12" s="3162"/>
      <c r="AD12" s="3160"/>
      <c r="AE12" s="3161"/>
      <c r="AF12" s="3161"/>
      <c r="AG12" s="3161"/>
      <c r="AH12" s="3162"/>
      <c r="AI12" s="3160"/>
      <c r="AJ12" s="3161"/>
      <c r="AK12" s="3161"/>
      <c r="AL12" s="3161"/>
      <c r="AM12" s="316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2">
      <c r="A13" s="610"/>
      <c r="B13" s="661"/>
      <c r="C13" s="3200" t="s">
        <v>522</v>
      </c>
      <c r="D13" s="3200"/>
      <c r="E13" s="3200"/>
      <c r="F13" s="3200"/>
      <c r="G13" s="3200"/>
      <c r="H13" s="3200"/>
      <c r="I13" s="3200"/>
      <c r="J13" s="3200"/>
      <c r="K13" s="3200"/>
      <c r="L13" s="3200"/>
      <c r="M13" s="3200"/>
      <c r="N13" s="3200"/>
      <c r="O13" s="3200"/>
      <c r="P13" s="3200"/>
      <c r="Q13" s="3200"/>
      <c r="R13" s="3200"/>
      <c r="S13" s="3201"/>
      <c r="T13" s="3207"/>
      <c r="U13" s="3208"/>
      <c r="V13" s="3208"/>
      <c r="W13" s="3208"/>
      <c r="X13" s="3208"/>
      <c r="Y13" s="3207"/>
      <c r="Z13" s="3208"/>
      <c r="AA13" s="3208"/>
      <c r="AB13" s="3208"/>
      <c r="AC13" s="3208"/>
      <c r="AD13" s="3208"/>
      <c r="AE13" s="3208"/>
      <c r="AF13" s="3208"/>
      <c r="AG13" s="3208"/>
      <c r="AH13" s="3208"/>
      <c r="AI13" s="3208"/>
      <c r="AJ13" s="3208"/>
      <c r="AK13" s="3208"/>
      <c r="AL13" s="3208"/>
      <c r="AM13" s="3208"/>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2">
      <c r="A14" s="610"/>
      <c r="B14" s="661"/>
      <c r="C14" s="3200" t="s">
        <v>523</v>
      </c>
      <c r="D14" s="3200"/>
      <c r="E14" s="3200"/>
      <c r="F14" s="3200"/>
      <c r="G14" s="3200"/>
      <c r="H14" s="3200"/>
      <c r="I14" s="3200"/>
      <c r="J14" s="3200"/>
      <c r="K14" s="3200"/>
      <c r="L14" s="3200"/>
      <c r="M14" s="3200"/>
      <c r="N14" s="3200"/>
      <c r="O14" s="3200"/>
      <c r="P14" s="3200"/>
      <c r="Q14" s="3200"/>
      <c r="R14" s="3200"/>
      <c r="S14" s="3201"/>
      <c r="T14" s="3163"/>
      <c r="U14" s="3164"/>
      <c r="V14" s="3164"/>
      <c r="W14" s="3164"/>
      <c r="X14" s="3164"/>
      <c r="Y14" s="3163"/>
      <c r="Z14" s="3164"/>
      <c r="AA14" s="3164"/>
      <c r="AB14" s="3164"/>
      <c r="AC14" s="3164"/>
      <c r="AD14" s="3164"/>
      <c r="AE14" s="3164"/>
      <c r="AF14" s="3164"/>
      <c r="AG14" s="3164"/>
      <c r="AH14" s="3164"/>
      <c r="AI14" s="3164"/>
      <c r="AJ14" s="3164"/>
      <c r="AK14" s="3164"/>
      <c r="AL14" s="3164"/>
      <c r="AM14" s="3164"/>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2">
      <c r="A15" s="610"/>
      <c r="B15" s="661"/>
      <c r="C15" s="3200" t="s">
        <v>524</v>
      </c>
      <c r="D15" s="3200"/>
      <c r="E15" s="3200"/>
      <c r="F15" s="3200"/>
      <c r="G15" s="3200"/>
      <c r="H15" s="3200"/>
      <c r="I15" s="3200"/>
      <c r="J15" s="3200"/>
      <c r="K15" s="3200"/>
      <c r="L15" s="3200"/>
      <c r="M15" s="3200"/>
      <c r="N15" s="3200"/>
      <c r="O15" s="3200"/>
      <c r="P15" s="3200"/>
      <c r="Q15" s="3200"/>
      <c r="R15" s="3200"/>
      <c r="S15" s="3201"/>
      <c r="T15" s="3163"/>
      <c r="U15" s="3164"/>
      <c r="V15" s="3164"/>
      <c r="W15" s="3164"/>
      <c r="X15" s="3164"/>
      <c r="Y15" s="3163"/>
      <c r="Z15" s="3164"/>
      <c r="AA15" s="3164"/>
      <c r="AB15" s="3164"/>
      <c r="AC15" s="3164"/>
      <c r="AD15" s="3164"/>
      <c r="AE15" s="3164"/>
      <c r="AF15" s="3164"/>
      <c r="AG15" s="3164"/>
      <c r="AH15" s="3164"/>
      <c r="AI15" s="3164"/>
      <c r="AJ15" s="3164"/>
      <c r="AK15" s="3164"/>
      <c r="AL15" s="3164"/>
      <c r="AM15" s="3164"/>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2">
      <c r="A16" s="610"/>
      <c r="B16" s="661"/>
      <c r="C16" s="3200" t="s">
        <v>846</v>
      </c>
      <c r="D16" s="3200"/>
      <c r="E16" s="3200"/>
      <c r="F16" s="3200"/>
      <c r="G16" s="3200"/>
      <c r="H16" s="3200"/>
      <c r="I16" s="3200"/>
      <c r="J16" s="3200"/>
      <c r="K16" s="3200"/>
      <c r="L16" s="3200"/>
      <c r="M16" s="3200"/>
      <c r="N16" s="3200"/>
      <c r="O16" s="3200"/>
      <c r="P16" s="3200"/>
      <c r="Q16" s="3200"/>
      <c r="R16" s="3200"/>
      <c r="S16" s="3201"/>
      <c r="T16" s="3163"/>
      <c r="U16" s="3164"/>
      <c r="V16" s="3164"/>
      <c r="W16" s="3164"/>
      <c r="X16" s="3164"/>
      <c r="Y16" s="3163"/>
      <c r="Z16" s="3164"/>
      <c r="AA16" s="3164"/>
      <c r="AB16" s="3164"/>
      <c r="AC16" s="3164"/>
      <c r="AD16" s="3164"/>
      <c r="AE16" s="3164"/>
      <c r="AF16" s="3164"/>
      <c r="AG16" s="3164"/>
      <c r="AH16" s="3164"/>
      <c r="AI16" s="3164"/>
      <c r="AJ16" s="3164"/>
      <c r="AK16" s="3164"/>
      <c r="AL16" s="3164"/>
      <c r="AM16" s="3164"/>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2">
      <c r="A17" s="610"/>
      <c r="B17" s="661"/>
      <c r="C17" s="3200" t="s">
        <v>525</v>
      </c>
      <c r="D17" s="3200"/>
      <c r="E17" s="3200"/>
      <c r="F17" s="3200"/>
      <c r="G17" s="3200"/>
      <c r="H17" s="3200"/>
      <c r="I17" s="3200"/>
      <c r="J17" s="3200"/>
      <c r="K17" s="3200"/>
      <c r="L17" s="3200"/>
      <c r="M17" s="3200"/>
      <c r="N17" s="3200"/>
      <c r="O17" s="3200"/>
      <c r="P17" s="3200"/>
      <c r="Q17" s="3200"/>
      <c r="R17" s="3200"/>
      <c r="S17" s="3201"/>
      <c r="T17" s="3163"/>
      <c r="U17" s="3164"/>
      <c r="V17" s="3164"/>
      <c r="W17" s="3164"/>
      <c r="X17" s="3164"/>
      <c r="Y17" s="3163"/>
      <c r="Z17" s="3164"/>
      <c r="AA17" s="3164"/>
      <c r="AB17" s="3164"/>
      <c r="AC17" s="3164"/>
      <c r="AD17" s="3164"/>
      <c r="AE17" s="3164"/>
      <c r="AF17" s="3164"/>
      <c r="AG17" s="3164"/>
      <c r="AH17" s="3164"/>
      <c r="AI17" s="3164"/>
      <c r="AJ17" s="3164"/>
      <c r="AK17" s="3164"/>
      <c r="AL17" s="3164"/>
      <c r="AM17" s="3164"/>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2">
      <c r="A18" s="610"/>
      <c r="B18" s="662"/>
      <c r="C18" s="3195" t="s">
        <v>1016</v>
      </c>
      <c r="D18" s="3195"/>
      <c r="E18" s="3195"/>
      <c r="F18" s="3195"/>
      <c r="G18" s="3195"/>
      <c r="H18" s="3195"/>
      <c r="I18" s="3195"/>
      <c r="J18" s="3195"/>
      <c r="K18" s="3195"/>
      <c r="L18" s="3195"/>
      <c r="M18" s="3195"/>
      <c r="N18" s="3195"/>
      <c r="O18" s="3195"/>
      <c r="P18" s="3195"/>
      <c r="Q18" s="3195"/>
      <c r="R18" s="3195"/>
      <c r="S18" s="3196"/>
      <c r="T18" s="3163"/>
      <c r="U18" s="3164"/>
      <c r="V18" s="3164"/>
      <c r="W18" s="3164"/>
      <c r="X18" s="3164"/>
      <c r="Y18" s="3163"/>
      <c r="Z18" s="3164"/>
      <c r="AA18" s="3164"/>
      <c r="AB18" s="3164"/>
      <c r="AC18" s="3164"/>
      <c r="AD18" s="3164"/>
      <c r="AE18" s="3164"/>
      <c r="AF18" s="3164"/>
      <c r="AG18" s="3164"/>
      <c r="AH18" s="3164"/>
      <c r="AI18" s="3164"/>
      <c r="AJ18" s="3164"/>
      <c r="AK18" s="3164"/>
      <c r="AL18" s="3164"/>
      <c r="AM18" s="3164"/>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2">
      <c r="A19" s="610"/>
      <c r="B19" s="662"/>
      <c r="C19" s="3195" t="s">
        <v>1016</v>
      </c>
      <c r="D19" s="3195"/>
      <c r="E19" s="3195"/>
      <c r="F19" s="3195"/>
      <c r="G19" s="3195"/>
      <c r="H19" s="3195"/>
      <c r="I19" s="3195"/>
      <c r="J19" s="3195"/>
      <c r="K19" s="3195"/>
      <c r="L19" s="3195"/>
      <c r="M19" s="3195"/>
      <c r="N19" s="3195"/>
      <c r="O19" s="3195"/>
      <c r="P19" s="3195"/>
      <c r="Q19" s="3195"/>
      <c r="R19" s="3195"/>
      <c r="S19" s="3196"/>
      <c r="T19" s="3163"/>
      <c r="U19" s="3164"/>
      <c r="V19" s="3164"/>
      <c r="W19" s="3164"/>
      <c r="X19" s="3164"/>
      <c r="Y19" s="3163"/>
      <c r="Z19" s="3164"/>
      <c r="AA19" s="3164"/>
      <c r="AB19" s="3164"/>
      <c r="AC19" s="3164"/>
      <c r="AD19" s="3164"/>
      <c r="AE19" s="3164"/>
      <c r="AF19" s="3164"/>
      <c r="AG19" s="3164"/>
      <c r="AH19" s="3164"/>
      <c r="AI19" s="3164"/>
      <c r="AJ19" s="3164"/>
      <c r="AK19" s="3164"/>
      <c r="AL19" s="3164"/>
      <c r="AM19" s="3164"/>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2">
      <c r="A20" s="610"/>
      <c r="B20" s="3172" t="s">
        <v>526</v>
      </c>
      <c r="C20" s="3173"/>
      <c r="D20" s="3173"/>
      <c r="E20" s="3173"/>
      <c r="F20" s="3173"/>
      <c r="G20" s="3173"/>
      <c r="H20" s="3173"/>
      <c r="I20" s="3173"/>
      <c r="J20" s="3173"/>
      <c r="K20" s="3173"/>
      <c r="L20" s="3173"/>
      <c r="M20" s="3173"/>
      <c r="N20" s="3173"/>
      <c r="O20" s="3173"/>
      <c r="P20" s="3173"/>
      <c r="Q20" s="3173"/>
      <c r="R20" s="3173"/>
      <c r="S20" s="3174"/>
      <c r="T20" s="3165">
        <f>SUM(T13:X19)</f>
        <v>0</v>
      </c>
      <c r="U20" s="3166"/>
      <c r="V20" s="3166"/>
      <c r="W20" s="3166"/>
      <c r="X20" s="3166"/>
      <c r="Y20" s="3165">
        <f>SUM(Y13:AC19)</f>
        <v>0</v>
      </c>
      <c r="Z20" s="3166"/>
      <c r="AA20" s="3166"/>
      <c r="AB20" s="3166"/>
      <c r="AC20" s="3166"/>
      <c r="AD20" s="3167">
        <f>SUM(AD13:AH19)</f>
        <v>0</v>
      </c>
      <c r="AE20" s="3168"/>
      <c r="AF20" s="3168"/>
      <c r="AG20" s="3168"/>
      <c r="AH20" s="3165"/>
      <c r="AI20" s="3167">
        <f>SUM(AI13:AM19)</f>
        <v>0</v>
      </c>
      <c r="AJ20" s="3168"/>
      <c r="AK20" s="3168"/>
      <c r="AL20" s="3168"/>
      <c r="AM20" s="3165"/>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2">
      <c r="A21" s="610"/>
      <c r="B21" s="3172" t="s">
        <v>1439</v>
      </c>
      <c r="C21" s="3173"/>
      <c r="D21" s="3173"/>
      <c r="E21" s="3173"/>
      <c r="F21" s="3173"/>
      <c r="G21" s="3173"/>
      <c r="H21" s="3173"/>
      <c r="I21" s="3173"/>
      <c r="J21" s="3173"/>
      <c r="K21" s="3173"/>
      <c r="L21" s="3173"/>
      <c r="M21" s="3173"/>
      <c r="N21" s="3173"/>
      <c r="O21" s="3173"/>
      <c r="P21" s="3173"/>
      <c r="Q21" s="3173"/>
      <c r="R21" s="3173"/>
      <c r="S21" s="3174"/>
      <c r="T21" s="3163"/>
      <c r="U21" s="3164"/>
      <c r="V21" s="3164"/>
      <c r="W21" s="3164"/>
      <c r="X21" s="3164"/>
      <c r="Y21" s="3163"/>
      <c r="Z21" s="3164"/>
      <c r="AA21" s="3164"/>
      <c r="AB21" s="3164"/>
      <c r="AC21" s="3164"/>
      <c r="AD21" s="3160"/>
      <c r="AE21" s="3161"/>
      <c r="AF21" s="3161"/>
      <c r="AG21" s="3161"/>
      <c r="AH21" s="3162"/>
      <c r="AI21" s="3160"/>
      <c r="AJ21" s="3161"/>
      <c r="AK21" s="3161"/>
      <c r="AL21" s="3161"/>
      <c r="AM21" s="316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2">
      <c r="A22" s="610"/>
      <c r="B22" s="3172" t="s">
        <v>527</v>
      </c>
      <c r="C22" s="3173"/>
      <c r="D22" s="3173"/>
      <c r="E22" s="3173"/>
      <c r="F22" s="3173"/>
      <c r="G22" s="3173"/>
      <c r="H22" s="3173"/>
      <c r="I22" s="3173"/>
      <c r="J22" s="3173"/>
      <c r="K22" s="3173"/>
      <c r="L22" s="3173"/>
      <c r="M22" s="3173"/>
      <c r="N22" s="3173"/>
      <c r="O22" s="3173"/>
      <c r="P22" s="3173"/>
      <c r="Q22" s="3173"/>
      <c r="R22" s="3173"/>
      <c r="S22" s="3174"/>
      <c r="T22" s="3209">
        <f>(T20+T21)*-1</f>
        <v>0</v>
      </c>
      <c r="U22" s="3210"/>
      <c r="V22" s="3210"/>
      <c r="W22" s="3210"/>
      <c r="X22" s="3210"/>
      <c r="Y22" s="3209">
        <f>(Y20+Y21)*-1</f>
        <v>0</v>
      </c>
      <c r="Z22" s="3210"/>
      <c r="AA22" s="3210"/>
      <c r="AB22" s="3210"/>
      <c r="AC22" s="3210"/>
      <c r="AD22" s="3211">
        <f>(AD20)*-1</f>
        <v>0</v>
      </c>
      <c r="AE22" s="3212"/>
      <c r="AF22" s="3212"/>
      <c r="AG22" s="3212"/>
      <c r="AH22" s="3209"/>
      <c r="AI22" s="3211">
        <f>(AI20)*-1</f>
        <v>0</v>
      </c>
      <c r="AJ22" s="3212"/>
      <c r="AK22" s="3212"/>
      <c r="AL22" s="3212"/>
      <c r="AM22" s="3209"/>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2">
      <c r="A23" s="611"/>
      <c r="B23" s="3175" t="s">
        <v>528</v>
      </c>
      <c r="C23" s="3176"/>
      <c r="D23" s="3176"/>
      <c r="E23" s="3176"/>
      <c r="F23" s="3176"/>
      <c r="G23" s="3176"/>
      <c r="H23" s="3176"/>
      <c r="I23" s="3176"/>
      <c r="J23" s="3176"/>
      <c r="K23" s="3176"/>
      <c r="L23" s="3176"/>
      <c r="M23" s="3176"/>
      <c r="N23" s="3176"/>
      <c r="O23" s="3176"/>
      <c r="P23" s="3176"/>
      <c r="Q23" s="3176"/>
      <c r="R23" s="3176"/>
      <c r="S23" s="3177"/>
      <c r="T23" s="3165">
        <f>T11+T22</f>
        <v>82270597</v>
      </c>
      <c r="U23" s="3166"/>
      <c r="V23" s="3166"/>
      <c r="W23" s="3166"/>
      <c r="X23" s="3166"/>
      <c r="Y23" s="3165">
        <f>Y11+Y22</f>
        <v>0</v>
      </c>
      <c r="Z23" s="3166"/>
      <c r="AA23" s="3166"/>
      <c r="AB23" s="3166"/>
      <c r="AC23" s="3166"/>
      <c r="AD23" s="3165">
        <f>AD11+AD22</f>
        <v>0</v>
      </c>
      <c r="AE23" s="3166"/>
      <c r="AF23" s="3166"/>
      <c r="AG23" s="3166"/>
      <c r="AH23" s="3166"/>
      <c r="AI23" s="3165">
        <f>AI11+AI22</f>
        <v>0</v>
      </c>
      <c r="AJ23" s="3166"/>
      <c r="AK23" s="3166"/>
      <c r="AL23" s="3166"/>
      <c r="AM23" s="3166"/>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2">
      <c r="A24" s="610"/>
      <c r="B24" s="3172" t="s">
        <v>1017</v>
      </c>
      <c r="C24" s="3173"/>
      <c r="D24" s="3173"/>
      <c r="E24" s="3173"/>
      <c r="F24" s="3173"/>
      <c r="G24" s="3173"/>
      <c r="H24" s="3173"/>
      <c r="I24" s="3173"/>
      <c r="J24" s="3173"/>
      <c r="K24" s="3173"/>
      <c r="L24" s="3173"/>
      <c r="M24" s="3173"/>
      <c r="N24" s="3173"/>
      <c r="O24" s="3173"/>
      <c r="P24" s="3173"/>
      <c r="Q24" s="3173"/>
      <c r="R24" s="3173"/>
      <c r="S24" s="3174"/>
      <c r="T24" s="3167">
        <f>Application!AJ1032</f>
        <v>145423520</v>
      </c>
      <c r="U24" s="3168"/>
      <c r="V24" s="3168"/>
      <c r="W24" s="3168"/>
      <c r="X24" s="3168"/>
      <c r="Y24" s="3168"/>
      <c r="Z24" s="3168"/>
      <c r="AA24" s="3168"/>
      <c r="AB24" s="3168"/>
      <c r="AC24" s="3168"/>
      <c r="AD24" s="3168"/>
      <c r="AE24" s="3168"/>
      <c r="AF24" s="3168"/>
      <c r="AG24" s="3168"/>
      <c r="AH24" s="3168"/>
      <c r="AI24" s="3168"/>
      <c r="AJ24" s="3168"/>
      <c r="AK24" s="3168"/>
      <c r="AL24" s="3168"/>
      <c r="AM24" s="3165"/>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2">
      <c r="A25" s="610"/>
      <c r="B25" s="3179" t="s">
        <v>1440</v>
      </c>
      <c r="C25" s="3180"/>
      <c r="D25" s="3180"/>
      <c r="E25" s="3180"/>
      <c r="F25" s="3180"/>
      <c r="G25" s="3180"/>
      <c r="H25" s="3180"/>
      <c r="I25" s="3180"/>
      <c r="J25" s="3180"/>
      <c r="K25" s="3180"/>
      <c r="L25" s="3180"/>
      <c r="M25" s="3180"/>
      <c r="N25" s="3180"/>
      <c r="O25" s="3180"/>
      <c r="P25" s="3180"/>
      <c r="Q25" s="3180"/>
      <c r="R25" s="3180"/>
      <c r="S25" s="3181"/>
      <c r="T25" s="3213">
        <f>IF(OR(Application!T195="yes",Application!T194="yes"),1.3,1)</f>
        <v>1.3</v>
      </c>
      <c r="U25" s="3214"/>
      <c r="V25" s="3214"/>
      <c r="W25" s="3214"/>
      <c r="X25" s="3214"/>
      <c r="Y25" s="3213">
        <v>1</v>
      </c>
      <c r="Z25" s="3214"/>
      <c r="AA25" s="3214"/>
      <c r="AB25" s="3214"/>
      <c r="AC25" s="3214"/>
      <c r="AD25" s="3213">
        <v>1</v>
      </c>
      <c r="AE25" s="3214"/>
      <c r="AF25" s="3214"/>
      <c r="AG25" s="3214"/>
      <c r="AH25" s="3215"/>
      <c r="AI25" s="3213">
        <v>1</v>
      </c>
      <c r="AJ25" s="3214"/>
      <c r="AK25" s="3214"/>
      <c r="AL25" s="3214"/>
      <c r="AM25" s="3215"/>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2">
      <c r="A26" s="610"/>
      <c r="B26" s="3172" t="s">
        <v>529</v>
      </c>
      <c r="C26" s="3173"/>
      <c r="D26" s="3173"/>
      <c r="E26" s="3173"/>
      <c r="F26" s="3173"/>
      <c r="G26" s="3173"/>
      <c r="H26" s="3173"/>
      <c r="I26" s="3173"/>
      <c r="J26" s="3173"/>
      <c r="K26" s="3173"/>
      <c r="L26" s="3173"/>
      <c r="M26" s="3173"/>
      <c r="N26" s="3173"/>
      <c r="O26" s="3173"/>
      <c r="P26" s="3173"/>
      <c r="Q26" s="3173"/>
      <c r="R26" s="3173"/>
      <c r="S26" s="3174"/>
      <c r="T26" s="3216">
        <f>T23*T25</f>
        <v>106951776.10000001</v>
      </c>
      <c r="U26" s="3217"/>
      <c r="V26" s="3217"/>
      <c r="W26" s="3217"/>
      <c r="X26" s="3217"/>
      <c r="Y26" s="3216">
        <f>Y23*Y25</f>
        <v>0</v>
      </c>
      <c r="Z26" s="3217"/>
      <c r="AA26" s="3217"/>
      <c r="AB26" s="3217"/>
      <c r="AC26" s="3217"/>
      <c r="AD26" s="3216">
        <f>AD23*AD25</f>
        <v>0</v>
      </c>
      <c r="AE26" s="3217"/>
      <c r="AF26" s="3217"/>
      <c r="AG26" s="3217"/>
      <c r="AH26" s="3217"/>
      <c r="AI26" s="3216">
        <f>AI23*AI25</f>
        <v>0</v>
      </c>
      <c r="AJ26" s="3217"/>
      <c r="AK26" s="3217"/>
      <c r="AL26" s="3217"/>
      <c r="AM26" s="3217"/>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2">
      <c r="A27" s="622"/>
      <c r="B27" s="3182" t="s">
        <v>442</v>
      </c>
      <c r="C27" s="3183"/>
      <c r="D27" s="3183"/>
      <c r="E27" s="3183"/>
      <c r="F27" s="3183"/>
      <c r="G27" s="3183"/>
      <c r="H27" s="3183"/>
      <c r="I27" s="3183"/>
      <c r="J27" s="3183"/>
      <c r="K27" s="3183"/>
      <c r="L27" s="3183"/>
      <c r="M27" s="3183"/>
      <c r="N27" s="3183"/>
      <c r="O27" s="3183"/>
      <c r="P27" s="3183"/>
      <c r="Q27" s="3183"/>
      <c r="R27" s="3183"/>
      <c r="S27" s="3184"/>
      <c r="T27" s="3193">
        <f>Application!$AG$444</f>
        <v>1</v>
      </c>
      <c r="U27" s="3194"/>
      <c r="V27" s="3194"/>
      <c r="W27" s="3194"/>
      <c r="X27" s="3194"/>
      <c r="Y27" s="3193">
        <f>Application!$AG$444</f>
        <v>1</v>
      </c>
      <c r="Z27" s="3194"/>
      <c r="AA27" s="3194"/>
      <c r="AB27" s="3194"/>
      <c r="AC27" s="3194"/>
      <c r="AD27" s="3193">
        <f>Application!$AG$444</f>
        <v>1</v>
      </c>
      <c r="AE27" s="3194"/>
      <c r="AF27" s="3194"/>
      <c r="AG27" s="3194"/>
      <c r="AH27" s="3194"/>
      <c r="AI27" s="3193">
        <f>Application!$AG$444</f>
        <v>1</v>
      </c>
      <c r="AJ27" s="3194"/>
      <c r="AK27" s="3194"/>
      <c r="AL27" s="3194"/>
      <c r="AM27" s="319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172" t="s">
        <v>530</v>
      </c>
      <c r="C28" s="3173"/>
      <c r="D28" s="3173"/>
      <c r="E28" s="3173"/>
      <c r="F28" s="3173"/>
      <c r="G28" s="3173"/>
      <c r="H28" s="3173"/>
      <c r="I28" s="3173"/>
      <c r="J28" s="3173"/>
      <c r="K28" s="3173"/>
      <c r="L28" s="3173"/>
      <c r="M28" s="3173"/>
      <c r="N28" s="3173"/>
      <c r="O28" s="3173"/>
      <c r="P28" s="3173"/>
      <c r="Q28" s="3173"/>
      <c r="R28" s="3173"/>
      <c r="S28" s="3174"/>
      <c r="T28" s="3185">
        <f>IF(ISERROR((T26*T27)),0,(T26*T27))</f>
        <v>106951776.10000001</v>
      </c>
      <c r="U28" s="3186"/>
      <c r="V28" s="3186"/>
      <c r="W28" s="3186"/>
      <c r="X28" s="3186"/>
      <c r="Y28" s="3185">
        <f>IF(ISERROR((Y26*Y27)),0,(Y26*Y27))</f>
        <v>0</v>
      </c>
      <c r="Z28" s="3186"/>
      <c r="AA28" s="3186"/>
      <c r="AB28" s="3186"/>
      <c r="AC28" s="3186"/>
      <c r="AD28" s="3185">
        <f>IF(ISERROR((AD26*AD27)),0,(AD26*AD27))</f>
        <v>0</v>
      </c>
      <c r="AE28" s="3186"/>
      <c r="AF28" s="3186"/>
      <c r="AG28" s="3186"/>
      <c r="AH28" s="3186"/>
      <c r="AI28" s="3185">
        <f>IF(ISERROR((AI26*AI27)),0,(AI26*AI27))</f>
        <v>0</v>
      </c>
      <c r="AJ28" s="3186"/>
      <c r="AK28" s="3186"/>
      <c r="AL28" s="3186"/>
      <c r="AM28" s="3186"/>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2">
      <c r="A29" s="610"/>
      <c r="B29" s="3172" t="s">
        <v>547</v>
      </c>
      <c r="C29" s="3173"/>
      <c r="D29" s="3173"/>
      <c r="E29" s="3173"/>
      <c r="F29" s="3173"/>
      <c r="G29" s="3173"/>
      <c r="H29" s="3173"/>
      <c r="I29" s="3173"/>
      <c r="J29" s="3173"/>
      <c r="K29" s="3173"/>
      <c r="L29" s="3173"/>
      <c r="M29" s="3173"/>
      <c r="N29" s="3173"/>
      <c r="O29" s="3173"/>
      <c r="P29" s="3173"/>
      <c r="Q29" s="3173"/>
      <c r="R29" s="3173"/>
      <c r="S29" s="3174"/>
      <c r="T29" s="3167">
        <f>T28+Y28+AD28+AI28</f>
        <v>106951776.10000001</v>
      </c>
      <c r="U29" s="3168"/>
      <c r="V29" s="3168"/>
      <c r="W29" s="3168"/>
      <c r="X29" s="3168"/>
      <c r="Y29" s="3168"/>
      <c r="Z29" s="3168"/>
      <c r="AA29" s="3168"/>
      <c r="AB29" s="3168"/>
      <c r="AC29" s="3168"/>
      <c r="AD29" s="3168"/>
      <c r="AE29" s="3168"/>
      <c r="AF29" s="3168"/>
      <c r="AG29" s="3168"/>
      <c r="AH29" s="3168"/>
      <c r="AI29" s="3168"/>
      <c r="AJ29" s="3168"/>
      <c r="AK29" s="3168"/>
      <c r="AL29" s="3168"/>
      <c r="AM29" s="3165"/>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178" t="s">
        <v>1442</v>
      </c>
      <c r="C30" s="3178"/>
      <c r="D30" s="3178"/>
      <c r="E30" s="3178"/>
      <c r="F30" s="3178"/>
      <c r="G30" s="3178"/>
      <c r="H30" s="3178"/>
      <c r="I30" s="3178"/>
      <c r="J30" s="3178"/>
      <c r="K30" s="3178"/>
      <c r="L30" s="3178"/>
      <c r="M30" s="3178"/>
      <c r="N30" s="3178"/>
      <c r="O30" s="3178"/>
      <c r="P30" s="3178"/>
      <c r="Q30" s="3178"/>
      <c r="R30" s="3178"/>
      <c r="S30" s="3178"/>
      <c r="T30" s="3178"/>
      <c r="U30" s="3178"/>
      <c r="V30" s="3178"/>
      <c r="W30" s="3178"/>
      <c r="X30" s="3178"/>
      <c r="Y30" s="3178"/>
      <c r="Z30" s="3178"/>
      <c r="AA30" s="3178"/>
      <c r="AB30" s="3178"/>
      <c r="AC30" s="3178"/>
      <c r="AD30" s="3178"/>
      <c r="AE30" s="3178"/>
      <c r="AF30" s="3178"/>
      <c r="AG30" s="3178"/>
      <c r="AH30" s="3178"/>
      <c r="AI30" s="3178"/>
      <c r="AJ30" s="3178"/>
      <c r="AK30" s="3178"/>
      <c r="AL30" s="3178"/>
      <c r="AM30" s="3178"/>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178" t="s">
        <v>1441</v>
      </c>
      <c r="C31" s="3178"/>
      <c r="D31" s="3178"/>
      <c r="E31" s="3178"/>
      <c r="F31" s="3178"/>
      <c r="G31" s="3178"/>
      <c r="H31" s="3178"/>
      <c r="I31" s="3178"/>
      <c r="J31" s="3178"/>
      <c r="K31" s="3178"/>
      <c r="L31" s="3178"/>
      <c r="M31" s="3178"/>
      <c r="N31" s="3178"/>
      <c r="O31" s="3178"/>
      <c r="P31" s="3178"/>
      <c r="Q31" s="3178"/>
      <c r="R31" s="3178"/>
      <c r="S31" s="3178"/>
      <c r="T31" s="3178"/>
      <c r="U31" s="3178"/>
      <c r="V31" s="3178"/>
      <c r="W31" s="3178"/>
      <c r="X31" s="3178"/>
      <c r="Y31" s="3178"/>
      <c r="Z31" s="3178"/>
      <c r="AA31" s="3178"/>
      <c r="AB31" s="3178"/>
      <c r="AC31" s="3178"/>
      <c r="AD31" s="3178"/>
      <c r="AE31" s="3178"/>
      <c r="AF31" s="3178"/>
      <c r="AG31" s="3178"/>
      <c r="AH31" s="3178"/>
      <c r="AI31" s="3178"/>
      <c r="AJ31" s="3178"/>
      <c r="AK31" s="3178"/>
      <c r="AL31" s="3178"/>
      <c r="AM31" s="3178"/>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2">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2">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2">
      <c r="A34" s="615" t="s">
        <v>601</v>
      </c>
      <c r="B34" s="610"/>
      <c r="C34" s="615" t="s">
        <v>592</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204" t="s">
        <v>1311</v>
      </c>
      <c r="Z35" s="3204"/>
      <c r="AA35" s="3204"/>
      <c r="AB35" s="3204"/>
      <c r="AC35" s="3204"/>
      <c r="AD35" s="3230" t="s">
        <v>376</v>
      </c>
      <c r="AE35" s="3230"/>
      <c r="AF35" s="3230"/>
      <c r="AG35" s="3230"/>
      <c r="AH35" s="3230"/>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204"/>
      <c r="Z36" s="3204"/>
      <c r="AA36" s="3204"/>
      <c r="AB36" s="3204"/>
      <c r="AC36" s="3204"/>
      <c r="AD36" s="3230"/>
      <c r="AE36" s="3230"/>
      <c r="AF36" s="3230"/>
      <c r="AG36" s="3230"/>
      <c r="AH36" s="3230"/>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2">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204"/>
      <c r="Z37" s="3204"/>
      <c r="AA37" s="3204"/>
      <c r="AB37" s="3204"/>
      <c r="AC37" s="3204"/>
      <c r="AD37" s="3230"/>
      <c r="AE37" s="3230"/>
      <c r="AF37" s="3230"/>
      <c r="AG37" s="3230"/>
      <c r="AH37" s="3230"/>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172" t="s">
        <v>530</v>
      </c>
      <c r="C38" s="3173"/>
      <c r="D38" s="3173"/>
      <c r="E38" s="3173"/>
      <c r="F38" s="3173"/>
      <c r="G38" s="3173"/>
      <c r="H38" s="3173"/>
      <c r="I38" s="3173"/>
      <c r="J38" s="3173"/>
      <c r="K38" s="3173"/>
      <c r="L38" s="3173"/>
      <c r="M38" s="3173"/>
      <c r="N38" s="3173"/>
      <c r="O38" s="3173"/>
      <c r="P38" s="3173"/>
      <c r="Q38" s="3173"/>
      <c r="R38" s="3173"/>
      <c r="S38" s="3173"/>
      <c r="T38" s="3173"/>
      <c r="U38" s="3173"/>
      <c r="V38" s="3173"/>
      <c r="W38" s="3173"/>
      <c r="X38" s="3174"/>
      <c r="Y38" s="3166">
        <f>IF(T24&gt;=(T23+Y23+AD23+AI23),T28+Y28,0)</f>
        <v>106951776.10000001</v>
      </c>
      <c r="Z38" s="3166"/>
      <c r="AA38" s="3166"/>
      <c r="AB38" s="3166"/>
      <c r="AC38" s="3166"/>
      <c r="AD38" s="3166">
        <f>IF(T24&gt;=(T23+Y23+AD23+AI23),AD28+AI28,0)</f>
        <v>0</v>
      </c>
      <c r="AE38" s="3166"/>
      <c r="AF38" s="3166"/>
      <c r="AG38" s="3166"/>
      <c r="AH38" s="3166"/>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2">
      <c r="A39" s="610"/>
      <c r="B39" s="3172" t="s">
        <v>1999</v>
      </c>
      <c r="C39" s="3173"/>
      <c r="D39" s="3173"/>
      <c r="E39" s="3173"/>
      <c r="F39" s="3173"/>
      <c r="G39" s="3173"/>
      <c r="H39" s="3173"/>
      <c r="I39" s="3173"/>
      <c r="J39" s="3173"/>
      <c r="K39" s="3173"/>
      <c r="L39" s="3173"/>
      <c r="M39" s="3173"/>
      <c r="N39" s="3173"/>
      <c r="O39" s="3173"/>
      <c r="P39" s="3173"/>
      <c r="Q39" s="3173"/>
      <c r="R39" s="3173"/>
      <c r="S39" s="3173"/>
      <c r="T39" s="3173"/>
      <c r="U39" s="3173"/>
      <c r="V39" s="3173"/>
      <c r="W39" s="3173"/>
      <c r="X39" s="3174"/>
      <c r="Y39" s="3231">
        <v>0.04</v>
      </c>
      <c r="Z39" s="3231"/>
      <c r="AA39" s="3231"/>
      <c r="AB39" s="3231"/>
      <c r="AC39" s="3231"/>
      <c r="AD39" s="3231">
        <v>0.04</v>
      </c>
      <c r="AE39" s="3231"/>
      <c r="AF39" s="3231"/>
      <c r="AG39" s="3231"/>
      <c r="AH39" s="3231"/>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172" t="s">
        <v>667</v>
      </c>
      <c r="C40" s="3173"/>
      <c r="D40" s="3173"/>
      <c r="E40" s="3173"/>
      <c r="F40" s="3173"/>
      <c r="G40" s="3173"/>
      <c r="H40" s="3173"/>
      <c r="I40" s="3173"/>
      <c r="J40" s="3173"/>
      <c r="K40" s="3173"/>
      <c r="L40" s="3173"/>
      <c r="M40" s="3173"/>
      <c r="N40" s="3173"/>
      <c r="O40" s="3173"/>
      <c r="P40" s="3173"/>
      <c r="Q40" s="3173"/>
      <c r="R40" s="3173"/>
      <c r="S40" s="3173"/>
      <c r="T40" s="3173"/>
      <c r="U40" s="3173"/>
      <c r="V40" s="3173"/>
      <c r="W40" s="3173"/>
      <c r="X40" s="3174"/>
      <c r="Y40" s="3166">
        <f>ROUND(Y38*Y39,0)</f>
        <v>4278071</v>
      </c>
      <c r="Z40" s="3166"/>
      <c r="AA40" s="3166"/>
      <c r="AB40" s="3166"/>
      <c r="AC40" s="3166"/>
      <c r="AD40" s="3165">
        <f>ROUND(AD38*AD39,0)</f>
        <v>0</v>
      </c>
      <c r="AE40" s="3166"/>
      <c r="AF40" s="3166"/>
      <c r="AG40" s="3166"/>
      <c r="AH40" s="3166"/>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2">
      <c r="A41" s="610"/>
      <c r="B41" s="3172" t="s">
        <v>668</v>
      </c>
      <c r="C41" s="3173"/>
      <c r="D41" s="3173"/>
      <c r="E41" s="3173"/>
      <c r="F41" s="3173"/>
      <c r="G41" s="3173"/>
      <c r="H41" s="3173"/>
      <c r="I41" s="3173"/>
      <c r="J41" s="3173"/>
      <c r="K41" s="3173"/>
      <c r="L41" s="3173"/>
      <c r="M41" s="3173"/>
      <c r="N41" s="3173"/>
      <c r="O41" s="3173"/>
      <c r="P41" s="3173"/>
      <c r="Q41" s="3173"/>
      <c r="R41" s="3173"/>
      <c r="S41" s="3173"/>
      <c r="T41" s="3173"/>
      <c r="U41" s="3173"/>
      <c r="V41" s="3173"/>
      <c r="W41" s="3173"/>
      <c r="X41" s="3174"/>
      <c r="Y41" s="3187">
        <f>Y40+AD40</f>
        <v>4278071</v>
      </c>
      <c r="Z41" s="3188"/>
      <c r="AA41" s="3188"/>
      <c r="AB41" s="3188"/>
      <c r="AC41" s="3188"/>
      <c r="AD41" s="3188"/>
      <c r="AE41" s="3188"/>
      <c r="AF41" s="3188"/>
      <c r="AG41" s="3188"/>
      <c r="AH41" s="318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2">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8" thickBot="1">
      <c r="A44" s="3170" t="s">
        <v>1452</v>
      </c>
      <c r="B44" s="3170"/>
      <c r="C44" s="3170"/>
      <c r="D44" s="3170"/>
      <c r="E44" s="3170"/>
      <c r="F44" s="3170"/>
      <c r="G44" s="3170"/>
      <c r="H44" s="3170"/>
      <c r="I44" s="3170"/>
      <c r="J44" s="3170"/>
      <c r="K44" s="3170"/>
      <c r="L44" s="3170"/>
      <c r="M44" s="3170"/>
      <c r="N44" s="3170"/>
      <c r="O44" s="3170"/>
      <c r="P44" s="3170"/>
      <c r="Q44" s="3170"/>
      <c r="R44" s="3170"/>
      <c r="S44" s="3170"/>
      <c r="T44" s="3170"/>
      <c r="U44" s="3170"/>
      <c r="V44" s="3170"/>
      <c r="W44" s="3170"/>
      <c r="X44" s="3170"/>
      <c r="Y44" s="3170"/>
      <c r="Z44" s="3170"/>
      <c r="AA44" s="3170"/>
      <c r="AB44" s="3170"/>
      <c r="AC44" s="3170"/>
      <c r="AD44" s="3170"/>
      <c r="AE44" s="3170"/>
      <c r="AF44" s="3170"/>
      <c r="AG44" s="3170"/>
      <c r="AH44" s="3170"/>
      <c r="AI44" s="3170"/>
      <c r="AJ44" s="3170"/>
      <c r="AK44" s="3170"/>
      <c r="AL44" s="3170"/>
      <c r="AM44" s="3170"/>
      <c r="AN44" s="3170"/>
      <c r="AO44" s="3170"/>
      <c r="AP44" s="3170"/>
      <c r="AQ44" s="3170"/>
      <c r="AR44" s="3170"/>
      <c r="AS44" s="3170"/>
      <c r="AT44" s="3170"/>
      <c r="AU44" s="3170"/>
      <c r="AV44" s="3170"/>
      <c r="AW44" s="3170"/>
      <c r="AX44" s="3170"/>
      <c r="AY44" s="3170"/>
      <c r="AZ44" s="3170"/>
      <c r="BA44" s="3170"/>
      <c r="BB44" s="3170"/>
      <c r="BC44" s="3170"/>
      <c r="BD44" s="3170"/>
      <c r="BE44" s="3170"/>
      <c r="BF44" s="3170"/>
      <c r="BG44" s="3170"/>
      <c r="BH44" s="3170"/>
      <c r="BI44" s="3170"/>
      <c r="BJ44" s="3170"/>
      <c r="BK44" s="3170"/>
      <c r="BL44" s="3170"/>
      <c r="BM44" s="3170"/>
      <c r="BN44" s="3170"/>
      <c r="BO44" s="3170"/>
      <c r="BP44" s="3170"/>
      <c r="BQ44" s="3170"/>
      <c r="BR44" s="3170"/>
      <c r="BS44" s="3170"/>
      <c r="BT44" s="3170"/>
      <c r="BU44" s="3170"/>
      <c r="BV44" s="3170"/>
      <c r="BW44" s="3170"/>
      <c r="BX44" s="317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5" t="s">
        <v>611</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2">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190">
        <f>'Sources and Uses Budget'!B105-MAX(IF('Sources and Uses Budget'!B15="",0,'Sources and Uses Budget'!B15),IF(Application!AG393="",0,Application!AG393))</f>
        <v>90323824</v>
      </c>
      <c r="AC47" s="3191"/>
      <c r="AD47" s="3191"/>
      <c r="AE47" s="3191"/>
      <c r="AF47" s="319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190">
        <f>Application!AO649-MAX(IF('Sources and Uses Budget'!B15="",0,'Sources and Uses Budget'!B15),IF(Application!AG393="",0,Application!AG393))</f>
        <v>48592420</v>
      </c>
      <c r="AC48" s="3191"/>
      <c r="AD48" s="3191"/>
      <c r="AE48" s="3191"/>
      <c r="AF48" s="319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2">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190">
        <f>AB47-AB48</f>
        <v>41731404</v>
      </c>
      <c r="AC49" s="3191"/>
      <c r="AD49" s="3191"/>
      <c r="AE49" s="3191"/>
      <c r="AF49" s="319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2">
      <c r="A50" s="610"/>
      <c r="B50" s="610"/>
      <c r="C50" s="610"/>
      <c r="D50" s="615" t="s">
        <v>706</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223">
        <f>AB49/Y41/10</f>
        <v>0.97547245008322681</v>
      </c>
      <c r="AC50" s="3224"/>
      <c r="AD50" s="3224"/>
      <c r="AE50" s="3224"/>
      <c r="AF50" s="3225"/>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226" t="s">
        <v>2162</v>
      </c>
      <c r="F51" s="3226"/>
      <c r="G51" s="3226"/>
      <c r="H51" s="3226"/>
      <c r="I51" s="3226"/>
      <c r="J51" s="3226"/>
      <c r="K51" s="3226"/>
      <c r="L51" s="3226"/>
      <c r="M51" s="3226"/>
      <c r="N51" s="3226"/>
      <c r="O51" s="3226"/>
      <c r="P51" s="3226"/>
      <c r="Q51" s="3226"/>
      <c r="R51" s="3226"/>
      <c r="S51" s="3226"/>
      <c r="T51" s="3226"/>
      <c r="U51" s="3226"/>
      <c r="V51" s="3226"/>
      <c r="W51" s="3226"/>
      <c r="X51" s="3226"/>
      <c r="Y51" s="3226"/>
      <c r="Z51" s="3226"/>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226"/>
      <c r="F52" s="3226"/>
      <c r="G52" s="3226"/>
      <c r="H52" s="3226"/>
      <c r="I52" s="3226"/>
      <c r="J52" s="3226"/>
      <c r="K52" s="3226"/>
      <c r="L52" s="3226"/>
      <c r="M52" s="3226"/>
      <c r="N52" s="3226"/>
      <c r="O52" s="3226"/>
      <c r="P52" s="3226"/>
      <c r="Q52" s="3226"/>
      <c r="R52" s="3226"/>
      <c r="S52" s="3226"/>
      <c r="T52" s="3226"/>
      <c r="U52" s="3226"/>
      <c r="V52" s="3226"/>
      <c r="W52" s="3226"/>
      <c r="X52" s="3226"/>
      <c r="Y52" s="3226"/>
      <c r="Z52" s="3226"/>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190">
        <f>ROUND(IF(ISERROR((AB49/AB50)),0,(AB49/AB50)),0)</f>
        <v>42780710</v>
      </c>
      <c r="AC54" s="3191"/>
      <c r="AD54" s="3191"/>
      <c r="AE54" s="3191"/>
      <c r="AF54" s="319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190">
        <f>(AB54/10)</f>
        <v>4278071</v>
      </c>
      <c r="AC55" s="3191"/>
      <c r="AD55" s="3191"/>
      <c r="AE55" s="3191"/>
      <c r="AF55" s="319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2">
      <c r="A56" s="610"/>
      <c r="B56" s="610"/>
      <c r="C56" s="610"/>
      <c r="D56" s="615" t="s">
        <v>785</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227">
        <f>(IF((Y41&lt;AB55),Y41,AB55))</f>
        <v>4278071</v>
      </c>
      <c r="AC56" s="3228"/>
      <c r="AD56" s="3228"/>
      <c r="AE56" s="3228"/>
      <c r="AF56" s="3229"/>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2">
      <c r="A57" s="610"/>
      <c r="B57" s="610"/>
      <c r="C57" s="610"/>
      <c r="D57" s="615" t="s">
        <v>784</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190">
        <f>ROUND((10*AB56*AB50),0)</f>
        <v>41731404</v>
      </c>
      <c r="AC57" s="3191"/>
      <c r="AD57" s="3191"/>
      <c r="AE57" s="3191"/>
      <c r="AF57" s="319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2">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783</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218">
        <f>AB49-AB57</f>
        <v>0</v>
      </c>
      <c r="AC59" s="3218"/>
      <c r="AD59" s="3218"/>
      <c r="AE59" s="3218"/>
      <c r="AF59" s="3218"/>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8" thickBot="1">
      <c r="A61" s="3170" t="str">
        <f>IF(Application!AP204="yes","Farmworker State Credit", "State Credit" )</f>
        <v>State Credit</v>
      </c>
      <c r="B61" s="3170"/>
      <c r="C61" s="3170"/>
      <c r="D61" s="3170"/>
      <c r="E61" s="3170"/>
      <c r="F61" s="3170"/>
      <c r="G61" s="3170"/>
      <c r="H61" s="3170"/>
      <c r="I61" s="3170"/>
      <c r="J61" s="3170"/>
      <c r="K61" s="3170"/>
      <c r="L61" s="3170"/>
      <c r="M61" s="3170"/>
      <c r="N61" s="3170"/>
      <c r="O61" s="3170"/>
      <c r="P61" s="3170"/>
      <c r="Q61" s="3170"/>
      <c r="R61" s="3170"/>
      <c r="S61" s="3170"/>
      <c r="T61" s="3170"/>
      <c r="U61" s="3170"/>
      <c r="V61" s="3170"/>
      <c r="W61" s="3170"/>
      <c r="X61" s="3170"/>
      <c r="Y61" s="3170"/>
      <c r="Z61" s="3170"/>
      <c r="AA61" s="3170"/>
      <c r="AB61" s="3170"/>
      <c r="AC61" s="3170"/>
      <c r="AD61" s="3170"/>
      <c r="AE61" s="3170"/>
      <c r="AF61" s="3170"/>
      <c r="AG61" s="3170"/>
      <c r="AH61" s="3170"/>
      <c r="AI61" s="3170"/>
      <c r="AJ61" s="3170"/>
      <c r="AK61" s="3170"/>
      <c r="AL61" s="3170"/>
      <c r="AM61" s="3170"/>
      <c r="AN61" s="3170"/>
      <c r="AO61" s="3170"/>
      <c r="AP61" s="3170"/>
      <c r="AQ61" s="3170"/>
      <c r="AR61" s="3170"/>
      <c r="AS61" s="3170"/>
      <c r="AT61" s="3170"/>
      <c r="AU61" s="3170"/>
      <c r="AV61" s="3170"/>
      <c r="AW61" s="3170"/>
      <c r="AX61" s="3170"/>
      <c r="AY61" s="3170"/>
      <c r="AZ61" s="3170"/>
      <c r="BA61" s="3170"/>
      <c r="BB61" s="3170"/>
      <c r="BC61" s="3170"/>
      <c r="BD61" s="3170"/>
      <c r="BE61" s="3170"/>
      <c r="BF61" s="3170"/>
      <c r="BG61" s="3170"/>
      <c r="BH61" s="3170"/>
      <c r="BI61" s="3170"/>
      <c r="BJ61" s="3170"/>
      <c r="BK61" s="3170"/>
      <c r="BL61" s="3170"/>
      <c r="BM61" s="3170"/>
      <c r="BN61" s="3170"/>
      <c r="BO61" s="3170"/>
      <c r="BP61" s="3170"/>
      <c r="BQ61" s="3170"/>
      <c r="BR61" s="3170"/>
      <c r="BS61" s="3170"/>
      <c r="BT61" s="3170"/>
      <c r="BU61" s="3170"/>
      <c r="BV61" s="3170"/>
      <c r="BW61" s="3170"/>
      <c r="BX61" s="317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5" t="s">
        <v>614</v>
      </c>
      <c r="B63" s="610"/>
      <c r="C63" s="326" t="s">
        <v>1423</v>
      </c>
      <c r="D63" s="610"/>
      <c r="E63" s="610"/>
      <c r="F63" s="610"/>
      <c r="G63" s="610"/>
      <c r="H63" s="610"/>
      <c r="I63" s="610"/>
      <c r="J63" s="610"/>
      <c r="K63" s="610"/>
      <c r="L63" s="610"/>
      <c r="M63" s="610"/>
      <c r="N63" s="610"/>
      <c r="O63" s="610"/>
      <c r="P63" s="610"/>
      <c r="Q63" s="610"/>
      <c r="R63" s="610"/>
      <c r="S63" s="610"/>
      <c r="T63" s="610"/>
      <c r="U63" s="610"/>
      <c r="V63" s="610"/>
      <c r="W63" s="610"/>
      <c r="X63" s="610"/>
      <c r="Y63" s="3219" t="s">
        <v>1040</v>
      </c>
      <c r="Z63" s="3219"/>
      <c r="AA63" s="3219"/>
      <c r="AB63" s="3219"/>
      <c r="AC63" s="3219"/>
      <c r="AD63" s="3219" t="s">
        <v>376</v>
      </c>
      <c r="AE63" s="3219"/>
      <c r="AF63" s="3219"/>
      <c r="AG63" s="3219"/>
      <c r="AH63" s="3219"/>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2">
      <c r="A64" s="610"/>
      <c r="B64" s="610"/>
      <c r="C64" s="635"/>
      <c r="D64" s="636" t="s">
        <v>1424</v>
      </c>
      <c r="E64" s="637"/>
      <c r="F64" s="637"/>
      <c r="G64" s="637"/>
      <c r="H64" s="637"/>
      <c r="I64" s="637"/>
      <c r="J64" s="637"/>
      <c r="K64" s="637"/>
      <c r="L64" s="638"/>
      <c r="M64" s="638"/>
      <c r="N64" s="638"/>
      <c r="O64" s="638"/>
      <c r="P64" s="638"/>
      <c r="Q64" s="638"/>
      <c r="R64" s="638"/>
      <c r="S64" s="638"/>
      <c r="T64" s="638"/>
      <c r="U64" s="638"/>
      <c r="V64" s="638"/>
      <c r="W64" s="638"/>
      <c r="X64" s="638"/>
      <c r="Y64" s="3220">
        <f>IF(Application!Z204="(select)",0,((T23*T27)+Y28))</f>
        <v>82270597</v>
      </c>
      <c r="Z64" s="3221"/>
      <c r="AA64" s="3221"/>
      <c r="AB64" s="3221"/>
      <c r="AC64" s="3222"/>
      <c r="AD64" s="3220">
        <f>IF(AND(OR(Application!D210="At-Risk",Application!D210="At-Risk and Special Needs"),Application!M357="yes"),AD28+AI28,0)</f>
        <v>0</v>
      </c>
      <c r="AE64" s="3221"/>
      <c r="AF64" s="3221"/>
      <c r="AG64" s="3221"/>
      <c r="AH64" s="3222"/>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100" t="s">
        <v>2160</v>
      </c>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100" t="s">
        <v>2161</v>
      </c>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2">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237">
        <f>IF(Application!AP204="yes",0.75,IF(Application!Z203="15% set-aside",0.13,IF(Application!Z203="15% set-aside with qualifying low value rehab",0.95,0.3)))</f>
        <v>0.3</v>
      </c>
      <c r="Z67" s="3237"/>
      <c r="AA67" s="3237"/>
      <c r="AB67" s="3237"/>
      <c r="AC67" s="3237"/>
      <c r="AD67" s="3237">
        <f>IF(Application!Z203="15% set-aside with qualifying low value rehab", 0.95,0.13)</f>
        <v>0.13</v>
      </c>
      <c r="AE67" s="3237"/>
      <c r="AF67" s="3237"/>
      <c r="AG67" s="3237"/>
      <c r="AH67" s="3237"/>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2">
      <c r="A68" s="610"/>
      <c r="B68" s="610"/>
      <c r="C68" s="615"/>
      <c r="D68" s="334" t="s">
        <v>1425</v>
      </c>
      <c r="E68" s="610"/>
      <c r="F68" s="610"/>
      <c r="G68" s="610"/>
      <c r="H68" s="610"/>
      <c r="I68" s="610"/>
      <c r="J68" s="610"/>
      <c r="K68" s="610"/>
      <c r="L68" s="610"/>
      <c r="M68" s="610"/>
      <c r="N68" s="610"/>
      <c r="O68" s="610"/>
      <c r="P68" s="610"/>
      <c r="Q68" s="610"/>
      <c r="R68" s="610"/>
      <c r="S68" s="610"/>
      <c r="T68" s="610"/>
      <c r="U68" s="610"/>
      <c r="V68" s="610"/>
      <c r="W68" s="610"/>
      <c r="X68" s="610"/>
      <c r="Y68" s="3238">
        <f>ROUND(Y64*Y67,0)</f>
        <v>24681179</v>
      </c>
      <c r="Z68" s="3239"/>
      <c r="AA68" s="3239"/>
      <c r="AB68" s="3239"/>
      <c r="AC68" s="3239"/>
      <c r="AD68" s="3238">
        <f>ROUND(AD64*AD67,0)</f>
        <v>0</v>
      </c>
      <c r="AE68" s="3239"/>
      <c r="AF68" s="3239"/>
      <c r="AG68" s="3239"/>
      <c r="AH68" s="3239"/>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2">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2">
      <c r="A70" s="615" t="s">
        <v>615</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2">
      <c r="A71" s="635"/>
      <c r="B71" s="611"/>
      <c r="C71" s="635"/>
      <c r="D71" s="330" t="s">
        <v>1426</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223"/>
      <c r="AC71" s="3224"/>
      <c r="AD71" s="3224"/>
      <c r="AE71" s="3224"/>
      <c r="AF71" s="3225"/>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240" t="s">
        <v>1427</v>
      </c>
      <c r="F72" s="3240"/>
      <c r="G72" s="3240"/>
      <c r="H72" s="3240"/>
      <c r="I72" s="3240"/>
      <c r="J72" s="3240"/>
      <c r="K72" s="3240"/>
      <c r="L72" s="3240"/>
      <c r="M72" s="3240"/>
      <c r="N72" s="3240"/>
      <c r="O72" s="3240"/>
      <c r="P72" s="3240"/>
      <c r="Q72" s="3240"/>
      <c r="R72" s="3240"/>
      <c r="S72" s="3240"/>
      <c r="T72" s="3240"/>
      <c r="U72" s="3240"/>
      <c r="V72" s="3240"/>
      <c r="W72" s="3240"/>
      <c r="X72" s="3240"/>
      <c r="Y72" s="3240"/>
      <c r="Z72" s="3240"/>
      <c r="AA72" s="3240"/>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240"/>
      <c r="F73" s="3240"/>
      <c r="G73" s="3240"/>
      <c r="H73" s="3240"/>
      <c r="I73" s="3240"/>
      <c r="J73" s="3240"/>
      <c r="K73" s="3240"/>
      <c r="L73" s="3240"/>
      <c r="M73" s="3240"/>
      <c r="N73" s="3240"/>
      <c r="O73" s="3240"/>
      <c r="P73" s="3240"/>
      <c r="Q73" s="3240"/>
      <c r="R73" s="3240"/>
      <c r="S73" s="3240"/>
      <c r="T73" s="3240"/>
      <c r="U73" s="3240"/>
      <c r="V73" s="3240"/>
      <c r="W73" s="3240"/>
      <c r="X73" s="3240"/>
      <c r="Y73" s="3240"/>
      <c r="Z73" s="3240"/>
      <c r="AA73" s="3240"/>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240"/>
      <c r="F74" s="3240"/>
      <c r="G74" s="3240"/>
      <c r="H74" s="3240"/>
      <c r="I74" s="3240"/>
      <c r="J74" s="3240"/>
      <c r="K74" s="3240"/>
      <c r="L74" s="3240"/>
      <c r="M74" s="3240"/>
      <c r="N74" s="3240"/>
      <c r="O74" s="3240"/>
      <c r="P74" s="3240"/>
      <c r="Q74" s="3240"/>
      <c r="R74" s="3240"/>
      <c r="S74" s="3240"/>
      <c r="T74" s="3240"/>
      <c r="U74" s="3240"/>
      <c r="V74" s="3240"/>
      <c r="W74" s="3240"/>
      <c r="X74" s="3240"/>
      <c r="Y74" s="3240"/>
      <c r="Z74" s="3240"/>
      <c r="AA74" s="3240"/>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1428</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232">
        <f>ROUND(IF(ISERROR((AB59/AB71)),0,(AB59/AB71)),0)</f>
        <v>0</v>
      </c>
      <c r="AC76" s="3232"/>
      <c r="AD76" s="3232"/>
      <c r="AE76" s="3232"/>
      <c r="AF76" s="3232"/>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1429</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233">
        <f>IF((Y68+AD68&lt;AB76),Y68+AD68,AB76)</f>
        <v>0</v>
      </c>
      <c r="AC77" s="3234"/>
      <c r="AD77" s="3234"/>
      <c r="AE77" s="3234"/>
      <c r="AF77" s="3235"/>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1430</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236">
        <f>AB77*AB71</f>
        <v>0</v>
      </c>
      <c r="AC78" s="3236"/>
      <c r="AD78" s="3236"/>
      <c r="AE78" s="3236"/>
      <c r="AF78" s="3236"/>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783</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218">
        <f>AB49-(AB57+AB78)</f>
        <v>0</v>
      </c>
      <c r="AC80" s="3218"/>
      <c r="AD80" s="3218"/>
      <c r="AE80" s="3218"/>
      <c r="AF80" s="3218"/>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8" thickBot="1">
      <c r="A83" s="3170"/>
      <c r="B83" s="3170"/>
      <c r="C83" s="3170"/>
      <c r="D83" s="3170"/>
      <c r="E83" s="3170"/>
      <c r="F83" s="3170"/>
      <c r="G83" s="3170"/>
      <c r="H83" s="3170"/>
      <c r="I83" s="3170"/>
      <c r="J83" s="3170"/>
      <c r="K83" s="3170"/>
      <c r="L83" s="3170"/>
      <c r="M83" s="3170"/>
      <c r="N83" s="3170"/>
      <c r="O83" s="3170"/>
      <c r="P83" s="3170"/>
      <c r="Q83" s="3170"/>
      <c r="R83" s="3170"/>
      <c r="S83" s="3170"/>
      <c r="T83" s="3170"/>
      <c r="U83" s="3170"/>
      <c r="V83" s="3170"/>
      <c r="W83" s="3170"/>
      <c r="X83" s="3170"/>
      <c r="Y83" s="3170"/>
      <c r="Z83" s="3170"/>
      <c r="AA83" s="3170"/>
      <c r="AB83" s="3170"/>
      <c r="AC83" s="3170"/>
      <c r="AD83" s="3170"/>
      <c r="AE83" s="3170"/>
      <c r="AF83" s="3170"/>
      <c r="AG83" s="3170"/>
      <c r="AH83" s="3170"/>
      <c r="AI83" s="3170"/>
      <c r="AJ83" s="3170"/>
      <c r="AK83" s="3170"/>
      <c r="AL83" s="3170"/>
      <c r="AM83" s="3170"/>
      <c r="AN83" s="3170"/>
      <c r="AO83" s="3170"/>
      <c r="AP83" s="3170"/>
      <c r="AQ83" s="3170"/>
      <c r="AR83" s="3170"/>
      <c r="AS83" s="3170"/>
      <c r="AT83" s="3170"/>
      <c r="AU83" s="3170"/>
      <c r="AV83" s="3170"/>
      <c r="AW83" s="3170"/>
      <c r="AX83" s="3170"/>
      <c r="AY83" s="3170"/>
      <c r="AZ83" s="3170"/>
      <c r="BA83" s="3170"/>
      <c r="BB83" s="3170"/>
      <c r="BC83" s="3170"/>
      <c r="BD83" s="3170"/>
      <c r="BE83" s="3170"/>
      <c r="BF83" s="3170"/>
      <c r="BG83" s="3170"/>
      <c r="BH83" s="3170"/>
      <c r="BI83" s="3170"/>
      <c r="BJ83" s="3170"/>
      <c r="BK83" s="3170"/>
      <c r="BL83" s="3170"/>
      <c r="BM83" s="3170"/>
      <c r="BN83" s="3170"/>
      <c r="BO83" s="3170"/>
      <c r="BP83" s="3170"/>
      <c r="BQ83" s="3170"/>
      <c r="BR83" s="3170"/>
      <c r="BS83" s="3170"/>
      <c r="BT83" s="3170"/>
      <c r="BU83" s="3170"/>
      <c r="BV83" s="3170"/>
      <c r="BW83" s="3170"/>
      <c r="BX83" s="3170"/>
    </row>
    <row r="84" spans="1:98" ht="13.8" thickTop="1"/>
    <row r="85" spans="1:98" ht="13.2">
      <c r="A85" s="786"/>
      <c r="C85" s="334"/>
      <c r="Z85" s="612"/>
      <c r="AA85" s="612"/>
      <c r="AB85" s="612"/>
      <c r="AC85" s="612"/>
      <c r="AD85" s="612"/>
      <c r="AE85" s="612"/>
      <c r="AF85" s="612"/>
      <c r="AG85" s="612"/>
      <c r="AH85" s="612"/>
    </row>
    <row r="86" spans="1:98" ht="13.2">
      <c r="D86" s="334"/>
      <c r="Z86" s="612"/>
      <c r="AA86" s="612"/>
      <c r="AB86" s="3171"/>
      <c r="AC86" s="3171"/>
      <c r="AD86" s="3171"/>
      <c r="AE86" s="3171"/>
      <c r="AF86" s="3171"/>
      <c r="AG86" s="612"/>
      <c r="AH86" s="612"/>
    </row>
    <row r="87" spans="1:98" ht="13.8" thickBot="1">
      <c r="D87" s="334"/>
      <c r="Z87" s="612"/>
      <c r="AA87" s="612"/>
      <c r="AB87" s="3169"/>
      <c r="AC87" s="3169"/>
      <c r="AD87" s="3169"/>
      <c r="AE87" s="3169"/>
      <c r="AF87" s="3169"/>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8" thickTop="1">
      <c r="Z88" s="612"/>
      <c r="AA88" s="612"/>
      <c r="AB88" s="612"/>
      <c r="AC88" s="612"/>
      <c r="AD88" s="612"/>
      <c r="AE88" s="612"/>
      <c r="AF88" s="612"/>
      <c r="AG88" s="612"/>
      <c r="AH88" s="612"/>
    </row>
    <row r="89" spans="1:98" ht="13.2" hidden="1"/>
    <row r="90" spans="1:98" ht="13.2" hidden="1"/>
    <row r="91" spans="1:98" ht="13.2" hidden="1"/>
    <row r="92" spans="1:98" ht="13.2" hidden="1"/>
    <row r="93" spans="1:98" ht="13.2"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5" zoomScaleNormal="100" zoomScaleSheetLayoutView="100" workbookViewId="0">
      <selection activeCell="C65" sqref="C65"/>
    </sheetView>
  </sheetViews>
  <sheetFormatPr defaultColWidth="0" defaultRowHeight="13.2" zeroHeight="1"/>
  <cols>
    <col min="1" max="1" width="3.6640625" customWidth="1"/>
    <col min="2" max="2" width="27.6640625" customWidth="1"/>
    <col min="3" max="3" width="9.10937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2732</v>
      </c>
      <c r="B1" s="340"/>
    </row>
    <row r="2" spans="1:34"/>
    <row r="3" spans="1:34" ht="15.6">
      <c r="A3" s="341" t="s">
        <v>864</v>
      </c>
      <c r="B3" s="341"/>
      <c r="C3" s="368" t="s">
        <v>865</v>
      </c>
      <c r="D3" s="343"/>
      <c r="E3" s="369" t="s">
        <v>866</v>
      </c>
      <c r="F3" s="324"/>
      <c r="G3" s="369" t="s">
        <v>867</v>
      </c>
      <c r="H3" s="324"/>
      <c r="I3" s="369" t="s">
        <v>868</v>
      </c>
      <c r="J3" s="324"/>
      <c r="K3" s="369" t="s">
        <v>869</v>
      </c>
      <c r="L3" s="324"/>
      <c r="M3" s="369" t="s">
        <v>870</v>
      </c>
      <c r="N3" s="324"/>
      <c r="O3" s="369" t="s">
        <v>871</v>
      </c>
      <c r="P3" s="324"/>
      <c r="Q3" s="369" t="s">
        <v>872</v>
      </c>
      <c r="R3" s="324"/>
      <c r="S3" s="369" t="s">
        <v>873</v>
      </c>
      <c r="T3" s="324"/>
      <c r="U3" s="369" t="s">
        <v>874</v>
      </c>
      <c r="V3" s="324"/>
      <c r="W3" s="369" t="s">
        <v>875</v>
      </c>
      <c r="X3" s="324"/>
      <c r="Y3" s="369" t="s">
        <v>876</v>
      </c>
      <c r="Z3" s="324"/>
      <c r="AA3" s="369" t="s">
        <v>877</v>
      </c>
      <c r="AB3" s="324"/>
      <c r="AC3" s="369" t="s">
        <v>878</v>
      </c>
      <c r="AD3" s="324"/>
      <c r="AE3" s="369" t="s">
        <v>879</v>
      </c>
      <c r="AF3" s="324"/>
      <c r="AG3" s="369" t="s">
        <v>880</v>
      </c>
      <c r="AH3" s="343"/>
    </row>
    <row r="4" spans="1:34" s="351" customFormat="1" ht="13.8">
      <c r="A4" s="351" t="s">
        <v>882</v>
      </c>
      <c r="C4" s="371">
        <v>1.0249999999999999</v>
      </c>
      <c r="E4" s="351">
        <f>Application!Y799</f>
        <v>1835148</v>
      </c>
      <c r="G4" s="351">
        <f>E4*$C$4</f>
        <v>1881026.6999999997</v>
      </c>
      <c r="I4" s="351">
        <f>G4*$C$4</f>
        <v>1928052.3674999995</v>
      </c>
      <c r="K4" s="351">
        <f>I4*$C$4</f>
        <v>1976253.6766874993</v>
      </c>
      <c r="M4" s="351">
        <f>K4*$C$4</f>
        <v>2025660.0186046865</v>
      </c>
      <c r="O4" s="351">
        <f>M4*$C$4</f>
        <v>2076301.5190698034</v>
      </c>
      <c r="Q4" s="351">
        <f>O4*$C$4</f>
        <v>2128209.0570465485</v>
      </c>
      <c r="S4" s="351">
        <f>Q4*$C$4</f>
        <v>2181414.2834727122</v>
      </c>
      <c r="U4" s="351">
        <f>S4*$C$4</f>
        <v>2235949.6405595299</v>
      </c>
      <c r="W4" s="351">
        <f>U4*$C$4</f>
        <v>2291848.3815735178</v>
      </c>
      <c r="Y4" s="351">
        <f>W4*$C$4</f>
        <v>2349144.5911128554</v>
      </c>
      <c r="AA4" s="351">
        <f>Y4*$C$4</f>
        <v>2407873.2058906765</v>
      </c>
      <c r="AC4" s="351">
        <f>AA4*$C$4</f>
        <v>2468070.0360379433</v>
      </c>
      <c r="AE4" s="351">
        <f>AC4*$C$4</f>
        <v>2529771.7869388917</v>
      </c>
      <c r="AG4" s="351">
        <f>AE4*$C$4</f>
        <v>2593016.0816123639</v>
      </c>
    </row>
    <row r="5" spans="1:34" s="339" customFormat="1" ht="13.8">
      <c r="B5" s="339" t="s">
        <v>883</v>
      </c>
      <c r="C5" s="372">
        <f>IF(Application!$D$210="Special Needs",0.1,0.05)</f>
        <v>0.05</v>
      </c>
      <c r="E5" s="353">
        <f>-E4*$C$5</f>
        <v>-91757.400000000009</v>
      </c>
      <c r="F5" s="353"/>
      <c r="G5" s="353">
        <f>-G4*$C$5</f>
        <v>-94051.334999999992</v>
      </c>
      <c r="H5" s="353"/>
      <c r="I5" s="353">
        <f>-I4*$C$5</f>
        <v>-96402.618374999976</v>
      </c>
      <c r="J5" s="353"/>
      <c r="K5" s="353">
        <f>-K4*$C$5</f>
        <v>-98812.68383437497</v>
      </c>
      <c r="L5" s="353"/>
      <c r="M5" s="353">
        <f>-M4*$C$5</f>
        <v>-101283.00093023432</v>
      </c>
      <c r="N5" s="353"/>
      <c r="O5" s="353">
        <f>-O4*$C$5</f>
        <v>-103815.07595349017</v>
      </c>
      <c r="P5" s="353"/>
      <c r="Q5" s="353">
        <f>-Q4*$C$5</f>
        <v>-106410.45285232743</v>
      </c>
      <c r="R5" s="353"/>
      <c r="S5" s="353">
        <f>-S4*$C$5</f>
        <v>-109070.71417363561</v>
      </c>
      <c r="T5" s="353"/>
      <c r="U5" s="353">
        <f>-U4*$C$5</f>
        <v>-111797.4820279765</v>
      </c>
      <c r="V5" s="353"/>
      <c r="W5" s="353">
        <f>-W4*$C$5</f>
        <v>-114592.4190786759</v>
      </c>
      <c r="X5" s="353"/>
      <c r="Y5" s="353">
        <f>-Y4*$C$5</f>
        <v>-117457.22955564277</v>
      </c>
      <c r="Z5" s="353"/>
      <c r="AA5" s="353">
        <f>-AA4*$C$5</f>
        <v>-120393.66029453382</v>
      </c>
      <c r="AB5" s="353"/>
      <c r="AC5" s="353">
        <f>-AC4*$C$5</f>
        <v>-123403.50180189718</v>
      </c>
      <c r="AD5" s="353"/>
      <c r="AE5" s="353">
        <f>-AE4*$C$5</f>
        <v>-126488.58934694459</v>
      </c>
      <c r="AF5" s="353"/>
      <c r="AG5" s="353">
        <f>-AG4*$C$5</f>
        <v>-129650.8040806182</v>
      </c>
    </row>
    <row r="6" spans="1:34" s="339" customFormat="1" ht="13.8">
      <c r="A6" s="339" t="s">
        <v>881</v>
      </c>
      <c r="C6" s="371">
        <v>1.0249999999999999</v>
      </c>
      <c r="E6" s="354">
        <f>Application!Z807</f>
        <v>310488</v>
      </c>
      <c r="F6" s="354"/>
      <c r="G6" s="354">
        <f>E6*$C$6</f>
        <v>318250.19999999995</v>
      </c>
      <c r="H6" s="354"/>
      <c r="I6" s="354">
        <f>G6*$C$6</f>
        <v>326206.4549999999</v>
      </c>
      <c r="J6" s="354"/>
      <c r="K6" s="354">
        <f>I6*$C$6</f>
        <v>334361.61637499987</v>
      </c>
      <c r="L6" s="354"/>
      <c r="M6" s="354">
        <f>K6*$C$6</f>
        <v>342720.65678437485</v>
      </c>
      <c r="N6" s="354"/>
      <c r="O6" s="354">
        <f>M6*$C$6</f>
        <v>351288.67320398422</v>
      </c>
      <c r="P6" s="354"/>
      <c r="Q6" s="354">
        <f>O6*$C$6</f>
        <v>360070.8900340838</v>
      </c>
      <c r="R6" s="354"/>
      <c r="S6" s="354">
        <f>Q6*$C$6</f>
        <v>369072.66228493588</v>
      </c>
      <c r="T6" s="354"/>
      <c r="U6" s="354">
        <f>S6*$C$6</f>
        <v>378299.47884205927</v>
      </c>
      <c r="V6" s="354"/>
      <c r="W6" s="354">
        <f>U6*$C$6</f>
        <v>387756.9658131107</v>
      </c>
      <c r="X6" s="354"/>
      <c r="Y6" s="354">
        <f>W6*$C$6</f>
        <v>397450.88995843841</v>
      </c>
      <c r="Z6" s="354"/>
      <c r="AA6" s="354">
        <f>Y6*$C$6</f>
        <v>407387.16220739932</v>
      </c>
      <c r="AB6" s="354"/>
      <c r="AC6" s="354">
        <f>AA6*$C$6</f>
        <v>417571.84126258426</v>
      </c>
      <c r="AD6" s="354"/>
      <c r="AE6" s="354">
        <f>AC6*$C$6</f>
        <v>428011.13729414885</v>
      </c>
      <c r="AF6" s="354"/>
      <c r="AG6" s="354">
        <f>AE6*$C$6</f>
        <v>438711.41572650254</v>
      </c>
    </row>
    <row r="7" spans="1:34" s="339" customFormat="1" ht="13.8">
      <c r="B7" s="339" t="s">
        <v>883</v>
      </c>
      <c r="C7" s="372">
        <f>IF(Application!$D$210="Special Needs",0.1,0.05)</f>
        <v>0.05</v>
      </c>
      <c r="E7" s="353">
        <f>-E6*$C$7</f>
        <v>-15524.400000000001</v>
      </c>
      <c r="F7" s="353"/>
      <c r="G7" s="353">
        <f>-G6*$C$7</f>
        <v>-15912.509999999998</v>
      </c>
      <c r="H7" s="353"/>
      <c r="I7" s="353">
        <f>-I6*$C$7</f>
        <v>-16310.322749999996</v>
      </c>
      <c r="J7" s="353"/>
      <c r="K7" s="353">
        <f>-K6*$C$7</f>
        <v>-16718.080818749993</v>
      </c>
      <c r="L7" s="353"/>
      <c r="M7" s="353">
        <f>-M6*$C$7</f>
        <v>-17136.032839218744</v>
      </c>
      <c r="N7" s="353"/>
      <c r="O7" s="353">
        <f>-O6*$C$7</f>
        <v>-17564.433660199211</v>
      </c>
      <c r="P7" s="353"/>
      <c r="Q7" s="353">
        <f>-Q6*$C$7</f>
        <v>-18003.544501704189</v>
      </c>
      <c r="R7" s="353"/>
      <c r="S7" s="353">
        <f>-S6*$C$7</f>
        <v>-18453.633114246793</v>
      </c>
      <c r="T7" s="353"/>
      <c r="U7" s="353">
        <f>-U6*$C$7</f>
        <v>-18914.973942102963</v>
      </c>
      <c r="V7" s="353"/>
      <c r="W7" s="353">
        <f>-W6*$C$7</f>
        <v>-19387.848290655536</v>
      </c>
      <c r="X7" s="353"/>
      <c r="Y7" s="353">
        <f>-Y6*$C$7</f>
        <v>-19872.544497921921</v>
      </c>
      <c r="Z7" s="353"/>
      <c r="AA7" s="353">
        <f>-AA6*$C$7</f>
        <v>-20369.358110369969</v>
      </c>
      <c r="AB7" s="353"/>
      <c r="AC7" s="353">
        <f>-AC6*$C$7</f>
        <v>-20878.592063129214</v>
      </c>
      <c r="AD7" s="353"/>
      <c r="AE7" s="353">
        <f>-AE6*$C$7</f>
        <v>-21400.556864707443</v>
      </c>
      <c r="AF7" s="353"/>
      <c r="AG7" s="353">
        <f>-AG6*$C$7</f>
        <v>-21935.57078632513</v>
      </c>
    </row>
    <row r="8" spans="1:34" s="339" customFormat="1" ht="13.8">
      <c r="A8" s="339" t="s">
        <v>293</v>
      </c>
      <c r="C8" s="371">
        <v>1.0249999999999999</v>
      </c>
      <c r="E8" s="354">
        <f>Application!Z815</f>
        <v>6240</v>
      </c>
      <c r="F8" s="354"/>
      <c r="G8" s="354">
        <f>E8*$C$8</f>
        <v>6395.9999999999991</v>
      </c>
      <c r="H8" s="354"/>
      <c r="I8" s="354">
        <f>G8*$C$8</f>
        <v>6555.8999999999987</v>
      </c>
      <c r="J8" s="354"/>
      <c r="K8" s="354">
        <f>I8*$C$8</f>
        <v>6719.7974999999979</v>
      </c>
      <c r="L8" s="354"/>
      <c r="M8" s="354">
        <f>K8*$C$8</f>
        <v>6887.7924374999975</v>
      </c>
      <c r="N8" s="354"/>
      <c r="O8" s="354">
        <f>M8*$C$8</f>
        <v>7059.9872484374964</v>
      </c>
      <c r="P8" s="354"/>
      <c r="Q8" s="354">
        <f>O8*$C$8</f>
        <v>7236.486929648433</v>
      </c>
      <c r="R8" s="354"/>
      <c r="S8" s="354">
        <f>Q8*$C$8</f>
        <v>7417.3991028896435</v>
      </c>
      <c r="T8" s="354"/>
      <c r="U8" s="354">
        <f>S8*$C$8</f>
        <v>7602.8340804618838</v>
      </c>
      <c r="V8" s="354"/>
      <c r="W8" s="354">
        <f>U8*$C$8</f>
        <v>7792.9049324734306</v>
      </c>
      <c r="X8" s="354"/>
      <c r="Y8" s="354">
        <f>W8*$C$8</f>
        <v>7987.7275557852654</v>
      </c>
      <c r="Z8" s="354"/>
      <c r="AA8" s="354">
        <f>Y8*$C$8</f>
        <v>8187.4207446798964</v>
      </c>
      <c r="AB8" s="354"/>
      <c r="AC8" s="354">
        <f>AA8*$C$8</f>
        <v>8392.1062632968933</v>
      </c>
      <c r="AD8" s="354"/>
      <c r="AE8" s="354">
        <f>AC8*$C$8</f>
        <v>8601.9089198793154</v>
      </c>
      <c r="AF8" s="354"/>
      <c r="AG8" s="354">
        <f>AE8*$C$8</f>
        <v>8816.9566428762973</v>
      </c>
    </row>
    <row r="9" spans="1:34" s="339" customFormat="1" ht="13.8">
      <c r="B9" s="339" t="s">
        <v>883</v>
      </c>
      <c r="C9" s="372">
        <f>IF(Application!$D$210="Special Needs",0.1,0.05)</f>
        <v>0.05</v>
      </c>
      <c r="E9" s="370">
        <f>-E8*$C$9</f>
        <v>-312</v>
      </c>
      <c r="F9" s="353"/>
      <c r="G9" s="370">
        <f>-G8*$C$9</f>
        <v>-319.79999999999995</v>
      </c>
      <c r="H9" s="353"/>
      <c r="I9" s="370">
        <f>-I8*$C$9</f>
        <v>-327.79499999999996</v>
      </c>
      <c r="J9" s="353"/>
      <c r="K9" s="370">
        <f>-K8*$C$9</f>
        <v>-335.98987499999993</v>
      </c>
      <c r="L9" s="353"/>
      <c r="M9" s="370">
        <f>-M8*$C$9</f>
        <v>-344.38962187499988</v>
      </c>
      <c r="N9" s="353"/>
      <c r="O9" s="370">
        <f>-O8*$C$9</f>
        <v>-352.99936242187482</v>
      </c>
      <c r="P9" s="353"/>
      <c r="Q9" s="370">
        <f>-Q8*$C$9</f>
        <v>-361.82434648242167</v>
      </c>
      <c r="R9" s="353"/>
      <c r="S9" s="370">
        <f>-S8*$C$9</f>
        <v>-370.86995514448222</v>
      </c>
      <c r="T9" s="353"/>
      <c r="U9" s="370">
        <f>-U8*$C$9</f>
        <v>-380.14170402309423</v>
      </c>
      <c r="V9" s="353"/>
      <c r="W9" s="370">
        <f>-W8*$C$9</f>
        <v>-389.64524662367154</v>
      </c>
      <c r="X9" s="353"/>
      <c r="Y9" s="370">
        <f>-Y8*$C$9</f>
        <v>-399.38637778926329</v>
      </c>
      <c r="Z9" s="353"/>
      <c r="AA9" s="370">
        <f>-AA8*$C$9</f>
        <v>-409.37103723399485</v>
      </c>
      <c r="AB9" s="353"/>
      <c r="AC9" s="370">
        <f>-AC8*$C$9</f>
        <v>-419.60531316484469</v>
      </c>
      <c r="AD9" s="353"/>
      <c r="AE9" s="370">
        <f>-AE8*$C$9</f>
        <v>-430.09544599396577</v>
      </c>
      <c r="AF9" s="353"/>
      <c r="AG9" s="370">
        <f>-AG8*$C$9</f>
        <v>-440.84783214381491</v>
      </c>
    </row>
    <row r="10" spans="1:34" s="355" customFormat="1" ht="13.8">
      <c r="A10" s="355" t="s">
        <v>904</v>
      </c>
      <c r="C10" s="346"/>
      <c r="E10" s="355">
        <f>SUM(E4:E9)</f>
        <v>2044282.2000000002</v>
      </c>
      <c r="G10" s="355">
        <f>SUM(G4:G9)</f>
        <v>2095389.2549999994</v>
      </c>
      <c r="I10" s="355">
        <f>SUM(I4:I9)</f>
        <v>2147773.9863749994</v>
      </c>
      <c r="K10" s="355">
        <f>SUM(K4:K9)</f>
        <v>2201468.3360343743</v>
      </c>
      <c r="M10" s="355">
        <f>SUM(M4:M9)</f>
        <v>2256505.0444352333</v>
      </c>
      <c r="O10" s="355">
        <f>SUM(O4:O9)</f>
        <v>2312917.670546114</v>
      </c>
      <c r="Q10" s="355">
        <f>SUM(Q4:Q9)</f>
        <v>2370740.6123097669</v>
      </c>
      <c r="S10" s="355">
        <f>SUM(S4:S9)</f>
        <v>2430009.127617511</v>
      </c>
      <c r="U10" s="355">
        <f>SUM(U4:U9)</f>
        <v>2490759.3558079489</v>
      </c>
      <c r="W10" s="355">
        <f>SUM(W4:W9)</f>
        <v>2553028.3397031464</v>
      </c>
      <c r="Y10" s="355">
        <f>SUM(Y4:Y9)</f>
        <v>2616854.0481957253</v>
      </c>
      <c r="AA10" s="355">
        <f>SUM(AA4:AA9)</f>
        <v>2682275.3994006179</v>
      </c>
      <c r="AC10" s="355">
        <f>SUM(AC4:AC9)</f>
        <v>2749332.2843856327</v>
      </c>
      <c r="AE10" s="355">
        <f>SUM(AE4:AE9)</f>
        <v>2818065.5914952746</v>
      </c>
      <c r="AG10" s="355">
        <f>SUM(AG4:AG9)</f>
        <v>2888517.2312826556</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
      <c r="A12" s="341" t="s">
        <v>884</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3.8">
      <c r="A13" s="339" t="s">
        <v>885</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3.8">
      <c r="A14" s="351" t="s">
        <v>886</v>
      </c>
      <c r="C14" s="366"/>
      <c r="E14" s="351">
        <f>Application!W845</f>
        <v>222957</v>
      </c>
      <c r="G14" s="351">
        <f>E14*$C$13</f>
        <v>230760.495</v>
      </c>
      <c r="I14" s="351">
        <f>G14*$C$13</f>
        <v>238837.11232499997</v>
      </c>
      <c r="K14" s="351">
        <f>I14*$C$13</f>
        <v>247196.41125637494</v>
      </c>
      <c r="M14" s="351">
        <f>K14*$C$13</f>
        <v>255848.28565034803</v>
      </c>
      <c r="O14" s="351">
        <f>M14*$C$13</f>
        <v>264802.97564811021</v>
      </c>
      <c r="Q14" s="351">
        <f>O14*$C$13</f>
        <v>274071.07979579404</v>
      </c>
      <c r="S14" s="351">
        <f>Q14*$C$13</f>
        <v>283663.56758864678</v>
      </c>
      <c r="U14" s="351">
        <f>S14*$C$13</f>
        <v>293591.7924542494</v>
      </c>
      <c r="W14" s="351">
        <f>U14*$C$13</f>
        <v>303867.50519014813</v>
      </c>
      <c r="Y14" s="351">
        <f>W14*$C$13</f>
        <v>314502.86787180329</v>
      </c>
      <c r="AA14" s="351">
        <f>Y14*$C$13</f>
        <v>325510.46824731637</v>
      </c>
      <c r="AC14" s="351">
        <f>AA14*$C$13</f>
        <v>336903.33463597239</v>
      </c>
      <c r="AE14" s="351">
        <f>AC14*$C$13</f>
        <v>348694.95134823141</v>
      </c>
      <c r="AG14" s="351">
        <f>AE14*$C$13</f>
        <v>360899.2746454195</v>
      </c>
    </row>
    <row r="15" spans="1:34" s="339" customFormat="1" ht="13.8">
      <c r="A15" s="339" t="s">
        <v>350</v>
      </c>
      <c r="C15" s="365"/>
      <c r="E15" s="354">
        <f>Application!W847</f>
        <v>87360</v>
      </c>
      <c r="F15" s="354"/>
      <c r="G15" s="354">
        <f t="shared" ref="G15:AG20" si="0">E15*$C$13</f>
        <v>90417.599999999991</v>
      </c>
      <c r="H15" s="354"/>
      <c r="I15" s="354">
        <f t="shared" si="0"/>
        <v>93582.215999999986</v>
      </c>
      <c r="J15" s="354"/>
      <c r="K15" s="354">
        <f t="shared" si="0"/>
        <v>96857.593559999979</v>
      </c>
      <c r="L15" s="354"/>
      <c r="M15" s="354">
        <f t="shared" si="0"/>
        <v>100247.60933459997</v>
      </c>
      <c r="N15" s="354"/>
      <c r="O15" s="354">
        <f t="shared" si="0"/>
        <v>103756.27566131097</v>
      </c>
      <c r="P15" s="354"/>
      <c r="Q15" s="354">
        <f t="shared" si="0"/>
        <v>107387.74530945685</v>
      </c>
      <c r="R15" s="354"/>
      <c r="S15" s="354">
        <f t="shared" si="0"/>
        <v>111146.31639528782</v>
      </c>
      <c r="T15" s="354"/>
      <c r="U15" s="354">
        <f t="shared" si="0"/>
        <v>115036.43746912289</v>
      </c>
      <c r="V15" s="354"/>
      <c r="W15" s="354">
        <f t="shared" si="0"/>
        <v>119062.71278054218</v>
      </c>
      <c r="X15" s="354"/>
      <c r="Y15" s="354">
        <f t="shared" si="0"/>
        <v>123229.90772786114</v>
      </c>
      <c r="Z15" s="354"/>
      <c r="AA15" s="354">
        <f t="shared" si="0"/>
        <v>127542.95449833627</v>
      </c>
      <c r="AB15" s="354"/>
      <c r="AC15" s="354">
        <f t="shared" si="0"/>
        <v>132006.95790577802</v>
      </c>
      <c r="AD15" s="354"/>
      <c r="AE15" s="354">
        <f t="shared" si="0"/>
        <v>136627.20143248024</v>
      </c>
      <c r="AF15" s="354"/>
      <c r="AG15" s="354">
        <f t="shared" si="0"/>
        <v>141409.15348261705</v>
      </c>
    </row>
    <row r="16" spans="1:34" s="339" customFormat="1" ht="13.8">
      <c r="A16" s="339" t="s">
        <v>585</v>
      </c>
      <c r="C16" s="365"/>
      <c r="E16" s="354">
        <f>Application!W853</f>
        <v>227787</v>
      </c>
      <c r="F16" s="354"/>
      <c r="G16" s="354">
        <f t="shared" si="0"/>
        <v>235759.54499999998</v>
      </c>
      <c r="H16" s="354"/>
      <c r="I16" s="354">
        <f t="shared" si="0"/>
        <v>244011.12907499998</v>
      </c>
      <c r="J16" s="354"/>
      <c r="K16" s="354">
        <f t="shared" si="0"/>
        <v>252551.51859262495</v>
      </c>
      <c r="L16" s="354"/>
      <c r="M16" s="354">
        <f t="shared" si="0"/>
        <v>261390.8217433668</v>
      </c>
      <c r="N16" s="354"/>
      <c r="O16" s="354">
        <f t="shared" si="0"/>
        <v>270539.50050438463</v>
      </c>
      <c r="P16" s="354"/>
      <c r="Q16" s="354">
        <f t="shared" si="0"/>
        <v>280008.38302203809</v>
      </c>
      <c r="R16" s="354"/>
      <c r="S16" s="354">
        <f t="shared" si="0"/>
        <v>289808.67642780941</v>
      </c>
      <c r="T16" s="354"/>
      <c r="U16" s="354">
        <f t="shared" si="0"/>
        <v>299951.98010278272</v>
      </c>
      <c r="V16" s="354"/>
      <c r="W16" s="354">
        <f t="shared" si="0"/>
        <v>310450.2994063801</v>
      </c>
      <c r="X16" s="354"/>
      <c r="Y16" s="354">
        <f t="shared" si="0"/>
        <v>321316.05988560338</v>
      </c>
      <c r="Z16" s="354"/>
      <c r="AA16" s="354">
        <f t="shared" si="0"/>
        <v>332562.12198159948</v>
      </c>
      <c r="AB16" s="354"/>
      <c r="AC16" s="354">
        <f t="shared" si="0"/>
        <v>344201.79625095543</v>
      </c>
      <c r="AD16" s="354"/>
      <c r="AE16" s="354">
        <f t="shared" si="0"/>
        <v>356248.85911973886</v>
      </c>
      <c r="AF16" s="354"/>
      <c r="AG16" s="354">
        <f t="shared" si="0"/>
        <v>368717.56918892969</v>
      </c>
    </row>
    <row r="17" spans="1:33" s="339" customFormat="1" ht="13.8">
      <c r="A17" s="339" t="s">
        <v>887</v>
      </c>
      <c r="C17" s="365"/>
      <c r="E17" s="354">
        <f>Application!W860</f>
        <v>395951</v>
      </c>
      <c r="F17" s="354"/>
      <c r="G17" s="354">
        <f t="shared" si="0"/>
        <v>409809.28499999997</v>
      </c>
      <c r="H17" s="354"/>
      <c r="I17" s="354">
        <f t="shared" si="0"/>
        <v>424152.60997499991</v>
      </c>
      <c r="J17" s="354"/>
      <c r="K17" s="354">
        <f t="shared" si="0"/>
        <v>438997.95132412488</v>
      </c>
      <c r="L17" s="354"/>
      <c r="M17" s="354">
        <f t="shared" si="0"/>
        <v>454362.87962046923</v>
      </c>
      <c r="N17" s="354"/>
      <c r="O17" s="354">
        <f t="shared" si="0"/>
        <v>470265.5804071856</v>
      </c>
      <c r="P17" s="354"/>
      <c r="Q17" s="354">
        <f t="shared" si="0"/>
        <v>486724.87572143704</v>
      </c>
      <c r="R17" s="354"/>
      <c r="S17" s="354">
        <f t="shared" si="0"/>
        <v>503760.24637168727</v>
      </c>
      <c r="T17" s="354"/>
      <c r="U17" s="354">
        <f t="shared" si="0"/>
        <v>521391.85499469627</v>
      </c>
      <c r="V17" s="354"/>
      <c r="W17" s="354">
        <f t="shared" si="0"/>
        <v>539640.56991951063</v>
      </c>
      <c r="X17" s="354"/>
      <c r="Y17" s="354">
        <f t="shared" si="0"/>
        <v>558527.9898666935</v>
      </c>
      <c r="Z17" s="354"/>
      <c r="AA17" s="354">
        <f t="shared" si="0"/>
        <v>578076.46951202769</v>
      </c>
      <c r="AB17" s="354"/>
      <c r="AC17" s="354">
        <f t="shared" si="0"/>
        <v>598309.14594494866</v>
      </c>
      <c r="AD17" s="354"/>
      <c r="AE17" s="354">
        <f t="shared" si="0"/>
        <v>619249.96605302184</v>
      </c>
      <c r="AF17" s="354"/>
      <c r="AG17" s="354">
        <f t="shared" si="0"/>
        <v>640923.71486487752</v>
      </c>
    </row>
    <row r="18" spans="1:33" s="339" customFormat="1" ht="13.8">
      <c r="A18" s="339" t="s">
        <v>160</v>
      </c>
      <c r="C18" s="365"/>
      <c r="E18" s="354">
        <f>Application!W861</f>
        <v>170000</v>
      </c>
      <c r="F18" s="354"/>
      <c r="G18" s="354">
        <f t="shared" si="0"/>
        <v>175950</v>
      </c>
      <c r="H18" s="354"/>
      <c r="I18" s="354">
        <f t="shared" si="0"/>
        <v>182108.25</v>
      </c>
      <c r="J18" s="354"/>
      <c r="K18" s="354">
        <f t="shared" si="0"/>
        <v>188482.03874999998</v>
      </c>
      <c r="L18" s="354"/>
      <c r="M18" s="354">
        <f t="shared" si="0"/>
        <v>195078.91010624997</v>
      </c>
      <c r="N18" s="354"/>
      <c r="O18" s="354">
        <f t="shared" si="0"/>
        <v>201906.67195996869</v>
      </c>
      <c r="P18" s="354"/>
      <c r="Q18" s="354">
        <f t="shared" si="0"/>
        <v>208973.40547856758</v>
      </c>
      <c r="R18" s="354"/>
      <c r="S18" s="354">
        <f t="shared" si="0"/>
        <v>216287.47467031743</v>
      </c>
      <c r="T18" s="354"/>
      <c r="U18" s="354">
        <f t="shared" si="0"/>
        <v>223857.53628377852</v>
      </c>
      <c r="V18" s="354"/>
      <c r="W18" s="354">
        <f t="shared" si="0"/>
        <v>231692.55005371076</v>
      </c>
      <c r="X18" s="354"/>
      <c r="Y18" s="354">
        <f t="shared" si="0"/>
        <v>239801.78930559062</v>
      </c>
      <c r="Z18" s="354"/>
      <c r="AA18" s="354">
        <f t="shared" si="0"/>
        <v>248194.85193128628</v>
      </c>
      <c r="AB18" s="354"/>
      <c r="AC18" s="354">
        <f t="shared" si="0"/>
        <v>256881.67174888129</v>
      </c>
      <c r="AD18" s="354"/>
      <c r="AE18" s="354">
        <f t="shared" si="0"/>
        <v>265872.53026009211</v>
      </c>
      <c r="AF18" s="354"/>
      <c r="AG18" s="354">
        <f t="shared" si="0"/>
        <v>275178.06881919532</v>
      </c>
    </row>
    <row r="19" spans="1:33" s="339" customFormat="1" ht="13.8">
      <c r="A19" s="339" t="s">
        <v>404</v>
      </c>
      <c r="C19" s="365"/>
      <c r="E19" s="354">
        <f>Application!W870</f>
        <v>170553</v>
      </c>
      <c r="F19" s="354"/>
      <c r="G19" s="354">
        <f t="shared" si="0"/>
        <v>176522.35499999998</v>
      </c>
      <c r="H19" s="354"/>
      <c r="I19" s="354">
        <f t="shared" si="0"/>
        <v>182700.63742499996</v>
      </c>
      <c r="J19" s="354"/>
      <c r="K19" s="354">
        <f t="shared" si="0"/>
        <v>189095.15973487493</v>
      </c>
      <c r="L19" s="354"/>
      <c r="M19" s="354">
        <f t="shared" si="0"/>
        <v>195713.49032559554</v>
      </c>
      <c r="N19" s="354"/>
      <c r="O19" s="354">
        <f t="shared" si="0"/>
        <v>202563.46248699137</v>
      </c>
      <c r="P19" s="354"/>
      <c r="Q19" s="354">
        <f t="shared" si="0"/>
        <v>209653.18367403606</v>
      </c>
      <c r="R19" s="354"/>
      <c r="S19" s="354">
        <f t="shared" si="0"/>
        <v>216991.04510262731</v>
      </c>
      <c r="T19" s="354"/>
      <c r="U19" s="354">
        <f t="shared" si="0"/>
        <v>224585.73168121924</v>
      </c>
      <c r="V19" s="354"/>
      <c r="W19" s="354">
        <f t="shared" si="0"/>
        <v>232446.23229006189</v>
      </c>
      <c r="X19" s="354"/>
      <c r="Y19" s="354">
        <f t="shared" si="0"/>
        <v>240581.85042021403</v>
      </c>
      <c r="Z19" s="354"/>
      <c r="AA19" s="354">
        <f t="shared" si="0"/>
        <v>249002.21518492152</v>
      </c>
      <c r="AB19" s="354"/>
      <c r="AC19" s="354">
        <f t="shared" si="0"/>
        <v>257717.29271639374</v>
      </c>
      <c r="AD19" s="354"/>
      <c r="AE19" s="354">
        <f t="shared" si="0"/>
        <v>266737.3979614675</v>
      </c>
      <c r="AF19" s="354"/>
      <c r="AG19" s="354">
        <f t="shared" si="0"/>
        <v>276073.20689011883</v>
      </c>
    </row>
    <row r="20" spans="1:33" s="339" customFormat="1" ht="13.8">
      <c r="A20" s="358" t="s">
        <v>1018</v>
      </c>
      <c r="B20" s="358"/>
      <c r="C20" s="365"/>
      <c r="E20" s="364">
        <f>Application!W877</f>
        <v>2500</v>
      </c>
      <c r="F20" s="354"/>
      <c r="G20" s="364">
        <f t="shared" si="0"/>
        <v>2587.5</v>
      </c>
      <c r="H20" s="354"/>
      <c r="I20" s="364">
        <f t="shared" si="0"/>
        <v>2678.0625</v>
      </c>
      <c r="J20" s="354"/>
      <c r="K20" s="364">
        <f t="shared" si="0"/>
        <v>2771.7946874999998</v>
      </c>
      <c r="L20" s="354"/>
      <c r="M20" s="364">
        <f t="shared" si="0"/>
        <v>2868.8075015624995</v>
      </c>
      <c r="N20" s="354"/>
      <c r="O20" s="364">
        <f t="shared" si="0"/>
        <v>2969.2157641171866</v>
      </c>
      <c r="P20" s="354"/>
      <c r="Q20" s="364">
        <f t="shared" si="0"/>
        <v>3073.138315861288</v>
      </c>
      <c r="R20" s="354"/>
      <c r="S20" s="364">
        <f t="shared" si="0"/>
        <v>3180.6981569164327</v>
      </c>
      <c r="T20" s="354"/>
      <c r="U20" s="364">
        <f t="shared" si="0"/>
        <v>3292.0225924085075</v>
      </c>
      <c r="V20" s="354"/>
      <c r="W20" s="364">
        <f t="shared" si="0"/>
        <v>3407.2433831428052</v>
      </c>
      <c r="X20" s="354"/>
      <c r="Y20" s="364">
        <f t="shared" si="0"/>
        <v>3526.4969015528031</v>
      </c>
      <c r="Z20" s="354"/>
      <c r="AA20" s="364">
        <f t="shared" si="0"/>
        <v>3649.9242931071508</v>
      </c>
      <c r="AB20" s="354"/>
      <c r="AC20" s="364">
        <f t="shared" si="0"/>
        <v>3777.6716433659008</v>
      </c>
      <c r="AD20" s="354"/>
      <c r="AE20" s="364">
        <f t="shared" si="0"/>
        <v>3909.8901508837071</v>
      </c>
      <c r="AF20" s="354"/>
      <c r="AG20" s="364">
        <f t="shared" si="0"/>
        <v>4046.7363061646365</v>
      </c>
    </row>
    <row r="21" spans="1:33" s="355" customFormat="1" ht="13.8">
      <c r="A21" s="355" t="s">
        <v>888</v>
      </c>
      <c r="C21" s="365"/>
      <c r="E21" s="355">
        <f>SUM(E14:E20)</f>
        <v>1277108</v>
      </c>
      <c r="G21" s="355">
        <f>SUM(G14:G20)</f>
        <v>1321806.7799999998</v>
      </c>
      <c r="I21" s="355">
        <f>SUM(I14:I20)</f>
        <v>1368070.0172999999</v>
      </c>
      <c r="K21" s="355">
        <f>SUM(K14:K20)</f>
        <v>1415952.4679054997</v>
      </c>
      <c r="M21" s="355">
        <f>SUM(M14:M20)</f>
        <v>1465510.8042821919</v>
      </c>
      <c r="O21" s="355">
        <f>SUM(O14:O20)</f>
        <v>1516803.6824320687</v>
      </c>
      <c r="Q21" s="355">
        <f>SUM(Q14:Q20)</f>
        <v>1569891.811317191</v>
      </c>
      <c r="S21" s="355">
        <f>SUM(S14:S20)</f>
        <v>1624838.0247132925</v>
      </c>
      <c r="U21" s="355">
        <f>SUM(U14:U20)</f>
        <v>1681707.3555782577</v>
      </c>
      <c r="W21" s="355">
        <f>SUM(W14:W20)</f>
        <v>1740567.1130234965</v>
      </c>
      <c r="Y21" s="355">
        <f>SUM(Y14:Y20)</f>
        <v>1801486.9619793189</v>
      </c>
      <c r="AA21" s="355">
        <f>SUM(AA14:AA20)</f>
        <v>1864539.0056485946</v>
      </c>
      <c r="AC21" s="355">
        <f>SUM(AC14:AC20)</f>
        <v>1929797.8708462955</v>
      </c>
      <c r="AE21" s="355">
        <f>SUM(AE14:AE20)</f>
        <v>1997340.7963259157</v>
      </c>
      <c r="AG21" s="355">
        <f>SUM(AG14:AG20)</f>
        <v>2067247.7241973225</v>
      </c>
    </row>
    <row r="22" spans="1:33" s="339" customFormat="1" ht="13.8">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3.8">
      <c r="A23" s="339" t="s">
        <v>1989</v>
      </c>
      <c r="C23" s="371">
        <v>1</v>
      </c>
      <c r="E23" s="970">
        <v>15000</v>
      </c>
      <c r="F23" s="354"/>
      <c r="G23" s="354">
        <f>E23*$C$23</f>
        <v>15000</v>
      </c>
      <c r="H23" s="354"/>
      <c r="I23" s="354">
        <f>G23*$C$23</f>
        <v>15000</v>
      </c>
      <c r="J23" s="354"/>
      <c r="K23" s="354">
        <f>I23*$C$23</f>
        <v>15000</v>
      </c>
      <c r="L23" s="354"/>
      <c r="M23" s="354">
        <f>K23*$C$23</f>
        <v>15000</v>
      </c>
      <c r="N23" s="354"/>
      <c r="O23" s="354">
        <f>M23*$C$23</f>
        <v>15000</v>
      </c>
      <c r="P23" s="354"/>
      <c r="Q23" s="354">
        <f>O23*$C$23</f>
        <v>15000</v>
      </c>
      <c r="R23" s="354"/>
      <c r="S23" s="354">
        <f>Q23*$C$23</f>
        <v>15000</v>
      </c>
      <c r="T23" s="354"/>
      <c r="U23" s="354">
        <f>S23*$C$23</f>
        <v>15000</v>
      </c>
      <c r="V23" s="354"/>
      <c r="W23" s="354">
        <f>U23*$C$23</f>
        <v>15000</v>
      </c>
      <c r="X23" s="354"/>
      <c r="Y23" s="354">
        <f>W23*$C$23</f>
        <v>15000</v>
      </c>
      <c r="Z23" s="354"/>
      <c r="AA23" s="354">
        <f>Y23*$C$23</f>
        <v>15000</v>
      </c>
      <c r="AB23" s="354"/>
      <c r="AC23" s="354">
        <f>AA23*$C$23</f>
        <v>15000</v>
      </c>
      <c r="AD23" s="354"/>
      <c r="AE23" s="354">
        <f>AC23*$C$23</f>
        <v>15000</v>
      </c>
      <c r="AF23" s="354"/>
      <c r="AG23" s="354">
        <f>AE23*$C$23</f>
        <v>15000</v>
      </c>
    </row>
    <row r="24" spans="1:33" s="339" customFormat="1" ht="13.8">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3.8">
      <c r="A25" s="339" t="s">
        <v>1319</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3.8">
      <c r="A26" s="339" t="s">
        <v>890</v>
      </c>
      <c r="C26" s="373">
        <v>1.0349999999999999</v>
      </c>
      <c r="E26" s="354">
        <f>Application!AC886</f>
        <v>204036</v>
      </c>
      <c r="F26" s="354"/>
      <c r="G26" s="354">
        <f>E26*$C$26</f>
        <v>211177.25999999998</v>
      </c>
      <c r="H26" s="354"/>
      <c r="I26" s="354">
        <f>G26*$C$26</f>
        <v>218568.46409999995</v>
      </c>
      <c r="J26" s="354"/>
      <c r="K26" s="354">
        <f>I26*$C$26</f>
        <v>226218.36034349992</v>
      </c>
      <c r="L26" s="354"/>
      <c r="M26" s="354">
        <f>K26*$C$26</f>
        <v>234136.00295552242</v>
      </c>
      <c r="N26" s="354"/>
      <c r="O26" s="354">
        <f>M26*$C$26</f>
        <v>242330.76305896568</v>
      </c>
      <c r="P26" s="354"/>
      <c r="Q26" s="354">
        <f>O26*$C$26</f>
        <v>250812.33976602944</v>
      </c>
      <c r="R26" s="354"/>
      <c r="S26" s="354">
        <f>Q26*$C$26</f>
        <v>259590.77165784047</v>
      </c>
      <c r="T26" s="354"/>
      <c r="U26" s="354">
        <f>S26*$C$26</f>
        <v>268676.44866586488</v>
      </c>
      <c r="V26" s="354"/>
      <c r="W26" s="354">
        <f>U26*$C$26</f>
        <v>278080.12436917011</v>
      </c>
      <c r="X26" s="354"/>
      <c r="Y26" s="354">
        <f>W26*$C$26</f>
        <v>287812.92872209102</v>
      </c>
      <c r="Z26" s="354"/>
      <c r="AA26" s="354">
        <f>Y26*$C$26</f>
        <v>297886.38122736418</v>
      </c>
      <c r="AB26" s="354"/>
      <c r="AC26" s="354">
        <f>AA26*$C$26</f>
        <v>308312.4045703219</v>
      </c>
      <c r="AD26" s="354"/>
      <c r="AE26" s="354">
        <f>AC26*$C$26</f>
        <v>319103.33873028314</v>
      </c>
      <c r="AF26" s="354"/>
      <c r="AG26" s="354">
        <f>AE26*$C$26</f>
        <v>330271.95558584301</v>
      </c>
    </row>
    <row r="27" spans="1:33" s="339" customFormat="1" ht="13.8">
      <c r="A27" s="339" t="s">
        <v>891</v>
      </c>
      <c r="C27" s="373"/>
      <c r="E27" s="354">
        <f>Application!AC887</f>
        <v>56000</v>
      </c>
      <c r="F27" s="354"/>
      <c r="G27" s="354">
        <f>$E$27</f>
        <v>56000</v>
      </c>
      <c r="H27" s="354"/>
      <c r="I27" s="354">
        <f>$E$27</f>
        <v>56000</v>
      </c>
      <c r="J27" s="354"/>
      <c r="K27" s="354">
        <f>$E$27</f>
        <v>56000</v>
      </c>
      <c r="L27" s="354"/>
      <c r="M27" s="354">
        <f>$E$27</f>
        <v>56000</v>
      </c>
      <c r="N27" s="354"/>
      <c r="O27" s="354">
        <f>$E$27</f>
        <v>56000</v>
      </c>
      <c r="P27" s="354"/>
      <c r="Q27" s="354">
        <f>$E$27</f>
        <v>56000</v>
      </c>
      <c r="R27" s="354"/>
      <c r="S27" s="354">
        <f>$E$27</f>
        <v>56000</v>
      </c>
      <c r="T27" s="354"/>
      <c r="U27" s="354">
        <f>$E$27</f>
        <v>56000</v>
      </c>
      <c r="V27" s="354"/>
      <c r="W27" s="354">
        <f>$E$27</f>
        <v>56000</v>
      </c>
      <c r="X27" s="354"/>
      <c r="Y27" s="354">
        <f>$E$27</f>
        <v>56000</v>
      </c>
      <c r="Z27" s="354"/>
      <c r="AA27" s="354">
        <f>$E$27</f>
        <v>56000</v>
      </c>
      <c r="AB27" s="354"/>
      <c r="AC27" s="354">
        <f>$E$27</f>
        <v>56000</v>
      </c>
      <c r="AD27" s="354"/>
      <c r="AE27" s="354">
        <f>$E$27</f>
        <v>56000</v>
      </c>
      <c r="AF27" s="354"/>
      <c r="AG27" s="354">
        <f>$E$27</f>
        <v>56000</v>
      </c>
    </row>
    <row r="28" spans="1:33" s="339" customFormat="1" ht="13.8">
      <c r="A28" s="339" t="s">
        <v>1987</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3.8">
      <c r="A29" s="339" t="s">
        <v>889</v>
      </c>
      <c r="C29" s="371">
        <v>1.02</v>
      </c>
      <c r="E29" s="354">
        <f>Application!AC889</f>
        <v>2500</v>
      </c>
      <c r="F29" s="354"/>
      <c r="G29" s="354">
        <f>E29*$C$29</f>
        <v>2550</v>
      </c>
      <c r="H29" s="354"/>
      <c r="I29" s="354">
        <f>G29*$C$29</f>
        <v>2601</v>
      </c>
      <c r="J29" s="354"/>
      <c r="K29" s="354">
        <f>I29*$C$29</f>
        <v>2653.02</v>
      </c>
      <c r="L29" s="354"/>
      <c r="M29" s="354">
        <f>K29*$C$29</f>
        <v>2706.0803999999998</v>
      </c>
      <c r="N29" s="354"/>
      <c r="O29" s="354">
        <f>M29*$C$29</f>
        <v>2760.2020079999998</v>
      </c>
      <c r="P29" s="354"/>
      <c r="Q29" s="354">
        <f>O29*$C$29</f>
        <v>2815.40604816</v>
      </c>
      <c r="R29" s="354"/>
      <c r="S29" s="354">
        <f>Q29*$C$29</f>
        <v>2871.7141691232</v>
      </c>
      <c r="T29" s="354"/>
      <c r="U29" s="354">
        <f>S29*$C$29</f>
        <v>2929.148452505664</v>
      </c>
      <c r="V29" s="354"/>
      <c r="W29" s="354">
        <f>U29*$C$29</f>
        <v>2987.7314215557772</v>
      </c>
      <c r="X29" s="354"/>
      <c r="Y29" s="354">
        <f>W29*$C$29</f>
        <v>3047.4860499868928</v>
      </c>
      <c r="Z29" s="354"/>
      <c r="AA29" s="354">
        <f>Y29*$C$29</f>
        <v>3108.4357709866308</v>
      </c>
      <c r="AB29" s="354"/>
      <c r="AC29" s="354">
        <f>AA29*$C$29</f>
        <v>3170.6044864063633</v>
      </c>
      <c r="AD29" s="354"/>
      <c r="AE29" s="354">
        <f>AC29*$C$29</f>
        <v>3234.0165761344906</v>
      </c>
      <c r="AF29" s="354"/>
      <c r="AG29" s="354">
        <f>AE29*$C$29</f>
        <v>3298.6969076571804</v>
      </c>
    </row>
    <row r="30" spans="1:33" s="339" customFormat="1" ht="13.8">
      <c r="A30" s="339" t="s">
        <v>1988</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3.8">
      <c r="A31" s="358" t="str">
        <f>Application!C891</f>
        <v>Other (Annual Issuer Fee):</v>
      </c>
      <c r="B31" s="358"/>
      <c r="C31" s="487">
        <v>1</v>
      </c>
      <c r="E31" s="354">
        <f>Application!AC891</f>
        <v>3878.75</v>
      </c>
      <c r="F31" s="354"/>
      <c r="G31" s="354">
        <f>E31*$C$31</f>
        <v>3878.75</v>
      </c>
      <c r="H31" s="354"/>
      <c r="I31" s="354">
        <f>G31*$C$31</f>
        <v>3878.75</v>
      </c>
      <c r="J31" s="354"/>
      <c r="K31" s="354">
        <f>I31*$C$31</f>
        <v>3878.75</v>
      </c>
      <c r="L31" s="354"/>
      <c r="M31" s="354">
        <f>K31*$C$31</f>
        <v>3878.75</v>
      </c>
      <c r="N31" s="354"/>
      <c r="O31" s="354">
        <f>M31*$C$31</f>
        <v>3878.75</v>
      </c>
      <c r="P31" s="354"/>
      <c r="Q31" s="354">
        <f>O31*$C$31</f>
        <v>3878.75</v>
      </c>
      <c r="R31" s="354"/>
      <c r="S31" s="354">
        <f>Q31*$C$31</f>
        <v>3878.75</v>
      </c>
      <c r="T31" s="354"/>
      <c r="U31" s="354">
        <f>S31*$C$31</f>
        <v>3878.75</v>
      </c>
      <c r="V31" s="354"/>
      <c r="W31" s="354">
        <f>U31*$C$31</f>
        <v>3878.75</v>
      </c>
      <c r="X31" s="354"/>
      <c r="Y31" s="354">
        <f>W31*$C$31</f>
        <v>3878.75</v>
      </c>
      <c r="Z31" s="354"/>
      <c r="AA31" s="354">
        <f>Y31*$C$31</f>
        <v>3878.75</v>
      </c>
      <c r="AB31" s="354"/>
      <c r="AC31" s="354">
        <f>AA31*$C$31</f>
        <v>3878.75</v>
      </c>
      <c r="AD31" s="354"/>
      <c r="AE31" s="354">
        <f>AC31*$C$31</f>
        <v>3878.75</v>
      </c>
      <c r="AF31" s="354"/>
      <c r="AG31" s="354">
        <f>AE31*$C$31</f>
        <v>3878.75</v>
      </c>
    </row>
    <row r="32" spans="1:33" s="339" customFormat="1" ht="13.8">
      <c r="A32" s="358" t="str">
        <f>Application!C892</f>
        <v>Other (Annual Trustee Fee):</v>
      </c>
      <c r="B32" s="358"/>
      <c r="C32" s="487">
        <v>1</v>
      </c>
      <c r="E32" s="354">
        <f>Application!AC892</f>
        <v>3500</v>
      </c>
      <c r="F32" s="354"/>
      <c r="G32" s="354">
        <f>E32*$C$32</f>
        <v>3500</v>
      </c>
      <c r="H32" s="354"/>
      <c r="I32" s="354">
        <f>G32*$C$32</f>
        <v>3500</v>
      </c>
      <c r="J32" s="354"/>
      <c r="K32" s="354">
        <f>I32*$C$32</f>
        <v>3500</v>
      </c>
      <c r="L32" s="354"/>
      <c r="M32" s="354">
        <f>K32*$C$32</f>
        <v>3500</v>
      </c>
      <c r="N32" s="354"/>
      <c r="O32" s="354">
        <f>M32*$C$32</f>
        <v>3500</v>
      </c>
      <c r="P32" s="354"/>
      <c r="Q32" s="354">
        <f>O32*$C$32</f>
        <v>3500</v>
      </c>
      <c r="R32" s="354"/>
      <c r="S32" s="354">
        <f>Q32*$C$32</f>
        <v>3500</v>
      </c>
      <c r="T32" s="354"/>
      <c r="U32" s="354">
        <f>S32*$C$32</f>
        <v>3500</v>
      </c>
      <c r="V32" s="354"/>
      <c r="W32" s="354">
        <f>U32*$C$32</f>
        <v>3500</v>
      </c>
      <c r="X32" s="354"/>
      <c r="Y32" s="354">
        <f>W32*$C$32</f>
        <v>3500</v>
      </c>
      <c r="Z32" s="354"/>
      <c r="AA32" s="354">
        <f>Y32*$C$32</f>
        <v>3500</v>
      </c>
      <c r="AB32" s="354"/>
      <c r="AC32" s="354">
        <f>AA32*$C$32</f>
        <v>3500</v>
      </c>
      <c r="AD32" s="354"/>
      <c r="AE32" s="354">
        <f>AC32*$C$32</f>
        <v>3500</v>
      </c>
      <c r="AF32" s="354"/>
      <c r="AG32" s="354">
        <f>AE32*$C$32</f>
        <v>3500</v>
      </c>
    </row>
    <row r="33" spans="1:33" s="339" customFormat="1" ht="13.8">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3.8">
      <c r="A34" s="355" t="s">
        <v>182</v>
      </c>
      <c r="C34" s="356"/>
      <c r="E34" s="355">
        <f>SUM(E21:E32)</f>
        <v>1562022.75</v>
      </c>
      <c r="G34" s="355">
        <f>SUM(G21:G32)</f>
        <v>1613912.7899999998</v>
      </c>
      <c r="I34" s="355">
        <f>SUM(I21:I32)</f>
        <v>1667618.2313999999</v>
      </c>
      <c r="K34" s="355">
        <f>SUM(K21:K32)</f>
        <v>1723202.5982489996</v>
      </c>
      <c r="M34" s="355">
        <f>SUM(M21:M32)</f>
        <v>1780731.6376377144</v>
      </c>
      <c r="O34" s="355">
        <f>SUM(O21:O32)</f>
        <v>1840273.3974990346</v>
      </c>
      <c r="Q34" s="355">
        <f>SUM(Q21:Q32)</f>
        <v>1901898.3071313805</v>
      </c>
      <c r="S34" s="355">
        <f>SUM(S21:S32)</f>
        <v>1965679.2605402563</v>
      </c>
      <c r="U34" s="355">
        <f>SUM(U21:U32)</f>
        <v>2031691.7026966282</v>
      </c>
      <c r="W34" s="355">
        <f>SUM(W21:W32)</f>
        <v>2100013.7188142221</v>
      </c>
      <c r="Y34" s="355">
        <f>SUM(Y21:Y32)</f>
        <v>2170726.1267513968</v>
      </c>
      <c r="AA34" s="355">
        <f>SUM(AA21:AA32)</f>
        <v>2243912.5726469452</v>
      </c>
      <c r="AC34" s="355">
        <f>SUM(AC21:AC32)</f>
        <v>2319659.6299030236</v>
      </c>
      <c r="AE34" s="355">
        <f>SUM(AE21:AE32)</f>
        <v>2398056.9016323336</v>
      </c>
      <c r="AG34" s="355">
        <f>SUM(AG21:AG32)</f>
        <v>2479197.1266908227</v>
      </c>
    </row>
    <row r="35" spans="1:33" s="339" customFormat="1" ht="13.8">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3.8">
      <c r="A36" s="355" t="s">
        <v>892</v>
      </c>
      <c r="C36" s="356"/>
      <c r="E36" s="355">
        <f>E10-E34</f>
        <v>482259.45000000019</v>
      </c>
      <c r="G36" s="355">
        <f>G10-G34</f>
        <v>481476.46499999962</v>
      </c>
      <c r="I36" s="355">
        <f>I10-I34</f>
        <v>480155.75497499947</v>
      </c>
      <c r="K36" s="355">
        <f>K10-K34</f>
        <v>478265.73778537475</v>
      </c>
      <c r="M36" s="355">
        <f>M10-M34</f>
        <v>475773.40679751895</v>
      </c>
      <c r="O36" s="355">
        <f>O10-O34</f>
        <v>472644.27304707933</v>
      </c>
      <c r="Q36" s="355">
        <f>Q10-Q34</f>
        <v>468842.30517838639</v>
      </c>
      <c r="S36" s="355">
        <f>S10-S34</f>
        <v>464329.86707725469</v>
      </c>
      <c r="U36" s="355">
        <f>U10-U34</f>
        <v>459067.65311132069</v>
      </c>
      <c r="W36" s="355">
        <f>W10-W34</f>
        <v>453014.62088892423</v>
      </c>
      <c r="Y36" s="355">
        <f>Y10-Y34</f>
        <v>446127.9214443285</v>
      </c>
      <c r="AA36" s="355">
        <f>AA10-AA34</f>
        <v>438362.82675367268</v>
      </c>
      <c r="AC36" s="355">
        <f>AC10-AC34</f>
        <v>429672.65448260913</v>
      </c>
      <c r="AE36" s="355">
        <f>AE10-AE34</f>
        <v>420008.68986294093</v>
      </c>
      <c r="AG36" s="355">
        <f>AG10-AG34</f>
        <v>409320.10459183296</v>
      </c>
    </row>
    <row r="37" spans="1:33" s="339" customFormat="1" ht="13.8">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3.8">
      <c r="A38" s="350" t="s">
        <v>905</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3.8">
      <c r="A39" s="357" t="str">
        <f>Application!C637</f>
        <v>Tax-Exempt Perm Loan</v>
      </c>
      <c r="B39" s="358"/>
      <c r="C39" s="352"/>
      <c r="E39" s="354">
        <f>Application!AF637</f>
        <v>317041.88754557207</v>
      </c>
      <c r="F39" s="354"/>
      <c r="G39" s="354">
        <f>$E$39</f>
        <v>317041.88754557207</v>
      </c>
      <c r="H39" s="354"/>
      <c r="I39" s="354">
        <f>$E$39</f>
        <v>317041.88754557207</v>
      </c>
      <c r="J39" s="354"/>
      <c r="K39" s="354">
        <f>$E$39</f>
        <v>317041.88754557207</v>
      </c>
      <c r="L39" s="354"/>
      <c r="M39" s="354">
        <f>$E$39</f>
        <v>317041.88754557207</v>
      </c>
      <c r="N39" s="354"/>
      <c r="O39" s="354">
        <f>$E$39</f>
        <v>317041.88754557207</v>
      </c>
      <c r="P39" s="354"/>
      <c r="Q39" s="354">
        <f>$E$39</f>
        <v>317041.88754557207</v>
      </c>
      <c r="R39" s="354"/>
      <c r="S39" s="354">
        <f>$E$39</f>
        <v>317041.88754557207</v>
      </c>
      <c r="T39" s="354"/>
      <c r="U39" s="354">
        <f>$E$39</f>
        <v>317041.88754557207</v>
      </c>
      <c r="V39" s="354"/>
      <c r="W39" s="354">
        <f>$E$39</f>
        <v>317041.88754557207</v>
      </c>
      <c r="X39" s="354"/>
      <c r="Y39" s="354">
        <f>$E$39</f>
        <v>317041.88754557207</v>
      </c>
      <c r="Z39" s="354"/>
      <c r="AA39" s="354">
        <f>$E$39</f>
        <v>317041.88754557207</v>
      </c>
      <c r="AB39" s="354"/>
      <c r="AC39" s="354">
        <f>$E$39</f>
        <v>317041.88754557207</v>
      </c>
      <c r="AD39" s="354"/>
      <c r="AE39" s="354">
        <f>$E$39</f>
        <v>317041.88754557207</v>
      </c>
      <c r="AF39" s="354"/>
      <c r="AG39" s="354">
        <f>$E$39</f>
        <v>317041.88754557207</v>
      </c>
    </row>
    <row r="40" spans="1:33" s="339" customFormat="1" ht="13.8">
      <c r="A40" s="357" t="str">
        <f>Application!C638</f>
        <v>HCD AHSC</v>
      </c>
      <c r="B40" s="358"/>
      <c r="C40" s="352"/>
      <c r="E40" s="354">
        <f>Application!AF638</f>
        <v>84000</v>
      </c>
      <c r="F40" s="354"/>
      <c r="G40" s="354">
        <f>$E$40</f>
        <v>84000</v>
      </c>
      <c r="H40" s="354"/>
      <c r="I40" s="354">
        <f>$E$40</f>
        <v>84000</v>
      </c>
      <c r="J40" s="354"/>
      <c r="K40" s="354">
        <f>$E$40</f>
        <v>84000</v>
      </c>
      <c r="L40" s="354"/>
      <c r="M40" s="354">
        <f>$E$40</f>
        <v>84000</v>
      </c>
      <c r="N40" s="354"/>
      <c r="O40" s="354">
        <f>$E$40</f>
        <v>84000</v>
      </c>
      <c r="P40" s="354"/>
      <c r="Q40" s="354">
        <f>$E$40</f>
        <v>84000</v>
      </c>
      <c r="R40" s="354"/>
      <c r="S40" s="354">
        <f>$E$40</f>
        <v>84000</v>
      </c>
      <c r="T40" s="354"/>
      <c r="U40" s="354">
        <f>$E$40</f>
        <v>84000</v>
      </c>
      <c r="V40" s="354"/>
      <c r="W40" s="354">
        <f>$E$40</f>
        <v>84000</v>
      </c>
      <c r="X40" s="354"/>
      <c r="Y40" s="354">
        <f>$E$40</f>
        <v>84000</v>
      </c>
      <c r="Z40" s="354"/>
      <c r="AA40" s="354">
        <f>$E$40</f>
        <v>84000</v>
      </c>
      <c r="AB40" s="354"/>
      <c r="AC40" s="354">
        <f>$E$40</f>
        <v>84000</v>
      </c>
      <c r="AD40" s="354"/>
      <c r="AE40" s="354">
        <f>$E$40</f>
        <v>84000</v>
      </c>
      <c r="AF40" s="354"/>
      <c r="AG40" s="354">
        <f>$E$40</f>
        <v>84000</v>
      </c>
    </row>
    <row r="41" spans="1:33" s="339" customFormat="1" ht="13.8">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3.8">
      <c r="A42" s="355" t="s">
        <v>893</v>
      </c>
      <c r="C42" s="356"/>
      <c r="E42" s="355">
        <f>SUM(E39:E41)</f>
        <v>401041.88754557207</v>
      </c>
      <c r="G42" s="355">
        <f>SUM(G39:G41)</f>
        <v>401041.88754557207</v>
      </c>
      <c r="I42" s="355">
        <f>SUM(I39:I41)</f>
        <v>401041.88754557207</v>
      </c>
      <c r="K42" s="355">
        <f>SUM(K39:K41)</f>
        <v>401041.88754557207</v>
      </c>
      <c r="M42" s="355">
        <f>SUM(M39:M41)</f>
        <v>401041.88754557207</v>
      </c>
      <c r="O42" s="355">
        <f>SUM(O39:O41)</f>
        <v>401041.88754557207</v>
      </c>
      <c r="Q42" s="355">
        <f>SUM(Q39:Q41)</f>
        <v>401041.88754557207</v>
      </c>
      <c r="S42" s="355">
        <f>SUM(S39:S41)</f>
        <v>401041.88754557207</v>
      </c>
      <c r="U42" s="355">
        <f>SUM(U39:U41)</f>
        <v>401041.88754557207</v>
      </c>
      <c r="W42" s="355">
        <f>SUM(W39:W41)</f>
        <v>401041.88754557207</v>
      </c>
      <c r="Y42" s="355">
        <f>SUM(Y39:Y41)</f>
        <v>401041.88754557207</v>
      </c>
      <c r="AA42" s="355">
        <f>SUM(AA39:AA41)</f>
        <v>401041.88754557207</v>
      </c>
      <c r="AC42" s="355">
        <f>SUM(AC39:AC41)</f>
        <v>401041.88754557207</v>
      </c>
      <c r="AE42" s="355">
        <f>SUM(AE39:AE41)</f>
        <v>401041.88754557207</v>
      </c>
      <c r="AG42" s="355">
        <f>SUM(AG39:AG41)</f>
        <v>401041.88754557207</v>
      </c>
    </row>
    <row r="43" spans="1:33" s="339" customFormat="1" ht="13.8">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3.8">
      <c r="A44" s="355" t="s">
        <v>894</v>
      </c>
      <c r="C44" s="356"/>
      <c r="E44" s="355">
        <f>E36-E42</f>
        <v>81217.562454428116</v>
      </c>
      <c r="G44" s="355">
        <f>G36-G42</f>
        <v>80434.577454427548</v>
      </c>
      <c r="I44" s="355">
        <f>I36-I42</f>
        <v>79113.867429427395</v>
      </c>
      <c r="K44" s="355">
        <f>K36-K42</f>
        <v>77223.850239802676</v>
      </c>
      <c r="M44" s="355">
        <f>M36-M42</f>
        <v>74731.519251946884</v>
      </c>
      <c r="O44" s="355">
        <f>O36-O42</f>
        <v>71602.385501507262</v>
      </c>
      <c r="Q44" s="355">
        <f>Q36-Q42</f>
        <v>67800.417632814322</v>
      </c>
      <c r="S44" s="355">
        <f>S36-S42</f>
        <v>63287.97953168262</v>
      </c>
      <c r="U44" s="355">
        <f>U36-U42</f>
        <v>58025.765565748618</v>
      </c>
      <c r="W44" s="355">
        <f>W36-W42</f>
        <v>51972.733343352156</v>
      </c>
      <c r="Y44" s="355">
        <f>Y36-Y42</f>
        <v>45086.033898756432</v>
      </c>
      <c r="AA44" s="355">
        <f>AA36-AA42</f>
        <v>37320.939208100608</v>
      </c>
      <c r="AC44" s="355">
        <f>AC36-AC42</f>
        <v>28630.766937037057</v>
      </c>
      <c r="AE44" s="355">
        <f>AE36-AE42</f>
        <v>18966.802317368856</v>
      </c>
      <c r="AG44" s="355">
        <f>AG36-AG42</f>
        <v>8278.2170462608919</v>
      </c>
    </row>
    <row r="45" spans="1:33" s="339" customFormat="1" ht="13.8">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3.8">
      <c r="A46" s="359" t="s">
        <v>896</v>
      </c>
      <c r="C46" s="352"/>
      <c r="E46" s="359">
        <f>E44/(E4+E6+E8)</f>
        <v>3.7742677763229905E-2</v>
      </c>
      <c r="G46" s="359">
        <f>G44/(G4+G6+G8)</f>
        <v>3.6467137740336553E-2</v>
      </c>
      <c r="I46" s="359">
        <f>I44/(I4+I6+I8)</f>
        <v>3.4993520982534838E-2</v>
      </c>
      <c r="K46" s="359">
        <f>K44/(K4+K6+K8)</f>
        <v>3.332442103617294E-2</v>
      </c>
      <c r="M46" s="359">
        <f>M44/(M4+M6+M8)</f>
        <v>3.146234636808376E-2</v>
      </c>
      <c r="O46" s="359">
        <f>O44/(O4+O6+O8)</f>
        <v>2.9409722227756962E-2</v>
      </c>
      <c r="Q46" s="359">
        <f>Q44/(Q4+Q6+Q8)</f>
        <v>2.7168892462014139E-2</v>
      </c>
      <c r="S46" s="359">
        <f>S44/(S4+S6+S8)</f>
        <v>2.4742121283324696E-2</v>
      </c>
      <c r="U46" s="359">
        <f>U44/(U4+U6+U8)</f>
        <v>2.2131594992877181E-2</v>
      </c>
      <c r="W46" s="359">
        <f>W44/(W4+W6+W8)</f>
        <v>1.9339423659482574E-2</v>
      </c>
      <c r="Y46" s="359">
        <f>Y44/(Y4+Y6+Y8)</f>
        <v>1.6367642755372749E-2</v>
      </c>
      <c r="AA46" s="359">
        <f>AA44/(AA4+AA6+AA8)</f>
        <v>1.3218214749916558E-2</v>
      </c>
      <c r="AC46" s="359">
        <f>AC44/(AC4+AC6+AC8)</f>
        <v>9.8930306622661141E-3</v>
      </c>
      <c r="AE46" s="359">
        <f>AE44/(AE4+AE6+AE8)</f>
        <v>6.3939115739104439E-3</v>
      </c>
      <c r="AG46" s="359">
        <f>AG44/(AG4+AG6+AG8)</f>
        <v>2.7226101020888412E-3</v>
      </c>
    </row>
    <row r="47" spans="1:33" s="359" customFormat="1" ht="13.8">
      <c r="A47" s="359" t="s">
        <v>897</v>
      </c>
      <c r="C47" s="352"/>
      <c r="E47" s="359">
        <f>E44/E42</f>
        <v>0.20251640782834443</v>
      </c>
      <c r="G47" s="359">
        <f>G44/G42</f>
        <v>0.20056403072182186</v>
      </c>
      <c r="I47" s="359">
        <f>I44/I42</f>
        <v>0.197270833512216</v>
      </c>
      <c r="K47" s="359">
        <f>K44/K42</f>
        <v>0.19255806597266578</v>
      </c>
      <c r="M47" s="359">
        <f>M44/M42</f>
        <v>0.18634342589327363</v>
      </c>
      <c r="O47" s="359">
        <f>O44/O42</f>
        <v>0.17854091486483636</v>
      </c>
      <c r="Q47" s="359">
        <f>Q44/Q42</f>
        <v>0.16906068851750525</v>
      </c>
      <c r="S47" s="359">
        <f>S44/S42</f>
        <v>0.1578089010078553</v>
      </c>
      <c r="U47" s="359">
        <f>U44/U42</f>
        <v>0.14468754354033631</v>
      </c>
      <c r="W47" s="359">
        <f>W44/W42</f>
        <v>0.12959427670119938</v>
      </c>
      <c r="Y47" s="359">
        <f>Y44/Y42</f>
        <v>0.11242225637498555</v>
      </c>
      <c r="AA47" s="359">
        <f>AA44/AA42</f>
        <v>9.3059953005182466E-2</v>
      </c>
      <c r="AC47" s="359">
        <f>AC44/AC42</f>
        <v>7.139096395207252E-2</v>
      </c>
      <c r="AE47" s="359">
        <f>AE44/AE42</f>
        <v>4.7293818691728502E-2</v>
      </c>
      <c r="AG47" s="359">
        <f>AG44/AG42</f>
        <v>2.0641776590781188E-2</v>
      </c>
    </row>
    <row r="48" spans="1:33" s="360" customFormat="1" ht="13.8">
      <c r="A48" s="360" t="s">
        <v>895</v>
      </c>
      <c r="C48" s="361"/>
      <c r="E48" s="360">
        <f>E36/E42</f>
        <v>1.2025164078283443</v>
      </c>
      <c r="G48" s="360">
        <f>G36/G42</f>
        <v>1.2005640307218219</v>
      </c>
      <c r="I48" s="360">
        <f>I36/I42</f>
        <v>1.197270833512216</v>
      </c>
      <c r="K48" s="360">
        <f>K36/K42</f>
        <v>1.1925580659726658</v>
      </c>
      <c r="M48" s="360">
        <f>M36/M42</f>
        <v>1.1863434258932737</v>
      </c>
      <c r="O48" s="360">
        <f>O36/O42</f>
        <v>1.1785409148648365</v>
      </c>
      <c r="Q48" s="360">
        <f>Q36/Q42</f>
        <v>1.1690606885175052</v>
      </c>
      <c r="S48" s="360">
        <f>S36/S42</f>
        <v>1.1578089010078554</v>
      </c>
      <c r="U48" s="360">
        <f>U36/U42</f>
        <v>1.1446875435403363</v>
      </c>
      <c r="W48" s="360">
        <f>W36/W42</f>
        <v>1.1295942767011995</v>
      </c>
      <c r="Y48" s="360">
        <f>Y36/Y42</f>
        <v>1.1124222563749855</v>
      </c>
      <c r="AA48" s="360">
        <f>AA36/AA42</f>
        <v>1.0930599530051825</v>
      </c>
      <c r="AC48" s="360">
        <f>AC36/AC42</f>
        <v>1.0713909639520725</v>
      </c>
      <c r="AE48" s="360">
        <f>AE36/AE42</f>
        <v>1.0472938186917284</v>
      </c>
      <c r="AG48" s="360">
        <f>AG36/AG42</f>
        <v>1.0206417765907811</v>
      </c>
    </row>
    <row r="49" spans="1:35" s="339" customFormat="1" ht="13.8">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907</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6" customFormat="1">
      <c r="A51" s="3243" t="s">
        <v>1345</v>
      </c>
      <c r="B51" s="3243"/>
      <c r="C51" s="3243"/>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899</v>
      </c>
      <c r="C52" s="1003"/>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6" customFormat="1">
      <c r="A53" s="6" t="s">
        <v>900</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6" customFormat="1">
      <c r="A54" s="6" t="s">
        <v>901</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6"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6"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6" customFormat="1">
      <c r="A57" s="1002" t="s">
        <v>898</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6"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903</v>
      </c>
      <c r="C59" s="1009"/>
      <c r="E59" s="1002">
        <f>E44-E57</f>
        <v>81217.562454428116</v>
      </c>
      <c r="G59" s="1002">
        <f>G44-G57</f>
        <v>80434.577454427548</v>
      </c>
      <c r="I59" s="1002">
        <f>I44-I57</f>
        <v>79113.867429427395</v>
      </c>
      <c r="K59" s="1002">
        <f>K44-K57</f>
        <v>77223.850239802676</v>
      </c>
      <c r="M59" s="1002">
        <f>M44-M57</f>
        <v>74731.519251946884</v>
      </c>
      <c r="O59" s="1002">
        <f>O44-O57</f>
        <v>71602.385501507262</v>
      </c>
      <c r="Q59" s="1002">
        <f>Q44-Q57</f>
        <v>67800.417632814322</v>
      </c>
      <c r="S59" s="1002">
        <f>S44-S57</f>
        <v>63287.97953168262</v>
      </c>
      <c r="U59" s="1002">
        <f>U44-U57</f>
        <v>58025.765565748618</v>
      </c>
      <c r="W59" s="1002">
        <f>W44-W57</f>
        <v>51972.733343352156</v>
      </c>
      <c r="Y59" s="1002">
        <f>Y44-Y57</f>
        <v>45086.033898756432</v>
      </c>
      <c r="AA59" s="1002">
        <f>AA44-AA57</f>
        <v>37320.939208100608</v>
      </c>
      <c r="AC59" s="1002">
        <f>AC44-AC57</f>
        <v>28630.766937037057</v>
      </c>
      <c r="AE59" s="1002">
        <f>AE44-AE57</f>
        <v>18966.802317368856</v>
      </c>
      <c r="AG59" s="1002">
        <f>AG44-AG57</f>
        <v>8278.2170462608919</v>
      </c>
    </row>
    <row r="60" spans="1:35" s="6"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902</v>
      </c>
      <c r="C61" s="999">
        <v>0</v>
      </c>
      <c r="E61" s="1004">
        <f>E59*$C$61</f>
        <v>0</v>
      </c>
      <c r="G61" s="1010">
        <f>G59*$C$61</f>
        <v>0</v>
      </c>
      <c r="H61" s="1010"/>
      <c r="I61" s="1010">
        <f>I59*$C$61</f>
        <v>0</v>
      </c>
      <c r="J61" s="1010"/>
      <c r="K61" s="1010">
        <f>K59*$C$61</f>
        <v>0</v>
      </c>
      <c r="L61" s="1010"/>
      <c r="M61" s="1010">
        <f>M59*$C$61</f>
        <v>0</v>
      </c>
      <c r="N61" s="1010"/>
      <c r="O61" s="1010">
        <f>O59*$C$61</f>
        <v>0</v>
      </c>
      <c r="P61" s="1010"/>
      <c r="Q61" s="1010">
        <f>Q59*$C$61</f>
        <v>0</v>
      </c>
      <c r="R61" s="1010"/>
      <c r="S61" s="1010">
        <f>S59*$C$61</f>
        <v>0</v>
      </c>
      <c r="T61" s="1010"/>
      <c r="U61" s="1010">
        <f>U59*$C$61</f>
        <v>0</v>
      </c>
      <c r="V61" s="1010"/>
      <c r="W61" s="1010">
        <f>W59*$C$61</f>
        <v>0</v>
      </c>
      <c r="Y61" s="1010">
        <f>Y59*$C$61</f>
        <v>0</v>
      </c>
      <c r="AA61" s="1010">
        <f>AA59*$C$61</f>
        <v>0</v>
      </c>
      <c r="AC61" s="1010">
        <f>AC59*$C$61</f>
        <v>0</v>
      </c>
      <c r="AE61" s="1010">
        <f>AE59*$C$61</f>
        <v>0</v>
      </c>
      <c r="AG61" s="1010">
        <f>AG59*$C$61</f>
        <v>0</v>
      </c>
    </row>
    <row r="62" spans="1:35" s="1010" customFormat="1">
      <c r="A62" s="3243" t="s">
        <v>1345</v>
      </c>
      <c r="B62" s="3243"/>
      <c r="C62" s="3243"/>
    </row>
    <row r="63" spans="1:35" s="6"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6" customFormat="1">
      <c r="A64" s="6" t="s">
        <v>906</v>
      </c>
      <c r="C64" s="999">
        <v>0.5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f>$E59*$C$64</f>
        <v>40608.781227214058</v>
      </c>
      <c r="G65" s="1000">
        <f>G59*$C$64</f>
        <v>40217.288727213774</v>
      </c>
      <c r="I65" s="1000">
        <f>I59*$C$64</f>
        <v>39556.933714713698</v>
      </c>
      <c r="K65" s="1000">
        <f>K59*$C$64</f>
        <v>38611.925119901338</v>
      </c>
      <c r="M65" s="1000">
        <f>M59*$C$64</f>
        <v>37365.759625973442</v>
      </c>
      <c r="O65" s="1000">
        <f>O59*$C$64</f>
        <v>35801.192750753631</v>
      </c>
      <c r="Q65" s="1000">
        <f>Q59*$C$64</f>
        <v>33900.208816407161</v>
      </c>
      <c r="S65" s="1000">
        <f>S59*$C$64</f>
        <v>31643.98976584131</v>
      </c>
      <c r="U65" s="1000">
        <f>U59*$C$64</f>
        <v>29012.882782874309</v>
      </c>
      <c r="W65" s="1000">
        <f>W59*$C$64</f>
        <v>25986.366671676078</v>
      </c>
      <c r="Y65" s="1000">
        <f>Y59*$C$64</f>
        <v>22543.016949378216</v>
      </c>
      <c r="AA65" s="1000">
        <f>AA59*$C$64</f>
        <v>18660.469604050304</v>
      </c>
      <c r="AC65" s="1000">
        <f>AC59*$C$64</f>
        <v>14315.383468518528</v>
      </c>
      <c r="AE65" s="1000">
        <f>AE59*$C$64</f>
        <v>9483.4011586844281</v>
      </c>
      <c r="AG65" s="1000">
        <f>AG59*$C$64</f>
        <v>4139.108523130446</v>
      </c>
    </row>
    <row r="66" spans="1:33" s="1000" customFormat="1">
      <c r="A66" s="1005"/>
      <c r="B66" s="1005"/>
      <c r="C66" s="1011"/>
      <c r="E66" s="1004">
        <f>$E59*$C$64</f>
        <v>40608.781227214058</v>
      </c>
      <c r="G66" s="1000">
        <f>G59*$C$64</f>
        <v>40217.288727213774</v>
      </c>
      <c r="I66" s="1000">
        <f>I59*$C$64</f>
        <v>39556.933714713698</v>
      </c>
      <c r="K66" s="1000">
        <f>K59*$C$64</f>
        <v>38611.925119901338</v>
      </c>
      <c r="M66" s="1000">
        <f>M59*$C$64</f>
        <v>37365.759625973442</v>
      </c>
      <c r="O66" s="1000">
        <f>O59*$C$64</f>
        <v>35801.192750753631</v>
      </c>
      <c r="Q66" s="1000">
        <f>Q59*$C$64</f>
        <v>33900.208816407161</v>
      </c>
      <c r="S66" s="1000">
        <f>S59*$C$64</f>
        <v>31643.98976584131</v>
      </c>
      <c r="U66" s="1000">
        <f>U59*$C$64</f>
        <v>29012.882782874309</v>
      </c>
      <c r="W66" s="1000">
        <f>W59*$C$64</f>
        <v>25986.366671676078</v>
      </c>
      <c r="Y66" s="1000">
        <f>Y59*$C$64</f>
        <v>22543.016949378216</v>
      </c>
      <c r="AA66" s="1000">
        <f>AA59*$C$64</f>
        <v>18660.469604050304</v>
      </c>
      <c r="AC66" s="1000">
        <f>AC59*$C$64</f>
        <v>14315.383468518528</v>
      </c>
      <c r="AE66" s="1000">
        <f>AE59*$C$64</f>
        <v>9483.4011586844281</v>
      </c>
      <c r="AG66" s="1000">
        <f>AG59*$C$64</f>
        <v>4139.108523130446</v>
      </c>
    </row>
    <row r="67" spans="1:33" s="1000" customFormat="1">
      <c r="A67" s="1005"/>
      <c r="B67" s="1005"/>
      <c r="C67" s="1011"/>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1"/>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12" customFormat="1">
      <c r="A69" s="1002" t="s">
        <v>898</v>
      </c>
      <c r="C69" s="1011"/>
      <c r="E69" s="1012">
        <f>SUM(E65:E68)</f>
        <v>81217.562454428116</v>
      </c>
      <c r="G69" s="1012">
        <f>SUM(G65:G68)</f>
        <v>80434.577454427548</v>
      </c>
      <c r="I69" s="1012">
        <f>SUM(I65:I68)</f>
        <v>79113.867429427395</v>
      </c>
      <c r="K69" s="1012">
        <f>SUM(K65:K68)</f>
        <v>77223.850239802676</v>
      </c>
      <c r="M69" s="1012">
        <f>SUM(M65:M68)</f>
        <v>74731.519251946884</v>
      </c>
      <c r="O69" s="1012">
        <f>SUM(O65:O68)</f>
        <v>71602.385501507262</v>
      </c>
      <c r="Q69" s="1012">
        <f>SUM(Q65:Q68)</f>
        <v>67800.417632814322</v>
      </c>
      <c r="S69" s="1012">
        <f>SUM(S65:S68)</f>
        <v>63287.97953168262</v>
      </c>
      <c r="U69" s="1012">
        <f>SUM(U65:U68)</f>
        <v>58025.765565748618</v>
      </c>
      <c r="W69" s="1012">
        <f>SUM(W65:W68)</f>
        <v>51972.733343352156</v>
      </c>
      <c r="Y69" s="1012">
        <f>SUM(Y65:Y68)</f>
        <v>45086.033898756432</v>
      </c>
      <c r="AA69" s="1012">
        <f>SUM(AA65:AA68)</f>
        <v>37320.939208100608</v>
      </c>
      <c r="AC69" s="1012">
        <f>SUM(AC65:AC68)</f>
        <v>28630.766937037057</v>
      </c>
      <c r="AE69" s="1012">
        <f>SUM(AE65:AE68)</f>
        <v>18966.802317368856</v>
      </c>
      <c r="AG69" s="1012">
        <f>SUM(AG65:AG68)</f>
        <v>8278.2170462608919</v>
      </c>
    </row>
    <row r="70" spans="1:33" s="1012" customFormat="1">
      <c r="A70" s="1002"/>
      <c r="C70" s="1011"/>
    </row>
    <row r="71" spans="1:33" s="1012" customFormat="1">
      <c r="A71" s="1002" t="s">
        <v>2033</v>
      </c>
      <c r="C71" s="1011"/>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905"/>
      <c r="C72" s="1013"/>
    </row>
    <row r="73" spans="1:33" s="348" customFormat="1">
      <c r="A73" s="905"/>
      <c r="C73" s="349"/>
    </row>
    <row r="74" spans="1:33" s="348" customFormat="1">
      <c r="A74" s="1000" t="s">
        <v>2032</v>
      </c>
      <c r="C74" s="349"/>
    </row>
    <row r="75" spans="1:33" s="348" customFormat="1">
      <c r="C75" s="349"/>
    </row>
    <row r="76" spans="1:33" s="367" customFormat="1" ht="30" customHeight="1">
      <c r="A76" s="3241" t="s">
        <v>2031</v>
      </c>
      <c r="B76" s="3242"/>
      <c r="C76" s="3242"/>
      <c r="D76" s="3242"/>
      <c r="E76" s="3242"/>
      <c r="F76" s="3242"/>
      <c r="G76" s="3242"/>
      <c r="H76" s="3242"/>
      <c r="I76" s="3242"/>
      <c r="J76" s="3242"/>
      <c r="K76" s="3242"/>
      <c r="L76" s="3242"/>
      <c r="M76" s="3242"/>
      <c r="N76" s="3242"/>
      <c r="O76" s="3242"/>
      <c r="P76" s="3242"/>
      <c r="Q76" s="3242"/>
      <c r="R76" s="3242"/>
      <c r="S76" s="3242"/>
      <c r="T76" s="3242"/>
      <c r="U76" s="3242"/>
      <c r="V76" s="3242"/>
      <c r="W76" s="3242"/>
      <c r="X76" s="3242"/>
      <c r="Y76" s="3242"/>
      <c r="Z76" s="3242"/>
      <c r="AA76" s="3242"/>
      <c r="AB76" s="3242"/>
      <c r="AC76" s="3242"/>
      <c r="AD76" s="3242"/>
      <c r="AE76" s="3242"/>
      <c r="AF76" s="3242"/>
      <c r="AG76" s="324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D10" sqref="D10"/>
    </sheetView>
  </sheetViews>
  <sheetFormatPr defaultColWidth="0" defaultRowHeight="13.8"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09375" style="469" hidden="1"/>
  </cols>
  <sheetData>
    <row r="1" spans="1:12">
      <c r="A1" s="3244" t="s">
        <v>959</v>
      </c>
      <c r="B1" s="3244"/>
      <c r="C1" s="3244"/>
      <c r="D1" s="3244"/>
      <c r="E1" s="3244"/>
      <c r="F1" s="3244"/>
      <c r="G1" s="3244"/>
      <c r="H1" s="3244"/>
      <c r="I1" s="3244"/>
      <c r="J1" s="3244"/>
      <c r="K1" s="325"/>
      <c r="L1" s="325"/>
    </row>
    <row r="2" spans="1:12">
      <c r="A2" s="648"/>
      <c r="B2" s="648"/>
      <c r="C2" s="648"/>
      <c r="D2" s="648"/>
      <c r="E2" s="648"/>
      <c r="F2" s="648"/>
      <c r="G2" s="648"/>
      <c r="H2" s="648"/>
      <c r="I2" s="648"/>
      <c r="J2" s="648"/>
    </row>
    <row r="3" spans="1:12" ht="82.8">
      <c r="A3" s="649" t="s">
        <v>960</v>
      </c>
      <c r="B3" s="649" t="s">
        <v>961</v>
      </c>
      <c r="C3" s="649" t="s">
        <v>2403</v>
      </c>
      <c r="D3" s="649" t="s">
        <v>962</v>
      </c>
      <c r="E3" s="380"/>
      <c r="F3" s="649" t="s">
        <v>963</v>
      </c>
      <c r="G3" s="649" t="s">
        <v>964</v>
      </c>
      <c r="H3" s="650"/>
      <c r="I3" s="649" t="s">
        <v>965</v>
      </c>
      <c r="J3" s="649" t="s">
        <v>966</v>
      </c>
      <c r="K3" s="325"/>
      <c r="L3" s="470"/>
    </row>
    <row r="4" spans="1:12">
      <c r="A4" s="651" t="str">
        <f>Application!B728</f>
        <v>SRO/Studio</v>
      </c>
      <c r="B4" s="1198">
        <f>Application!G728</f>
        <v>12</v>
      </c>
      <c r="C4" s="1199" t="s">
        <v>399</v>
      </c>
      <c r="D4" s="651">
        <f>Application!O728</f>
        <v>443</v>
      </c>
      <c r="E4" s="652"/>
      <c r="F4" s="1200">
        <v>2190</v>
      </c>
      <c r="G4" s="653">
        <f>F4*B4</f>
        <v>26280</v>
      </c>
      <c r="H4" s="654"/>
      <c r="I4" s="651">
        <f>IF(F4=0," ",(F4-D4))</f>
        <v>1747</v>
      </c>
      <c r="J4" s="653">
        <f>IF(F4=0," ",(I4*B4))</f>
        <v>20964</v>
      </c>
      <c r="K4" s="325"/>
      <c r="L4" s="470"/>
    </row>
    <row r="5" spans="1:12">
      <c r="A5" s="651" t="str">
        <f>Application!B729</f>
        <v>SRO/Studio</v>
      </c>
      <c r="B5" s="1198">
        <f>Application!G729</f>
        <v>12</v>
      </c>
      <c r="C5" s="1199"/>
      <c r="D5" s="651">
        <f>Application!O729</f>
        <v>443</v>
      </c>
      <c r="E5" s="652"/>
      <c r="F5" s="1200"/>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SRO/Studio</v>
      </c>
      <c r="B6" s="1198">
        <f>Application!G730</f>
        <v>2</v>
      </c>
      <c r="C6" s="1199"/>
      <c r="D6" s="651">
        <f>Application!O730</f>
        <v>686</v>
      </c>
      <c r="E6" s="652"/>
      <c r="F6" s="1200"/>
      <c r="G6" s="653">
        <f t="shared" si="0"/>
        <v>0</v>
      </c>
      <c r="H6" s="654"/>
      <c r="I6" s="651" t="str">
        <f t="shared" si="1"/>
        <v xml:space="preserve"> </v>
      </c>
      <c r="J6" s="653" t="str">
        <f t="shared" si="2"/>
        <v xml:space="preserve"> </v>
      </c>
      <c r="K6" s="325"/>
      <c r="L6" s="470"/>
    </row>
    <row r="7" spans="1:12">
      <c r="A7" s="651" t="str">
        <f>Application!B731</f>
        <v>SRO/Studio</v>
      </c>
      <c r="B7" s="1198">
        <f>Application!G731</f>
        <v>11</v>
      </c>
      <c r="C7" s="1199"/>
      <c r="D7" s="651">
        <f>Application!O731</f>
        <v>1413</v>
      </c>
      <c r="E7" s="652"/>
      <c r="F7" s="1200"/>
      <c r="G7" s="653">
        <f t="shared" si="0"/>
        <v>0</v>
      </c>
      <c r="H7" s="654"/>
      <c r="I7" s="651" t="str">
        <f t="shared" si="1"/>
        <v xml:space="preserve"> </v>
      </c>
      <c r="J7" s="653" t="str">
        <f t="shared" si="2"/>
        <v xml:space="preserve"> </v>
      </c>
      <c r="K7" s="325"/>
      <c r="L7" s="470"/>
    </row>
    <row r="8" spans="1:12">
      <c r="A8" s="651" t="str">
        <f>Application!B732</f>
        <v>SRO/Studio</v>
      </c>
      <c r="B8" s="1198">
        <f>Application!G732</f>
        <v>10</v>
      </c>
      <c r="C8" s="1199"/>
      <c r="D8" s="651">
        <f>Application!O732</f>
        <v>1656</v>
      </c>
      <c r="E8" s="652"/>
      <c r="F8" s="1200"/>
      <c r="G8" s="653">
        <f t="shared" si="0"/>
        <v>0</v>
      </c>
      <c r="H8" s="654"/>
      <c r="I8" s="651" t="str">
        <f t="shared" si="1"/>
        <v xml:space="preserve"> </v>
      </c>
      <c r="J8" s="653" t="str">
        <f t="shared" si="2"/>
        <v xml:space="preserve"> </v>
      </c>
      <c r="K8" s="325"/>
      <c r="L8" s="470"/>
    </row>
    <row r="9" spans="1:12">
      <c r="A9" s="651" t="str">
        <f>Application!B733</f>
        <v>SRO/Studio</v>
      </c>
      <c r="B9" s="1198">
        <f>Application!G733</f>
        <v>32</v>
      </c>
      <c r="C9" s="1199"/>
      <c r="D9" s="651">
        <f>Application!O733</f>
        <v>1668</v>
      </c>
      <c r="E9" s="652"/>
      <c r="F9" s="1200"/>
      <c r="G9" s="653">
        <f t="shared" si="0"/>
        <v>0</v>
      </c>
      <c r="H9" s="654"/>
      <c r="I9" s="651" t="str">
        <f t="shared" si="1"/>
        <v xml:space="preserve"> </v>
      </c>
      <c r="J9" s="653" t="str">
        <f t="shared" si="2"/>
        <v xml:space="preserve"> </v>
      </c>
      <c r="K9" s="325"/>
      <c r="L9" s="470"/>
    </row>
    <row r="10" spans="1:12">
      <c r="A10" s="651" t="str">
        <f>Application!B734</f>
        <v>2 Bedrooms</v>
      </c>
      <c r="B10" s="1198">
        <f>Application!G734</f>
        <v>2</v>
      </c>
      <c r="C10" s="1199" t="s">
        <v>399</v>
      </c>
      <c r="D10" s="651">
        <f>Application!O734</f>
        <v>873</v>
      </c>
      <c r="E10" s="652"/>
      <c r="F10" s="1200">
        <v>3328</v>
      </c>
      <c r="G10" s="653">
        <f t="shared" si="0"/>
        <v>6656</v>
      </c>
      <c r="H10" s="654"/>
      <c r="I10" s="651">
        <f t="shared" si="1"/>
        <v>2455</v>
      </c>
      <c r="J10" s="653">
        <f t="shared" si="2"/>
        <v>4910</v>
      </c>
      <c r="K10" s="325"/>
      <c r="L10" s="470"/>
    </row>
    <row r="11" spans="1:12">
      <c r="A11" s="651" t="str">
        <f>Application!B735</f>
        <v>2 Bedrooms</v>
      </c>
      <c r="B11" s="1198">
        <f>Application!G735</f>
        <v>2</v>
      </c>
      <c r="C11" s="1199"/>
      <c r="D11" s="651">
        <f>Application!O735</f>
        <v>873</v>
      </c>
      <c r="E11" s="652"/>
      <c r="F11" s="1200"/>
      <c r="G11" s="653">
        <f t="shared" si="0"/>
        <v>0</v>
      </c>
      <c r="H11" s="654"/>
      <c r="I11" s="651" t="str">
        <f t="shared" si="1"/>
        <v xml:space="preserve"> </v>
      </c>
      <c r="J11" s="653" t="str">
        <f t="shared" si="2"/>
        <v xml:space="preserve"> </v>
      </c>
      <c r="K11" s="325"/>
      <c r="L11" s="470"/>
    </row>
    <row r="12" spans="1:12">
      <c r="A12" s="651" t="str">
        <f>Application!B736</f>
        <v>2 Bedrooms</v>
      </c>
      <c r="B12" s="1198">
        <f>Application!G736</f>
        <v>4</v>
      </c>
      <c r="C12" s="1199"/>
      <c r="D12" s="651">
        <f>Application!O736</f>
        <v>1497</v>
      </c>
      <c r="E12" s="652"/>
      <c r="F12" s="1200"/>
      <c r="G12" s="653">
        <f t="shared" si="0"/>
        <v>0</v>
      </c>
      <c r="H12" s="654"/>
      <c r="I12" s="651" t="str">
        <f t="shared" si="1"/>
        <v xml:space="preserve"> </v>
      </c>
      <c r="J12" s="653" t="str">
        <f t="shared" si="2"/>
        <v xml:space="preserve"> </v>
      </c>
      <c r="K12" s="325"/>
      <c r="L12" s="470"/>
    </row>
    <row r="13" spans="1:12">
      <c r="A13" s="651" t="str">
        <f>Application!B737</f>
        <v>2 Bedrooms</v>
      </c>
      <c r="B13" s="1198">
        <f>Application!G737</f>
        <v>9</v>
      </c>
      <c r="C13" s="1199"/>
      <c r="D13" s="651">
        <f>Application!O737</f>
        <v>1808</v>
      </c>
      <c r="E13" s="652"/>
      <c r="F13" s="1200"/>
      <c r="G13" s="653">
        <f t="shared" si="0"/>
        <v>0</v>
      </c>
      <c r="H13" s="654"/>
      <c r="I13" s="651" t="str">
        <f t="shared" si="1"/>
        <v xml:space="preserve"> </v>
      </c>
      <c r="J13" s="653" t="str">
        <f t="shared" si="2"/>
        <v xml:space="preserve"> </v>
      </c>
      <c r="K13" s="325"/>
      <c r="L13" s="470"/>
    </row>
    <row r="14" spans="1:12">
      <c r="A14" s="651" t="str">
        <f>Application!B738</f>
        <v>2 Bedrooms</v>
      </c>
      <c r="B14" s="1198">
        <f>Application!G738</f>
        <v>14</v>
      </c>
      <c r="C14" s="1199"/>
      <c r="D14" s="651">
        <f>Application!O738</f>
        <v>2121</v>
      </c>
      <c r="E14" s="652"/>
      <c r="F14" s="1200"/>
      <c r="G14" s="653">
        <f t="shared" si="0"/>
        <v>0</v>
      </c>
      <c r="H14" s="654"/>
      <c r="I14" s="651" t="str">
        <f t="shared" si="1"/>
        <v xml:space="preserve"> </v>
      </c>
      <c r="J14" s="653" t="str">
        <f t="shared" si="2"/>
        <v xml:space="preserve"> </v>
      </c>
      <c r="K14" s="325"/>
      <c r="L14" s="470"/>
    </row>
    <row r="15" spans="1:12">
      <c r="A15" s="651">
        <f>Application!B739</f>
        <v>0</v>
      </c>
      <c r="B15" s="1198">
        <f>Application!G739</f>
        <v>0</v>
      </c>
      <c r="C15" s="1199"/>
      <c r="D15" s="651">
        <f>Application!O739</f>
        <v>0</v>
      </c>
      <c r="E15" s="652"/>
      <c r="F15" s="1200"/>
      <c r="G15" s="653">
        <f t="shared" si="0"/>
        <v>0</v>
      </c>
      <c r="H15" s="654"/>
      <c r="I15" s="651" t="str">
        <f t="shared" si="1"/>
        <v xml:space="preserve"> </v>
      </c>
      <c r="J15" s="653" t="str">
        <f t="shared" si="2"/>
        <v xml:space="preserve"> </v>
      </c>
      <c r="K15" s="325"/>
      <c r="L15" s="470"/>
    </row>
    <row r="16" spans="1:12">
      <c r="A16" s="651">
        <f>Application!B740</f>
        <v>0</v>
      </c>
      <c r="B16" s="1198">
        <f>Application!G740</f>
        <v>0</v>
      </c>
      <c r="C16" s="1199"/>
      <c r="D16" s="651">
        <f>Application!O740</f>
        <v>0</v>
      </c>
      <c r="E16" s="652"/>
      <c r="F16" s="1200"/>
      <c r="G16" s="653">
        <f t="shared" si="0"/>
        <v>0</v>
      </c>
      <c r="H16" s="654"/>
      <c r="I16" s="651" t="str">
        <f t="shared" si="1"/>
        <v xml:space="preserve"> </v>
      </c>
      <c r="J16" s="653" t="str">
        <f t="shared" si="2"/>
        <v xml:space="preserve"> </v>
      </c>
      <c r="K16" s="325"/>
      <c r="L16" s="470"/>
    </row>
    <row r="17" spans="1:12">
      <c r="A17" s="651">
        <f>Application!B741</f>
        <v>0</v>
      </c>
      <c r="B17" s="1198">
        <f>Application!G741</f>
        <v>0</v>
      </c>
      <c r="C17" s="1199"/>
      <c r="D17" s="651">
        <f>Application!O741</f>
        <v>0</v>
      </c>
      <c r="E17" s="652"/>
      <c r="F17" s="1200"/>
      <c r="G17" s="653">
        <f t="shared" si="0"/>
        <v>0</v>
      </c>
      <c r="H17" s="654"/>
      <c r="I17" s="651" t="str">
        <f t="shared" si="1"/>
        <v xml:space="preserve"> </v>
      </c>
      <c r="J17" s="653" t="str">
        <f t="shared" si="2"/>
        <v xml:space="preserve"> </v>
      </c>
      <c r="K17" s="325"/>
      <c r="L17" s="470"/>
    </row>
    <row r="18" spans="1:12">
      <c r="A18" s="651">
        <f>Application!B742</f>
        <v>0</v>
      </c>
      <c r="B18" s="1198">
        <f>Application!G742</f>
        <v>0</v>
      </c>
      <c r="C18" s="1199"/>
      <c r="D18" s="651">
        <f>Application!O742</f>
        <v>0</v>
      </c>
      <c r="E18" s="652"/>
      <c r="F18" s="1200"/>
      <c r="G18" s="653">
        <f t="shared" si="0"/>
        <v>0</v>
      </c>
      <c r="H18" s="654"/>
      <c r="I18" s="651" t="str">
        <f t="shared" si="1"/>
        <v xml:space="preserve"> </v>
      </c>
      <c r="J18" s="653" t="str">
        <f t="shared" si="2"/>
        <v xml:space="preserve"> </v>
      </c>
      <c r="K18" s="325"/>
      <c r="L18" s="470"/>
    </row>
    <row r="19" spans="1:12">
      <c r="A19" s="651">
        <f>Application!B743</f>
        <v>0</v>
      </c>
      <c r="B19" s="1198">
        <f>Application!G743</f>
        <v>0</v>
      </c>
      <c r="C19" s="1199"/>
      <c r="D19" s="651">
        <f>Application!O743</f>
        <v>0</v>
      </c>
      <c r="E19" s="652"/>
      <c r="F19" s="1200"/>
      <c r="G19" s="653">
        <f t="shared" si="0"/>
        <v>0</v>
      </c>
      <c r="H19" s="654"/>
      <c r="I19" s="651" t="str">
        <f t="shared" si="1"/>
        <v xml:space="preserve"> </v>
      </c>
      <c r="J19" s="653" t="str">
        <f t="shared" si="2"/>
        <v xml:space="preserve"> </v>
      </c>
      <c r="K19" s="325"/>
      <c r="L19" s="470"/>
    </row>
    <row r="20" spans="1:12">
      <c r="A20" s="651">
        <f>Application!B744</f>
        <v>0</v>
      </c>
      <c r="B20" s="1198">
        <f>Application!G744</f>
        <v>0</v>
      </c>
      <c r="C20" s="1199"/>
      <c r="D20" s="651">
        <f>Application!O744</f>
        <v>0</v>
      </c>
      <c r="E20" s="652"/>
      <c r="F20" s="1200"/>
      <c r="G20" s="653">
        <f t="shared" si="0"/>
        <v>0</v>
      </c>
      <c r="H20" s="654"/>
      <c r="I20" s="651" t="str">
        <f t="shared" si="1"/>
        <v xml:space="preserve"> </v>
      </c>
      <c r="J20" s="653" t="str">
        <f t="shared" si="2"/>
        <v xml:space="preserve"> </v>
      </c>
      <c r="K20" s="325"/>
      <c r="L20" s="470"/>
    </row>
    <row r="21" spans="1:12">
      <c r="A21" s="651">
        <f>Application!B745</f>
        <v>0</v>
      </c>
      <c r="B21" s="1198">
        <f>Application!G745</f>
        <v>0</v>
      </c>
      <c r="C21" s="1199"/>
      <c r="D21" s="651">
        <f>Application!O745</f>
        <v>0</v>
      </c>
      <c r="E21" s="652"/>
      <c r="F21" s="1200"/>
      <c r="G21" s="653">
        <f t="shared" si="0"/>
        <v>0</v>
      </c>
      <c r="H21" s="654"/>
      <c r="I21" s="651" t="str">
        <f t="shared" si="1"/>
        <v xml:space="preserve"> </v>
      </c>
      <c r="J21" s="653" t="str">
        <f t="shared" si="2"/>
        <v xml:space="preserve"> </v>
      </c>
      <c r="K21" s="325"/>
      <c r="L21" s="470"/>
    </row>
    <row r="22" spans="1:12">
      <c r="A22" s="651">
        <f>Application!B746</f>
        <v>0</v>
      </c>
      <c r="B22" s="1198">
        <f>Application!G746</f>
        <v>0</v>
      </c>
      <c r="C22" s="1199"/>
      <c r="D22" s="651">
        <f>Application!O746</f>
        <v>0</v>
      </c>
      <c r="E22" s="652"/>
      <c r="F22" s="1200"/>
      <c r="G22" s="653">
        <f t="shared" si="0"/>
        <v>0</v>
      </c>
      <c r="H22" s="654"/>
      <c r="I22" s="651" t="str">
        <f t="shared" si="1"/>
        <v xml:space="preserve"> </v>
      </c>
      <c r="J22" s="653" t="str">
        <f t="shared" si="2"/>
        <v xml:space="preserve"> </v>
      </c>
      <c r="K22" s="325"/>
      <c r="L22" s="470"/>
    </row>
    <row r="23" spans="1:12">
      <c r="A23" s="651">
        <f>Application!B747</f>
        <v>0</v>
      </c>
      <c r="B23" s="1198">
        <f>Application!G747</f>
        <v>0</v>
      </c>
      <c r="C23" s="1199"/>
      <c r="D23" s="651">
        <f>Application!O747</f>
        <v>0</v>
      </c>
      <c r="E23" s="652"/>
      <c r="F23" s="1200"/>
      <c r="G23" s="653">
        <f t="shared" si="0"/>
        <v>0</v>
      </c>
      <c r="H23" s="654"/>
      <c r="I23" s="651" t="str">
        <f t="shared" si="1"/>
        <v xml:space="preserve"> </v>
      </c>
      <c r="J23" s="653" t="str">
        <f t="shared" si="2"/>
        <v xml:space="preserve"> </v>
      </c>
      <c r="K23" s="325"/>
      <c r="L23" s="470"/>
    </row>
    <row r="24" spans="1:12">
      <c r="A24" s="651">
        <f>Application!B748</f>
        <v>0</v>
      </c>
      <c r="B24" s="1198">
        <f>Application!G748</f>
        <v>0</v>
      </c>
      <c r="C24" s="1199"/>
      <c r="D24" s="651">
        <f>Application!O748</f>
        <v>0</v>
      </c>
      <c r="E24" s="652"/>
      <c r="F24" s="1200"/>
      <c r="G24" s="653">
        <f t="shared" si="0"/>
        <v>0</v>
      </c>
      <c r="H24" s="654"/>
      <c r="I24" s="651" t="str">
        <f t="shared" si="1"/>
        <v xml:space="preserve"> </v>
      </c>
      <c r="J24" s="653" t="str">
        <f t="shared" si="2"/>
        <v xml:space="preserve"> </v>
      </c>
      <c r="K24" s="325"/>
      <c r="L24" s="470"/>
    </row>
    <row r="25" spans="1:12">
      <c r="A25" s="651">
        <f>Application!B749</f>
        <v>0</v>
      </c>
      <c r="B25" s="1198">
        <f>Application!G749</f>
        <v>0</v>
      </c>
      <c r="C25" s="1199"/>
      <c r="D25" s="651">
        <f>Application!O749</f>
        <v>0</v>
      </c>
      <c r="E25" s="652"/>
      <c r="F25" s="1200"/>
      <c r="G25" s="653">
        <f t="shared" si="0"/>
        <v>0</v>
      </c>
      <c r="H25" s="654"/>
      <c r="I25" s="651" t="str">
        <f t="shared" si="1"/>
        <v xml:space="preserve"> </v>
      </c>
      <c r="J25" s="653" t="str">
        <f t="shared" si="2"/>
        <v xml:space="preserve"> </v>
      </c>
      <c r="K25" s="325"/>
      <c r="L25" s="470"/>
    </row>
    <row r="26" spans="1:12">
      <c r="A26" s="651">
        <f>Application!B750</f>
        <v>0</v>
      </c>
      <c r="B26" s="1198">
        <f>Application!G750</f>
        <v>0</v>
      </c>
      <c r="C26" s="1199"/>
      <c r="D26" s="651">
        <f>Application!O750</f>
        <v>0</v>
      </c>
      <c r="E26" s="652"/>
      <c r="F26" s="1200"/>
      <c r="G26" s="653">
        <f t="shared" si="0"/>
        <v>0</v>
      </c>
      <c r="H26" s="654"/>
      <c r="I26" s="651" t="str">
        <f t="shared" si="1"/>
        <v xml:space="preserve"> </v>
      </c>
      <c r="J26" s="653" t="str">
        <f t="shared" si="2"/>
        <v xml:space="preserve"> </v>
      </c>
      <c r="K26" s="325"/>
      <c r="L26" s="470"/>
    </row>
    <row r="27" spans="1:12">
      <c r="A27" s="651">
        <f>Application!B751</f>
        <v>0</v>
      </c>
      <c r="B27" s="1198">
        <f>Application!G751</f>
        <v>0</v>
      </c>
      <c r="C27" s="1199"/>
      <c r="D27" s="651">
        <f>Application!O751</f>
        <v>0</v>
      </c>
      <c r="E27" s="652"/>
      <c r="F27" s="1200"/>
      <c r="G27" s="653">
        <f t="shared" si="0"/>
        <v>0</v>
      </c>
      <c r="H27" s="654"/>
      <c r="I27" s="651" t="str">
        <f t="shared" si="1"/>
        <v xml:space="preserve"> </v>
      </c>
      <c r="J27" s="653" t="str">
        <f t="shared" si="2"/>
        <v xml:space="preserve"> </v>
      </c>
      <c r="K27" s="325"/>
      <c r="L27" s="470"/>
    </row>
    <row r="28" spans="1:12">
      <c r="A28" s="651">
        <f>Application!B752</f>
        <v>0</v>
      </c>
      <c r="B28" s="1198">
        <f>Application!G752</f>
        <v>0</v>
      </c>
      <c r="C28" s="1199"/>
      <c r="D28" s="651">
        <f>Application!O752</f>
        <v>0</v>
      </c>
      <c r="E28" s="652"/>
      <c r="F28" s="1200"/>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967</v>
      </c>
      <c r="B30" s="656"/>
      <c r="C30" s="656"/>
      <c r="D30" s="657">
        <f>Application!O753</f>
        <v>152929</v>
      </c>
      <c r="E30" s="652"/>
      <c r="F30" s="652"/>
      <c r="G30" s="657">
        <f>SUM(G4:G28)*12</f>
        <v>395232</v>
      </c>
      <c r="H30" s="658"/>
      <c r="I30" s="656"/>
      <c r="J30" s="657">
        <f>SUM(J4:J28)*12</f>
        <v>310488</v>
      </c>
      <c r="K30" s="325"/>
      <c r="L30" s="471"/>
    </row>
    <row r="31" spans="1:12">
      <c r="A31" s="655"/>
      <c r="B31" s="656"/>
      <c r="C31" s="656"/>
      <c r="D31" s="658"/>
      <c r="E31" s="652"/>
      <c r="F31" s="652"/>
      <c r="G31" s="658"/>
      <c r="H31" s="658"/>
      <c r="I31" s="656"/>
      <c r="J31" s="658"/>
      <c r="K31" s="325"/>
      <c r="L31" s="471"/>
    </row>
    <row r="32" spans="1:12">
      <c r="A32" s="659" t="s">
        <v>968</v>
      </c>
      <c r="B32" s="648"/>
      <c r="C32" s="648"/>
      <c r="D32" s="648"/>
      <c r="E32" s="648"/>
      <c r="F32" s="648"/>
      <c r="G32" s="648"/>
      <c r="H32" s="648"/>
      <c r="I32" s="648"/>
      <c r="J32" s="648"/>
    </row>
    <row r="33" spans="1:10">
      <c r="A33" s="659" t="s">
        <v>969</v>
      </c>
      <c r="B33" s="648"/>
      <c r="C33" s="648"/>
      <c r="D33" s="648"/>
      <c r="E33" s="648"/>
      <c r="F33" s="648"/>
      <c r="G33" s="648"/>
      <c r="H33" s="648"/>
      <c r="I33" s="648"/>
      <c r="J33" s="648"/>
    </row>
    <row r="34" spans="1:10">
      <c r="A34" s="648" t="s">
        <v>1109</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6"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3" t="s">
        <v>1027</v>
      </c>
    </row>
    <row r="2" spans="1:1" ht="15.6">
      <c r="A2" s="484"/>
    </row>
    <row r="3" spans="1:1" ht="15.6">
      <c r="A3" s="485" t="s">
        <v>1022</v>
      </c>
    </row>
    <row r="4" spans="1:1" ht="15.6">
      <c r="A4" s="485" t="s">
        <v>1023</v>
      </c>
    </row>
    <row r="5" spans="1:1" ht="15.6">
      <c r="A5" s="485" t="s">
        <v>1024</v>
      </c>
    </row>
    <row r="6" spans="1:1" ht="15.6">
      <c r="A6" s="485" t="s">
        <v>1026</v>
      </c>
    </row>
    <row r="7" spans="1:1" ht="15.6">
      <c r="A7" s="485" t="s">
        <v>1025</v>
      </c>
    </row>
    <row r="8" spans="1:1" ht="15.6">
      <c r="A8" s="531" t="s">
        <v>1102</v>
      </c>
    </row>
    <row r="9" spans="1:1" ht="15.6">
      <c r="A9" s="485" t="s">
        <v>1103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3" hidden="1" customWidth="1"/>
    <col min="254" max="16384" width="9.109375" style="493" hidden="1"/>
  </cols>
  <sheetData>
    <row r="1" spans="1:253" s="429" customFormat="1" ht="18" customHeight="1">
      <c r="A1" s="857" t="s">
        <v>1380</v>
      </c>
      <c r="D1" s="434"/>
    </row>
    <row r="2" spans="1:253" s="429" customFormat="1">
      <c r="A2" s="411" t="s">
        <v>938</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939</v>
      </c>
      <c r="C3" s="415" t="s">
        <v>940</v>
      </c>
      <c r="D3" s="415" t="s">
        <v>941</v>
      </c>
      <c r="E3" s="412" t="s">
        <v>942</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24590</v>
      </c>
      <c r="C7" s="418">
        <f>'Sources and Uses Budget'!$C6</f>
        <v>24590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618</v>
      </c>
      <c r="B9" s="422">
        <f>SUM(B5:B8)</f>
        <v>24590</v>
      </c>
      <c r="C9" s="422">
        <f>SUM(C5:C8)</f>
        <v>24590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619</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620</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621</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24590</v>
      </c>
      <c r="C13" s="422">
        <f>SUM(C9+C12)</f>
        <v>24590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952</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2.8">
      <c r="A15" s="564" t="s">
        <v>953</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1321</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622</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623</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624</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625</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1843</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101"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49180</v>
      </c>
      <c r="C28" s="418">
        <f>'Sources and Uses Budget'!$C$27</f>
        <v>49180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623</v>
      </c>
      <c r="B30" s="418">
        <f>'Sources and Uses Budget'!$C29</f>
        <v>2083518</v>
      </c>
      <c r="C30" s="418">
        <f>'Sources and Uses Budget'!$C29</f>
        <v>2083518</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624</v>
      </c>
      <c r="B31" s="418">
        <f>'Sources and Uses Budget'!$C30</f>
        <v>57869023</v>
      </c>
      <c r="C31" s="418">
        <f>'Sources and Uses Budget'!$C30</f>
        <v>57869023</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625</v>
      </c>
      <c r="B32" s="418">
        <f>'Sources and Uses Budget'!$C31</f>
        <v>2753142</v>
      </c>
      <c r="C32" s="418">
        <f>'Sources and Uses Budget'!$C31</f>
        <v>2753142</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2070539</v>
      </c>
      <c r="C33" s="418">
        <f>'Sources and Uses Budget'!$C32</f>
        <v>2070539</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2070539</v>
      </c>
      <c r="C34" s="418">
        <f>'Sources and Uses Budget'!$C33</f>
        <v>2070539</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098" t="s">
        <v>1843</v>
      </c>
      <c r="B37" s="418">
        <f>'Sources and Uses Budget'!$C36</f>
        <v>289552</v>
      </c>
      <c r="C37" s="418">
        <f>'Sources and Uses Budget'!$C36</f>
        <v>289552</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67136313</v>
      </c>
      <c r="C39" s="422">
        <f>SUM(C30:C38)</f>
        <v>67136313</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2613375</v>
      </c>
      <c r="C41" s="418">
        <f>'Sources and Uses Budget'!$C40</f>
        <v>2613375</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2613375</v>
      </c>
      <c r="C43" s="422">
        <f>SUM(C41:C42)</f>
        <v>2613375</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616896</v>
      </c>
      <c r="C44" s="418">
        <f>'Sources and Uses Budget'!$C43</f>
        <v>616896</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6278975</v>
      </c>
      <c r="C46" s="418">
        <f>'Sources and Uses Budget'!$C45</f>
        <v>6278975</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431299</v>
      </c>
      <c r="C47" s="418">
        <f>'Sources and Uses Budget'!$C46</f>
        <v>431299</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409183</v>
      </c>
      <c r="C50" s="418">
        <f>'Sources and Uses Budget'!$C49</f>
        <v>409183</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122950</v>
      </c>
      <c r="C51" s="418">
        <f>'Sources and Uses Budget'!$C50</f>
        <v>122950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737700</v>
      </c>
      <c r="C53" s="418">
        <f>'Sources and Uses Budget'!$C52</f>
        <v>737700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Construction Lender Expenses</v>
      </c>
      <c r="B54" s="418">
        <f>'Sources and Uses Budget'!$C53</f>
        <v>39344</v>
      </c>
      <c r="C54" s="418">
        <f>'Sources and Uses Budget'!$C53</f>
        <v>39344</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8019451</v>
      </c>
      <c r="C55" s="425">
        <f>SUM(C46:C54)</f>
        <v>8019451</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31030</v>
      </c>
      <c r="C57" s="418">
        <f>'Sources and Uses Budget'!$C56</f>
        <v>31030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49180</v>
      </c>
      <c r="C59" s="418">
        <f>'Sources and Uses Budget'!$C58</f>
        <v>49180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102" t="str">
        <f>'Sources and Uses Budget'!A61</f>
        <v>Other: Perm Lender Expenses</v>
      </c>
      <c r="B62" s="418">
        <f>'Sources and Uses Budget'!$C61</f>
        <v>25000</v>
      </c>
      <c r="C62" s="418">
        <f>'Sources and Uses Budget'!$C61</f>
        <v>25000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65" customHeight="1">
      <c r="A63" s="423" t="s">
        <v>306</v>
      </c>
      <c r="B63" s="422">
        <f>SUM(B57:B62)</f>
        <v>105210</v>
      </c>
      <c r="C63" s="422">
        <f>SUM(C57:C62)</f>
        <v>105210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78565015</v>
      </c>
      <c r="C64" s="422">
        <f>SUM(C9+C12+C14+C15+C17+C26+C28+C39+C43+C44+C55+C63)</f>
        <v>78565015</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2.8">
      <c r="A65" s="211" t="s">
        <v>1847</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103934</v>
      </c>
      <c r="C66" s="418">
        <f>'Sources and Uses Budget'!$C65</f>
        <v>103934</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2.8">
      <c r="A67" s="437" t="s">
        <v>1844</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2.8">
      <c r="A68" s="437" t="s">
        <v>1845</v>
      </c>
      <c r="B68" s="418">
        <f>'Sources and Uses Budget'!$C67</f>
        <v>9900</v>
      </c>
      <c r="C68" s="418">
        <f>'Sources and Uses Budget'!$C67</f>
        <v>9900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1851</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Borrower Legal</v>
      </c>
      <c r="B70" s="418">
        <f>'Sources and Uses Budget'!$C69</f>
        <v>118032</v>
      </c>
      <c r="C70" s="418">
        <f>'Sources and Uses Budget'!$C69</f>
        <v>118032</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1848</v>
      </c>
      <c r="B71" s="422">
        <f>SUM(B66:B70)</f>
        <v>231866</v>
      </c>
      <c r="C71" s="422">
        <f>SUM(C66:C70)</f>
        <v>231866</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627</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628</v>
      </c>
      <c r="B73" s="418">
        <f>'Sources and Uses Budget'!$C72</f>
        <v>0</v>
      </c>
      <c r="C73" s="418">
        <f>'Sources and Uses Budget'!$C72</f>
        <v>0</v>
      </c>
      <c r="D73" s="422">
        <f t="shared" si="0"/>
        <v>0</v>
      </c>
      <c r="E73" s="420"/>
      <c r="F73" s="419"/>
      <c r="G73" s="546"/>
    </row>
    <row r="74" spans="1:253" s="540" customFormat="1">
      <c r="A74" s="421" t="s">
        <v>629</v>
      </c>
      <c r="B74" s="418">
        <f>'Sources and Uses Budget'!$C73</f>
        <v>0</v>
      </c>
      <c r="C74" s="418">
        <f>'Sources and Uses Budget'!$C73</f>
        <v>0</v>
      </c>
      <c r="D74" s="422">
        <f t="shared" si="0"/>
        <v>0</v>
      </c>
      <c r="E74" s="420"/>
      <c r="F74" s="419"/>
      <c r="G74" s="546"/>
    </row>
    <row r="75" spans="1:253" s="540" customFormat="1">
      <c r="A75" s="501" t="s">
        <v>1056</v>
      </c>
      <c r="B75" s="418">
        <f>'Sources and Uses Budget'!$C74</f>
        <v>0</v>
      </c>
      <c r="C75" s="418">
        <f>'Sources and Uses Budget'!$C74</f>
        <v>0</v>
      </c>
      <c r="D75" s="422">
        <f t="shared" si="0"/>
        <v>0</v>
      </c>
      <c r="E75" s="420"/>
      <c r="F75" s="419"/>
      <c r="G75" s="546"/>
    </row>
    <row r="76" spans="1:253" s="540" customFormat="1">
      <c r="A76" s="421" t="s">
        <v>630</v>
      </c>
      <c r="B76" s="418">
        <f>'Sources and Uses Budget'!$C75</f>
        <v>490766</v>
      </c>
      <c r="C76" s="418">
        <f>'Sources and Uses Budget'!$C75</f>
        <v>490766</v>
      </c>
      <c r="D76" s="422">
        <f t="shared" si="0"/>
        <v>0</v>
      </c>
      <c r="E76" s="420"/>
      <c r="F76" s="419"/>
      <c r="G76" s="546"/>
    </row>
    <row r="77" spans="1:253" s="540" customFormat="1">
      <c r="A77" s="424" t="s">
        <v>35</v>
      </c>
      <c r="B77" s="418">
        <f>'Sources and Uses Budget'!$C76</f>
        <v>614884</v>
      </c>
      <c r="C77" s="418">
        <f>'Sources and Uses Budget'!$C76</f>
        <v>614884</v>
      </c>
      <c r="D77" s="422">
        <f t="shared" si="0"/>
        <v>0</v>
      </c>
      <c r="E77" s="420"/>
      <c r="F77" s="419"/>
      <c r="G77" s="546"/>
    </row>
    <row r="78" spans="1:253" s="540" customFormat="1">
      <c r="A78" s="423" t="s">
        <v>631</v>
      </c>
      <c r="B78" s="422">
        <f>SUM(B73:B77)</f>
        <v>1105650</v>
      </c>
      <c r="C78" s="422">
        <f>SUM(C73:C77)</f>
        <v>1105650</v>
      </c>
      <c r="D78" s="422">
        <f t="shared" ref="D78:D106" si="1">C78-B78</f>
        <v>0</v>
      </c>
      <c r="E78" s="420"/>
      <c r="F78" s="419"/>
      <c r="G78" s="546"/>
    </row>
    <row r="79" spans="1:253" s="540" customFormat="1">
      <c r="A79" s="416" t="s">
        <v>1372</v>
      </c>
      <c r="B79" s="416"/>
      <c r="C79" s="416"/>
      <c r="D79" s="416"/>
      <c r="E79" s="436"/>
      <c r="F79" s="416"/>
      <c r="G79" s="546"/>
    </row>
    <row r="80" spans="1:253" s="540" customFormat="1">
      <c r="A80" s="853" t="s">
        <v>1374</v>
      </c>
      <c r="B80" s="418">
        <f>'Sources and Uses Budget'!$C79</f>
        <v>3342338</v>
      </c>
      <c r="C80" s="418">
        <f>'Sources and Uses Budget'!$C79</f>
        <v>3342338</v>
      </c>
      <c r="D80" s="422">
        <f t="shared" si="1"/>
        <v>0</v>
      </c>
      <c r="E80" s="420"/>
      <c r="F80" s="419"/>
      <c r="G80" s="546"/>
    </row>
    <row r="81" spans="1:7" s="540" customFormat="1">
      <c r="A81" s="853" t="s">
        <v>61</v>
      </c>
      <c r="B81" s="418">
        <f>'Sources and Uses Budget'!$C80</f>
        <v>590601</v>
      </c>
      <c r="C81" s="418">
        <f>'Sources and Uses Budget'!$C80</f>
        <v>590601</v>
      </c>
      <c r="D81" s="422">
        <f>C81-B81</f>
        <v>0</v>
      </c>
      <c r="E81" s="420"/>
      <c r="F81" s="419"/>
      <c r="G81" s="546"/>
    </row>
    <row r="82" spans="1:7" s="540" customFormat="1">
      <c r="A82" s="423" t="s">
        <v>1371</v>
      </c>
      <c r="B82" s="422">
        <f>SUM(B80:B81)</f>
        <v>3932939</v>
      </c>
      <c r="C82" s="422">
        <f>SUM(C80:C81)</f>
        <v>3932939</v>
      </c>
      <c r="D82" s="422">
        <f t="shared" si="1"/>
        <v>0</v>
      </c>
      <c r="E82" s="420"/>
      <c r="F82" s="419"/>
      <c r="G82" s="546"/>
    </row>
    <row r="83" spans="1:7" s="540" customFormat="1">
      <c r="A83" s="416" t="s">
        <v>806</v>
      </c>
      <c r="B83" s="416"/>
      <c r="C83" s="416"/>
      <c r="D83" s="416"/>
      <c r="E83" s="436"/>
      <c r="F83" s="416"/>
      <c r="G83" s="546"/>
    </row>
    <row r="84" spans="1:7" s="540" customFormat="1" ht="13.65" customHeight="1">
      <c r="A84" s="421" t="s">
        <v>2725</v>
      </c>
      <c r="B84" s="418">
        <f>'Sources and Uses Budget'!$C83</f>
        <v>89701</v>
      </c>
      <c r="C84" s="418">
        <f>'Sources and Uses Budget'!$C83</f>
        <v>89701</v>
      </c>
      <c r="D84" s="422">
        <f t="shared" si="1"/>
        <v>0</v>
      </c>
      <c r="E84" s="420"/>
      <c r="F84" s="419"/>
      <c r="G84" s="546"/>
    </row>
    <row r="85" spans="1:7" s="540" customFormat="1">
      <c r="A85" s="421" t="s">
        <v>807</v>
      </c>
      <c r="B85" s="418">
        <f>'Sources and Uses Budget'!$C84</f>
        <v>110163</v>
      </c>
      <c r="C85" s="418">
        <f>'Sources and Uses Budget'!$C84</f>
        <v>110163</v>
      </c>
      <c r="D85" s="422">
        <f t="shared" si="1"/>
        <v>0</v>
      </c>
      <c r="E85" s="420"/>
      <c r="F85" s="419"/>
      <c r="G85" s="546"/>
    </row>
    <row r="86" spans="1:7" s="540" customFormat="1">
      <c r="A86" s="421" t="s">
        <v>808</v>
      </c>
      <c r="B86" s="418">
        <f>'Sources and Uses Budget'!$C85</f>
        <v>373997</v>
      </c>
      <c r="C86" s="418">
        <f>'Sources and Uses Budget'!$C85</f>
        <v>373997</v>
      </c>
      <c r="D86" s="422">
        <f t="shared" si="1"/>
        <v>0</v>
      </c>
      <c r="E86" s="420"/>
      <c r="F86" s="419"/>
      <c r="G86" s="546"/>
    </row>
    <row r="87" spans="1:7" s="540" customFormat="1">
      <c r="A87" s="421" t="s">
        <v>809</v>
      </c>
      <c r="B87" s="418">
        <f>'Sources and Uses Budget'!$C86</f>
        <v>229673</v>
      </c>
      <c r="C87" s="418">
        <f>'Sources and Uses Budget'!$C86</f>
        <v>229673</v>
      </c>
      <c r="D87" s="422">
        <f t="shared" si="1"/>
        <v>0</v>
      </c>
      <c r="E87" s="420"/>
      <c r="F87" s="419"/>
      <c r="G87" s="546"/>
    </row>
    <row r="88" spans="1:7" s="540" customFormat="1">
      <c r="A88" s="421" t="s">
        <v>810</v>
      </c>
      <c r="B88" s="418">
        <f>'Sources and Uses Budget'!$C87</f>
        <v>509958</v>
      </c>
      <c r="C88" s="418">
        <f>'Sources and Uses Budget'!$C87</f>
        <v>509958</v>
      </c>
      <c r="D88" s="422">
        <f t="shared" si="1"/>
        <v>0</v>
      </c>
      <c r="E88" s="420"/>
      <c r="F88" s="419"/>
      <c r="G88" s="546"/>
    </row>
    <row r="89" spans="1:7" s="540" customFormat="1">
      <c r="A89" s="421" t="s">
        <v>811</v>
      </c>
      <c r="B89" s="418">
        <f>'Sources and Uses Budget'!$C88</f>
        <v>415921</v>
      </c>
      <c r="C89" s="418">
        <f>'Sources and Uses Budget'!$C88</f>
        <v>415921</v>
      </c>
      <c r="D89" s="422">
        <f t="shared" si="1"/>
        <v>0</v>
      </c>
      <c r="E89" s="420"/>
      <c r="F89" s="419"/>
      <c r="G89" s="546"/>
    </row>
    <row r="90" spans="1:7" s="540" customFormat="1">
      <c r="A90" s="421" t="s">
        <v>812</v>
      </c>
      <c r="B90" s="418">
        <f>'Sources and Uses Budget'!$C89</f>
        <v>224000</v>
      </c>
      <c r="C90" s="418">
        <f>'Sources and Uses Budget'!$C89</f>
        <v>224000</v>
      </c>
      <c r="D90" s="422">
        <f t="shared" si="1"/>
        <v>0</v>
      </c>
      <c r="E90" s="420"/>
      <c r="F90" s="419"/>
      <c r="G90" s="546"/>
    </row>
    <row r="91" spans="1:7" s="540" customFormat="1">
      <c r="A91" s="421" t="s">
        <v>813</v>
      </c>
      <c r="B91" s="418">
        <f>'Sources and Uses Budget'!$C90</f>
        <v>26500</v>
      </c>
      <c r="C91" s="418">
        <f>'Sources and Uses Budget'!$C90</f>
        <v>26500</v>
      </c>
      <c r="D91" s="422">
        <f t="shared" si="1"/>
        <v>0</v>
      </c>
      <c r="E91" s="420"/>
      <c r="F91" s="419"/>
      <c r="G91" s="546"/>
    </row>
    <row r="92" spans="1:7" s="540" customFormat="1">
      <c r="A92" s="427" t="s">
        <v>386</v>
      </c>
      <c r="B92" s="418">
        <f>'Sources and Uses Budget'!$C91</f>
        <v>0</v>
      </c>
      <c r="C92" s="418">
        <f>'Sources and Uses Budget'!$C91</f>
        <v>0</v>
      </c>
      <c r="D92" s="422">
        <f t="shared" si="1"/>
        <v>0</v>
      </c>
      <c r="E92" s="420"/>
      <c r="F92" s="419"/>
      <c r="G92" s="546"/>
    </row>
    <row r="93" spans="1:7" s="540" customFormat="1">
      <c r="A93" s="852" t="s">
        <v>1373</v>
      </c>
      <c r="B93" s="418">
        <f>'Sources and Uses Budget'!$C92</f>
        <v>14754</v>
      </c>
      <c r="C93" s="418">
        <f>'Sources and Uses Budget'!$C92</f>
        <v>14754</v>
      </c>
      <c r="D93" s="422">
        <f t="shared" si="1"/>
        <v>0</v>
      </c>
      <c r="E93" s="420"/>
      <c r="F93" s="419"/>
      <c r="G93" s="546"/>
    </row>
    <row r="94" spans="1:7" s="540" customFormat="1">
      <c r="A94" s="424" t="s">
        <v>35</v>
      </c>
      <c r="B94" s="418">
        <f>'Sources and Uses Budget'!$C93</f>
        <v>724002</v>
      </c>
      <c r="C94" s="418">
        <f>'Sources and Uses Budget'!$C93</f>
        <v>724002</v>
      </c>
      <c r="D94" s="422">
        <f t="shared" si="1"/>
        <v>0</v>
      </c>
      <c r="E94" s="420"/>
      <c r="F94" s="419"/>
      <c r="G94" s="546"/>
    </row>
    <row r="95" spans="1:7" s="540" customFormat="1">
      <c r="A95" s="424" t="s">
        <v>35</v>
      </c>
      <c r="B95" s="418">
        <f>'Sources and Uses Budget'!$C94</f>
        <v>24787</v>
      </c>
      <c r="C95" s="418">
        <f>'Sources and Uses Budget'!$C94</f>
        <v>24787</v>
      </c>
      <c r="D95" s="422">
        <f t="shared" si="1"/>
        <v>0</v>
      </c>
      <c r="E95" s="420"/>
      <c r="F95" s="419"/>
      <c r="G95" s="546"/>
    </row>
    <row r="96" spans="1:7" s="540" customFormat="1">
      <c r="A96" s="424" t="s">
        <v>35</v>
      </c>
      <c r="B96" s="418">
        <f>'Sources and Uses Budget'!$C95</f>
        <v>220000</v>
      </c>
      <c r="C96" s="418">
        <f>'Sources and Uses Budget'!$C95</f>
        <v>220000</v>
      </c>
      <c r="D96" s="422">
        <f t="shared" si="1"/>
        <v>0</v>
      </c>
      <c r="E96" s="420"/>
      <c r="F96" s="419"/>
      <c r="G96" s="546"/>
    </row>
    <row r="97" spans="1:7" s="540" customFormat="1">
      <c r="A97" s="423" t="s">
        <v>814</v>
      </c>
      <c r="B97" s="422">
        <f>SUM(B84:B96)</f>
        <v>2963456</v>
      </c>
      <c r="C97" s="422">
        <f>SUM(C84:C96)</f>
        <v>2963456</v>
      </c>
      <c r="D97" s="422">
        <f t="shared" si="1"/>
        <v>0</v>
      </c>
      <c r="E97" s="420"/>
      <c r="F97" s="419"/>
      <c r="G97" s="546"/>
    </row>
    <row r="98" spans="1:7" s="540" customFormat="1">
      <c r="A98" s="423" t="s">
        <v>815</v>
      </c>
      <c r="B98" s="422">
        <f>SUM(B64+B71+B78+B82+B97)</f>
        <v>86798926</v>
      </c>
      <c r="C98" s="422">
        <f>SUM(C64+C71+C78+C82+C97)</f>
        <v>86798926</v>
      </c>
      <c r="D98" s="422">
        <f t="shared" si="1"/>
        <v>0</v>
      </c>
      <c r="E98" s="420"/>
      <c r="F98" s="419"/>
      <c r="G98" s="546"/>
    </row>
    <row r="99" spans="1:7" s="540" customFormat="1">
      <c r="A99" s="416" t="s">
        <v>816</v>
      </c>
      <c r="B99" s="416"/>
      <c r="C99" s="416"/>
      <c r="D99" s="416"/>
      <c r="E99" s="436"/>
      <c r="F99" s="416"/>
      <c r="G99" s="546"/>
    </row>
    <row r="100" spans="1:7" s="539" customFormat="1">
      <c r="A100" s="215" t="s">
        <v>817</v>
      </c>
      <c r="B100" s="418">
        <f>'Sources and Uses Budget'!$C99</f>
        <v>2163919</v>
      </c>
      <c r="C100" s="418">
        <f>'Sources and Uses Budget'!$C99</f>
        <v>2163919</v>
      </c>
      <c r="D100" s="422">
        <f t="shared" si="1"/>
        <v>0</v>
      </c>
      <c r="E100" s="420"/>
      <c r="F100" s="419"/>
      <c r="G100" s="544"/>
    </row>
    <row r="101" spans="1:7" s="539" customFormat="1">
      <c r="A101" s="437" t="s">
        <v>1849</v>
      </c>
      <c r="B101" s="418">
        <f>'Sources and Uses Budget'!$C100</f>
        <v>0</v>
      </c>
      <c r="C101" s="418">
        <f>'Sources and Uses Budget'!$C100</f>
        <v>0</v>
      </c>
      <c r="D101" s="422">
        <f t="shared" si="1"/>
        <v>0</v>
      </c>
      <c r="E101" s="420"/>
      <c r="F101" s="419"/>
      <c r="G101" s="544"/>
    </row>
    <row r="102" spans="1:7" s="539" customFormat="1">
      <c r="A102" s="215" t="s">
        <v>818</v>
      </c>
      <c r="B102" s="418">
        <f>'Sources and Uses Budget'!$C101</f>
        <v>0</v>
      </c>
      <c r="C102" s="418">
        <f>'Sources and Uses Budget'!$C101</f>
        <v>0</v>
      </c>
      <c r="D102" s="422">
        <f t="shared" si="1"/>
        <v>0</v>
      </c>
      <c r="E102" s="420"/>
      <c r="F102" s="419"/>
      <c r="G102" s="544"/>
    </row>
    <row r="103" spans="1:7" s="539" customFormat="1" ht="12" customHeight="1">
      <c r="A103" s="437" t="s">
        <v>1850</v>
      </c>
      <c r="B103" s="418">
        <f>'Sources and Uses Budget'!$C102</f>
        <v>0</v>
      </c>
      <c r="C103" s="418">
        <f>'Sources and Uses Budget'!$C102</f>
        <v>0</v>
      </c>
      <c r="D103" s="422">
        <f t="shared" si="1"/>
        <v>0</v>
      </c>
      <c r="E103" s="420"/>
      <c r="F103" s="419"/>
      <c r="G103" s="544"/>
    </row>
    <row r="104" spans="1:7" s="539" customFormat="1">
      <c r="A104" s="1102"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819</v>
      </c>
      <c r="B105" s="422">
        <f>SUM(B100:B104)</f>
        <v>2163919</v>
      </c>
      <c r="C105" s="422">
        <f>SUM(C100:C104)</f>
        <v>2163919</v>
      </c>
      <c r="D105" s="422">
        <f t="shared" si="1"/>
        <v>0</v>
      </c>
      <c r="E105" s="420"/>
      <c r="F105" s="419"/>
      <c r="G105" s="544"/>
    </row>
    <row r="106" spans="1:7" s="539" customFormat="1">
      <c r="A106" s="423" t="s">
        <v>820</v>
      </c>
      <c r="B106" s="425">
        <f>SUM(B98+B105)</f>
        <v>88962845</v>
      </c>
      <c r="C106" s="425">
        <f>SUM(C98+C105)</f>
        <v>88962845</v>
      </c>
      <c r="D106" s="422">
        <f t="shared" si="1"/>
        <v>0</v>
      </c>
      <c r="E106" s="420"/>
      <c r="F106" s="419"/>
      <c r="G106" s="544"/>
    </row>
    <row r="107" spans="1:7" s="539" customFormat="1">
      <c r="A107" s="431" t="s">
        <v>821</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755" t="s">
        <v>1123</v>
      </c>
      <c r="B2" s="1755"/>
      <c r="C2" s="1756"/>
      <c r="D2" s="1756"/>
      <c r="E2" s="1756"/>
      <c r="F2" s="1756"/>
      <c r="G2" s="1756"/>
    </row>
    <row r="3" spans="1:9" s="256" customFormat="1">
      <c r="A3" s="1755" t="s">
        <v>1058</v>
      </c>
      <c r="B3" s="1755"/>
      <c r="C3" s="1756"/>
      <c r="D3" s="1756"/>
      <c r="E3" s="1756"/>
      <c r="F3" s="1756"/>
      <c r="G3" s="1756"/>
      <c r="I3" s="669" t="s">
        <v>312</v>
      </c>
    </row>
    <row r="4" spans="1:9">
      <c r="I4" s="670" t="s">
        <v>1124</v>
      </c>
    </row>
    <row r="5" spans="1:9" s="39" customFormat="1">
      <c r="A5" s="1759" t="s">
        <v>1059</v>
      </c>
      <c r="B5" s="1759"/>
      <c r="C5" s="1760"/>
      <c r="D5" s="1760"/>
      <c r="E5" s="1760"/>
      <c r="F5" s="1760"/>
      <c r="G5" s="1760"/>
      <c r="I5" s="670" t="s">
        <v>1125</v>
      </c>
    </row>
    <row r="6" spans="1:9" s="39" customFormat="1">
      <c r="A6" s="1759" t="s">
        <v>862</v>
      </c>
      <c r="B6" s="1759"/>
      <c r="C6" s="1760"/>
      <c r="D6" s="1760"/>
      <c r="E6" s="1760"/>
      <c r="F6" s="1760"/>
      <c r="G6" s="1760"/>
      <c r="I6" s="669" t="s">
        <v>616</v>
      </c>
    </row>
    <row r="7" spans="1:9" ht="11.85" customHeight="1"/>
    <row r="8" spans="1:9" s="39" customFormat="1">
      <c r="A8" s="1757" t="s">
        <v>1220</v>
      </c>
      <c r="B8" s="1757"/>
      <c r="C8" s="1758"/>
      <c r="D8" s="1758"/>
      <c r="E8" s="1758"/>
      <c r="F8" s="1758"/>
      <c r="G8" s="1758"/>
    </row>
    <row r="9" spans="1:9" s="39" customFormat="1">
      <c r="A9" s="1757" t="s">
        <v>1221</v>
      </c>
      <c r="B9" s="1757"/>
      <c r="C9" s="1758"/>
      <c r="D9" s="1758"/>
      <c r="E9" s="1758"/>
      <c r="F9" s="1758"/>
      <c r="G9" s="1758"/>
    </row>
    <row r="10" spans="1:9">
      <c r="A10" s="258"/>
      <c r="B10" s="258"/>
      <c r="C10" s="255"/>
      <c r="D10" s="255"/>
      <c r="E10" s="255"/>
      <c r="F10" s="255"/>
    </row>
    <row r="11" spans="1:9">
      <c r="A11" s="1761" t="s">
        <v>1223</v>
      </c>
      <c r="B11" s="1761"/>
      <c r="C11" s="1761"/>
      <c r="D11" s="1761"/>
      <c r="E11" s="1761"/>
      <c r="F11" s="1761"/>
      <c r="G11" s="1761"/>
    </row>
    <row r="12" spans="1:9">
      <c r="A12" s="255"/>
      <c r="B12" s="665"/>
      <c r="E12" s="50"/>
    </row>
    <row r="13" spans="1:9" ht="13.35" customHeight="1">
      <c r="C13" s="255"/>
      <c r="D13" s="1733" t="s">
        <v>1222</v>
      </c>
      <c r="E13" s="1733"/>
      <c r="F13" s="1733"/>
    </row>
    <row r="14" spans="1:9">
      <c r="C14" s="255"/>
      <c r="D14" s="1733"/>
      <c r="E14" s="1733"/>
      <c r="F14" s="1733"/>
    </row>
    <row r="15" spans="1:9">
      <c r="A15" s="260"/>
      <c r="B15" s="260"/>
      <c r="C15" s="260"/>
      <c r="D15" s="1730" t="s">
        <v>1205</v>
      </c>
      <c r="E15" s="1730"/>
      <c r="F15" s="1730"/>
    </row>
    <row r="16" spans="1:9">
      <c r="A16" s="260"/>
      <c r="B16" s="260"/>
      <c r="C16" s="260"/>
      <c r="D16" s="327"/>
    </row>
    <row r="17" spans="1:7" ht="14.4">
      <c r="A17" s="261"/>
      <c r="B17" s="671" t="s">
        <v>312</v>
      </c>
      <c r="C17" s="313"/>
      <c r="D17" s="1705" t="s">
        <v>1206</v>
      </c>
      <c r="E17" s="1705"/>
      <c r="F17" s="1705"/>
    </row>
    <row r="18" spans="1:7">
      <c r="A18" s="260"/>
      <c r="B18" s="260"/>
      <c r="C18" s="313"/>
      <c r="D18" s="1705"/>
      <c r="E18" s="1705"/>
      <c r="F18" s="1705"/>
    </row>
    <row r="19" spans="1:7">
      <c r="A19" s="260"/>
      <c r="B19" s="260"/>
      <c r="C19" s="313"/>
      <c r="D19" s="1705"/>
      <c r="E19" s="1705"/>
      <c r="F19" s="1705"/>
    </row>
    <row r="20" spans="1:7">
      <c r="A20" s="260"/>
      <c r="B20" s="260"/>
      <c r="C20" s="260"/>
    </row>
    <row r="21" spans="1:7" ht="14.4">
      <c r="A21" s="261"/>
      <c r="B21" s="671" t="s">
        <v>312</v>
      </c>
      <c r="D21" s="1734" t="s">
        <v>1207</v>
      </c>
      <c r="E21" s="1734"/>
      <c r="F21" s="1734"/>
    </row>
    <row r="22" spans="1:7" ht="14.4">
      <c r="A22" s="261"/>
      <c r="B22" s="261"/>
      <c r="D22" s="135"/>
    </row>
    <row r="23" spans="1:7" ht="14.4">
      <c r="A23" s="261"/>
      <c r="B23" s="671" t="s">
        <v>312</v>
      </c>
      <c r="D23" s="1705" t="s">
        <v>1208</v>
      </c>
      <c r="E23" s="1705"/>
      <c r="F23" s="1705"/>
    </row>
    <row r="24" spans="1:7" ht="14.4">
      <c r="A24" s="261"/>
      <c r="B24" s="261"/>
      <c r="D24" s="1705"/>
      <c r="E24" s="1705"/>
      <c r="F24" s="1705"/>
    </row>
    <row r="25" spans="1:7"/>
    <row r="26" spans="1:7" ht="14.4">
      <c r="A26" s="261"/>
      <c r="B26" s="671" t="s">
        <v>312</v>
      </c>
      <c r="D26" s="1728" t="s">
        <v>1209</v>
      </c>
      <c r="E26" s="1728"/>
      <c r="F26" s="1728"/>
    </row>
    <row r="27" spans="1:7">
      <c r="D27" s="1728"/>
      <c r="E27" s="1728"/>
      <c r="F27" s="1728"/>
    </row>
    <row r="28" spans="1:7">
      <c r="D28" s="1728"/>
      <c r="E28" s="1728"/>
      <c r="F28" s="1728"/>
    </row>
    <row r="29" spans="1:7">
      <c r="A29" s="551"/>
      <c r="C29" s="551"/>
      <c r="D29" s="1728"/>
      <c r="E29" s="1728"/>
      <c r="F29" s="1728"/>
    </row>
    <row r="30" spans="1:7">
      <c r="A30" s="551"/>
      <c r="C30" s="551"/>
      <c r="D30" s="1728"/>
      <c r="E30" s="1728"/>
      <c r="F30" s="1728"/>
    </row>
    <row r="31" spans="1:7" s="39" customFormat="1">
      <c r="A31" s="273"/>
      <c r="B31" s="273"/>
      <c r="C31" s="273"/>
      <c r="D31" s="440"/>
      <c r="E31" s="130"/>
      <c r="F31" s="130"/>
      <c r="G31" s="130"/>
    </row>
    <row r="32" spans="1:7" s="39" customFormat="1">
      <c r="A32" s="273"/>
      <c r="B32" s="671" t="s">
        <v>312</v>
      </c>
      <c r="C32" s="273"/>
      <c r="D32" s="1707" t="s">
        <v>1210</v>
      </c>
      <c r="E32" s="1707"/>
      <c r="F32" s="1707"/>
      <c r="G32" s="130"/>
    </row>
    <row r="33" spans="1:7" s="39" customFormat="1">
      <c r="A33" s="273"/>
      <c r="B33" s="273"/>
      <c r="C33" s="273"/>
      <c r="D33" s="1707"/>
      <c r="E33" s="1707"/>
      <c r="F33" s="1707"/>
      <c r="G33" s="130"/>
    </row>
    <row r="34" spans="1:7" ht="14.4">
      <c r="A34" s="261"/>
      <c r="B34" s="261"/>
      <c r="D34" s="401"/>
    </row>
    <row r="35" spans="1:7" ht="14.4" customHeight="1">
      <c r="A35" s="261"/>
      <c r="B35" s="671" t="s">
        <v>312</v>
      </c>
      <c r="C35" s="547"/>
      <c r="D35" s="1707" t="s">
        <v>1211</v>
      </c>
      <c r="E35" s="1707"/>
      <c r="F35" s="1707"/>
    </row>
    <row r="36" spans="1:7" ht="14.4">
      <c r="A36" s="261"/>
      <c r="B36" s="261"/>
      <c r="C36" s="547"/>
      <c r="D36" s="1707"/>
      <c r="E36" s="1707"/>
      <c r="F36" s="1707"/>
    </row>
    <row r="37" spans="1:7" ht="14.4">
      <c r="A37" s="261"/>
      <c r="B37" s="261"/>
      <c r="C37" s="547"/>
      <c r="D37" s="1707"/>
      <c r="E37" s="1707"/>
      <c r="F37" s="1707"/>
    </row>
    <row r="38" spans="1:7" ht="14.4">
      <c r="A38" s="261"/>
      <c r="B38" s="261"/>
      <c r="C38" s="547"/>
      <c r="D38" s="12"/>
    </row>
    <row r="39" spans="1:7" s="674" customFormat="1" ht="14.4">
      <c r="A39" s="261"/>
      <c r="B39" s="671" t="s">
        <v>312</v>
      </c>
      <c r="C39" s="691"/>
      <c r="D39" s="1707" t="s">
        <v>1212</v>
      </c>
      <c r="E39" s="1707"/>
      <c r="F39" s="1707"/>
      <c r="G39" s="7"/>
    </row>
    <row r="40" spans="1:7" s="674" customFormat="1" ht="14.4">
      <c r="A40" s="261"/>
      <c r="B40" s="261"/>
      <c r="C40" s="691"/>
      <c r="D40" s="1707"/>
      <c r="E40" s="1707"/>
      <c r="F40" s="1707"/>
      <c r="G40" s="7"/>
    </row>
    <row r="41" spans="1:7" s="674" customFormat="1" ht="14.4">
      <c r="A41" s="261"/>
      <c r="B41" s="261"/>
      <c r="C41" s="691"/>
      <c r="D41" s="1707"/>
      <c r="E41" s="1707"/>
      <c r="F41" s="1707"/>
      <c r="G41" s="7"/>
    </row>
    <row r="42" spans="1:7" s="674" customFormat="1" ht="14.4">
      <c r="A42" s="261"/>
      <c r="B42" s="261"/>
      <c r="C42" s="691"/>
      <c r="D42" s="1707"/>
      <c r="E42" s="1707"/>
      <c r="F42" s="1707"/>
      <c r="G42" s="7"/>
    </row>
    <row r="43" spans="1:7" s="674" customFormat="1" ht="14.4">
      <c r="A43" s="261"/>
      <c r="B43" s="261"/>
      <c r="C43" s="691"/>
      <c r="D43" s="1707"/>
      <c r="E43" s="1707"/>
      <c r="F43" s="1707"/>
      <c r="G43" s="7"/>
    </row>
    <row r="44" spans="1:7" s="674" customFormat="1" ht="14.4">
      <c r="A44" s="261"/>
      <c r="B44" s="261"/>
      <c r="C44" s="691"/>
      <c r="D44" s="690"/>
      <c r="E44" s="690"/>
      <c r="F44" s="690"/>
      <c r="G44" s="7"/>
    </row>
    <row r="45" spans="1:7" ht="14.4">
      <c r="A45" s="261"/>
      <c r="B45" s="671" t="s">
        <v>312</v>
      </c>
      <c r="C45" s="547"/>
      <c r="D45" s="1707" t="s">
        <v>1213</v>
      </c>
      <c r="E45" s="1707"/>
      <c r="F45" s="1707"/>
    </row>
    <row r="46" spans="1:7" ht="14.4">
      <c r="A46" s="261"/>
      <c r="B46" s="261"/>
      <c r="C46" s="547"/>
      <c r="D46" s="1707"/>
      <c r="E46" s="1707"/>
      <c r="F46" s="1707"/>
    </row>
    <row r="47" spans="1:7" ht="14.4">
      <c r="A47" s="261"/>
      <c r="B47" s="261"/>
      <c r="C47" s="547"/>
      <c r="D47" s="1707"/>
      <c r="E47" s="1707"/>
      <c r="F47" s="1707"/>
    </row>
    <row r="48" spans="1:7" ht="23.25" customHeight="1">
      <c r="A48" s="261"/>
      <c r="B48" s="261"/>
      <c r="C48" s="547"/>
      <c r="D48" s="1707"/>
      <c r="E48" s="1707"/>
      <c r="F48" s="1707"/>
    </row>
    <row r="49" spans="1:7" ht="14.4">
      <c r="A49" s="261"/>
      <c r="B49" s="261"/>
      <c r="D49" s="151"/>
    </row>
    <row r="50" spans="1:7" ht="14.4" customHeight="1">
      <c r="A50" s="261"/>
      <c r="B50" s="671" t="s">
        <v>312</v>
      </c>
      <c r="D50" s="1707" t="s">
        <v>1214</v>
      </c>
      <c r="E50" s="1707"/>
      <c r="F50" s="1707"/>
    </row>
    <row r="51" spans="1:7" ht="14.4">
      <c r="A51" s="261"/>
      <c r="B51" s="261"/>
      <c r="D51" s="1707"/>
      <c r="E51" s="1707"/>
      <c r="F51" s="1707"/>
    </row>
    <row r="52" spans="1:7" ht="14.4">
      <c r="A52" s="261"/>
      <c r="B52" s="261"/>
      <c r="D52" s="1707"/>
      <c r="E52" s="1707"/>
      <c r="F52" s="1707"/>
    </row>
    <row r="53" spans="1:7" s="2" customFormat="1" ht="14.4">
      <c r="A53" s="261"/>
      <c r="B53" s="261"/>
      <c r="C53" s="549"/>
      <c r="D53" s="239"/>
      <c r="E53" s="22"/>
      <c r="F53" s="22"/>
      <c r="G53" s="22"/>
    </row>
    <row r="54" spans="1:7" s="2" customFormat="1" ht="14.4">
      <c r="A54" s="400"/>
      <c r="B54" s="671" t="s">
        <v>312</v>
      </c>
      <c r="C54" s="550"/>
      <c r="D54" s="1707" t="s">
        <v>1215</v>
      </c>
      <c r="E54" s="1707"/>
      <c r="F54" s="1707"/>
      <c r="G54" s="22"/>
    </row>
    <row r="55" spans="1:7" s="2" customFormat="1" ht="14.4">
      <c r="A55" s="400"/>
      <c r="B55" s="400"/>
      <c r="C55" s="550"/>
      <c r="D55" s="1707"/>
      <c r="E55" s="1707"/>
      <c r="F55" s="1707"/>
      <c r="G55" s="22"/>
    </row>
    <row r="56" spans="1:7" s="39" customFormat="1">
      <c r="A56" s="273"/>
      <c r="B56" s="273"/>
      <c r="C56" s="273"/>
      <c r="D56" s="440"/>
      <c r="E56" s="130"/>
      <c r="F56" s="130"/>
      <c r="G56" s="130"/>
    </row>
    <row r="57" spans="1:7" ht="14.4">
      <c r="A57" s="261"/>
      <c r="B57" s="671" t="s">
        <v>312</v>
      </c>
      <c r="D57" s="1707" t="s">
        <v>1216</v>
      </c>
      <c r="E57" s="1707"/>
      <c r="F57" s="1707"/>
    </row>
    <row r="58" spans="1:7">
      <c r="D58" s="1707"/>
      <c r="E58" s="1707"/>
      <c r="F58" s="1707"/>
    </row>
    <row r="59" spans="1:7">
      <c r="D59" s="1707"/>
      <c r="E59" s="1707"/>
      <c r="F59" s="1707"/>
    </row>
    <row r="60" spans="1:7" s="674" customFormat="1">
      <c r="A60" s="691"/>
      <c r="B60" s="691"/>
      <c r="C60" s="691"/>
      <c r="D60" s="670"/>
      <c r="E60" s="7"/>
      <c r="F60" s="7"/>
      <c r="G60" s="7"/>
    </row>
    <row r="61" spans="1:7" ht="14.4">
      <c r="A61" s="261"/>
      <c r="B61" s="671" t="s">
        <v>312</v>
      </c>
      <c r="D61" s="1707" t="s">
        <v>1217</v>
      </c>
      <c r="E61" s="1707"/>
      <c r="F61" s="1707"/>
    </row>
    <row r="62" spans="1:7">
      <c r="D62" s="1707"/>
      <c r="E62" s="1707"/>
      <c r="F62" s="1707"/>
    </row>
    <row r="63" spans="1:7"/>
    <row r="64" spans="1:7" ht="14.4">
      <c r="A64" s="261"/>
      <c r="B64" s="671" t="s">
        <v>312</v>
      </c>
      <c r="D64" s="1707" t="s">
        <v>1218</v>
      </c>
      <c r="E64" s="1707"/>
      <c r="F64" s="1707"/>
    </row>
    <row r="65" spans="1:7">
      <c r="D65" s="1707"/>
      <c r="E65" s="1707"/>
      <c r="F65" s="1707"/>
    </row>
    <row r="66" spans="1:7">
      <c r="A66" s="548"/>
      <c r="C66" s="548"/>
      <c r="D66" s="1707"/>
      <c r="E66" s="1707"/>
      <c r="F66" s="1707"/>
    </row>
    <row r="67" spans="1:7">
      <c r="D67" s="12"/>
    </row>
    <row r="68" spans="1:7" ht="14.4">
      <c r="A68" s="261"/>
      <c r="B68" s="671" t="s">
        <v>312</v>
      </c>
      <c r="D68" s="1705" t="s">
        <v>1219</v>
      </c>
      <c r="E68" s="1705"/>
      <c r="F68" s="1705"/>
    </row>
    <row r="69" spans="1:7">
      <c r="D69" s="1705"/>
      <c r="E69" s="1705"/>
      <c r="F69" s="1705"/>
    </row>
    <row r="70" spans="1:7" ht="14.4">
      <c r="A70" s="261"/>
      <c r="B70" s="261"/>
      <c r="D70" s="135"/>
    </row>
    <row r="71" spans="1:7">
      <c r="A71" s="1731" t="s">
        <v>1126</v>
      </c>
      <c r="B71" s="1731"/>
      <c r="C71" s="1731"/>
      <c r="D71" s="1731"/>
      <c r="E71" s="1731"/>
      <c r="F71" s="1731"/>
      <c r="G71" s="1731"/>
    </row>
    <row r="72" spans="1:7"/>
    <row r="73" spans="1:7">
      <c r="C73" s="262"/>
      <c r="D73" s="1747" t="s">
        <v>1224</v>
      </c>
      <c r="E73" s="1747"/>
      <c r="F73" s="1747"/>
    </row>
    <row r="74" spans="1:7">
      <c r="A74" s="135"/>
      <c r="B74" s="135"/>
      <c r="D74" s="1705" t="s">
        <v>1251</v>
      </c>
      <c r="E74" s="1705"/>
      <c r="F74" s="1705"/>
    </row>
    <row r="75" spans="1:7">
      <c r="A75" s="135"/>
      <c r="B75" s="135"/>
    </row>
    <row r="76" spans="1:7" ht="14.4">
      <c r="A76" s="261"/>
      <c r="B76" s="671" t="s">
        <v>312</v>
      </c>
      <c r="D76" s="1705" t="s">
        <v>1225</v>
      </c>
      <c r="E76" s="1705"/>
      <c r="F76" s="1705"/>
    </row>
    <row r="77" spans="1:7" ht="14.4">
      <c r="A77" s="261"/>
      <c r="B77" s="261"/>
      <c r="D77" s="1705"/>
      <c r="E77" s="1705"/>
      <c r="F77" s="1705"/>
    </row>
    <row r="78" spans="1:7" ht="14.4">
      <c r="A78" s="261"/>
      <c r="B78" s="261"/>
      <c r="D78" s="1705"/>
      <c r="E78" s="1705"/>
      <c r="F78" s="1705"/>
    </row>
    <row r="79" spans="1:7" ht="14.4">
      <c r="A79" s="261"/>
      <c r="B79" s="261"/>
      <c r="D79" s="1705"/>
      <c r="E79" s="1705"/>
      <c r="F79" s="1705"/>
    </row>
    <row r="80" spans="1:7" ht="14.4">
      <c r="A80" s="261"/>
      <c r="B80" s="261"/>
      <c r="D80" s="1705"/>
      <c r="E80" s="1705"/>
      <c r="F80" s="1705"/>
    </row>
    <row r="81" spans="1:7" ht="14.4">
      <c r="A81" s="261"/>
      <c r="B81" s="261"/>
      <c r="D81" s="1705"/>
      <c r="E81" s="1705"/>
      <c r="F81" s="1705"/>
    </row>
    <row r="82" spans="1:7" s="698" customFormat="1" ht="14.4">
      <c r="A82" s="699"/>
      <c r="B82" s="699"/>
      <c r="C82" s="697"/>
      <c r="D82" s="701"/>
      <c r="E82" s="701"/>
      <c r="F82" s="701"/>
      <c r="G82" s="7"/>
    </row>
    <row r="83" spans="1:7" s="698" customFormat="1" ht="14.4" customHeight="1">
      <c r="A83" s="699"/>
      <c r="B83" s="704" t="s">
        <v>312</v>
      </c>
      <c r="C83" s="697"/>
      <c r="D83" s="1762" t="s">
        <v>1324</v>
      </c>
      <c r="E83" s="1762"/>
      <c r="F83" s="1762"/>
      <c r="G83" s="7"/>
    </row>
    <row r="84" spans="1:7" s="698" customFormat="1" ht="14.4">
      <c r="A84" s="699"/>
      <c r="B84" s="699"/>
      <c r="C84" s="697"/>
      <c r="D84" s="1762"/>
      <c r="E84" s="1762"/>
      <c r="F84" s="1762"/>
      <c r="G84" s="7"/>
    </row>
    <row r="85" spans="1:7" s="698" customFormat="1" ht="14.4">
      <c r="A85" s="699"/>
      <c r="B85" s="699"/>
      <c r="C85" s="697"/>
      <c r="D85" s="1762"/>
      <c r="E85" s="1762"/>
      <c r="F85" s="1762"/>
      <c r="G85" s="7"/>
    </row>
    <row r="86" spans="1:7" s="698" customFormat="1" ht="14.4">
      <c r="A86" s="699"/>
      <c r="B86" s="699"/>
      <c r="C86" s="697"/>
      <c r="D86" s="1762"/>
      <c r="E86" s="1762"/>
      <c r="F86" s="1762"/>
      <c r="G86" s="7"/>
    </row>
    <row r="87" spans="1:7" s="698" customFormat="1" ht="14.4">
      <c r="A87" s="699"/>
      <c r="B87" s="699"/>
      <c r="C87" s="697"/>
      <c r="D87" s="1762"/>
      <c r="E87" s="1762"/>
      <c r="F87" s="1762"/>
      <c r="G87" s="7"/>
    </row>
    <row r="88" spans="1:7" s="711" customFormat="1" ht="14.4">
      <c r="A88" s="706"/>
      <c r="B88" s="706"/>
      <c r="C88" s="737"/>
      <c r="D88" s="1762"/>
      <c r="E88" s="1762"/>
      <c r="F88" s="1762"/>
      <c r="G88" s="7"/>
    </row>
    <row r="89" spans="1:7" s="711" customFormat="1" ht="14.4">
      <c r="A89" s="706"/>
      <c r="B89" s="706"/>
      <c r="C89" s="737"/>
      <c r="D89" s="1762"/>
      <c r="E89" s="1762"/>
      <c r="F89" s="1762"/>
      <c r="G89" s="7"/>
    </row>
    <row r="90" spans="1:7" s="711" customFormat="1" ht="14.4">
      <c r="A90" s="706"/>
      <c r="B90" s="706"/>
      <c r="C90" s="737"/>
      <c r="D90" s="1762"/>
      <c r="E90" s="1762"/>
      <c r="F90" s="1762"/>
      <c r="G90" s="7"/>
    </row>
    <row r="91" spans="1:7" ht="14.4">
      <c r="A91" s="261"/>
      <c r="B91" s="261"/>
      <c r="D91" s="1762"/>
      <c r="E91" s="1762"/>
      <c r="F91" s="1762"/>
    </row>
    <row r="92" spans="1:7" ht="14.4">
      <c r="A92" s="261"/>
      <c r="B92" s="261"/>
      <c r="D92" s="1762"/>
      <c r="E92" s="1762"/>
      <c r="F92" s="1762"/>
    </row>
    <row r="93" spans="1:7" ht="14.4">
      <c r="A93" s="261"/>
      <c r="B93" s="261"/>
      <c r="D93" s="1762"/>
      <c r="E93" s="1762"/>
      <c r="F93" s="1762"/>
    </row>
    <row r="94" spans="1:7" ht="14.4">
      <c r="A94" s="261"/>
      <c r="B94" s="261"/>
      <c r="D94" s="1762"/>
      <c r="E94" s="1762"/>
      <c r="F94" s="1762"/>
    </row>
    <row r="95" spans="1:7" ht="14.4">
      <c r="A95" s="261"/>
      <c r="B95" s="261"/>
      <c r="D95" s="1762"/>
      <c r="E95" s="1762"/>
      <c r="F95" s="1762"/>
    </row>
    <row r="96" spans="1:7" ht="14.4">
      <c r="A96" s="261"/>
      <c r="B96" s="261"/>
      <c r="D96" s="1762"/>
      <c r="E96" s="1762"/>
      <c r="F96" s="1762"/>
    </row>
    <row r="97" spans="1:11" s="702" customFormat="1" ht="14.4">
      <c r="A97" s="703"/>
      <c r="B97" s="707" t="s">
        <v>312</v>
      </c>
      <c r="C97" s="697"/>
      <c r="D97" s="1705" t="s">
        <v>1226</v>
      </c>
      <c r="E97" s="1705"/>
      <c r="F97" s="1705"/>
      <c r="G97" s="7"/>
    </row>
    <row r="98" spans="1:11" s="702" customFormat="1" ht="14.4">
      <c r="A98" s="703"/>
      <c r="B98" s="703"/>
      <c r="C98" s="697"/>
      <c r="D98" s="1705"/>
      <c r="E98" s="1705"/>
      <c r="F98" s="1705"/>
      <c r="G98" s="7"/>
    </row>
    <row r="99" spans="1:11" s="702" customFormat="1" ht="14.4">
      <c r="A99" s="703"/>
      <c r="B99" s="703"/>
      <c r="C99" s="697"/>
      <c r="D99" s="1705"/>
      <c r="E99" s="1705"/>
      <c r="F99" s="1705"/>
      <c r="G99" s="7"/>
    </row>
    <row r="100" spans="1:11" s="702" customFormat="1" ht="14.4">
      <c r="A100" s="703"/>
      <c r="B100" s="703"/>
      <c r="C100" s="697"/>
      <c r="D100" s="1705"/>
      <c r="E100" s="1705"/>
      <c r="F100" s="1705"/>
      <c r="G100" s="7"/>
    </row>
    <row r="101" spans="1:11" s="702" customFormat="1" ht="14.4">
      <c r="A101" s="703"/>
      <c r="B101" s="703"/>
      <c r="C101" s="697"/>
      <c r="D101" s="1705"/>
      <c r="E101" s="1705"/>
      <c r="F101" s="1705"/>
      <c r="G101" s="7"/>
    </row>
    <row r="102" spans="1:11" s="702" customFormat="1" ht="14.4">
      <c r="A102" s="703"/>
      <c r="B102" s="703"/>
      <c r="C102" s="697"/>
      <c r="D102" s="1705"/>
      <c r="E102" s="1705"/>
      <c r="F102" s="1705"/>
      <c r="G102" s="7"/>
    </row>
    <row r="103" spans="1:11" s="702" customFormat="1" ht="14.4">
      <c r="A103" s="703"/>
      <c r="B103" s="703"/>
      <c r="C103" s="697"/>
      <c r="D103" s="1705"/>
      <c r="E103" s="1705"/>
      <c r="F103" s="1705"/>
      <c r="G103" s="7"/>
    </row>
    <row r="104" spans="1:11" s="702" customFormat="1" ht="14.4">
      <c r="A104" s="703"/>
      <c r="B104" s="703"/>
      <c r="C104" s="697"/>
      <c r="D104" s="1705"/>
      <c r="E104" s="1705"/>
      <c r="F104" s="1705"/>
      <c r="G104" s="7"/>
    </row>
    <row r="105" spans="1:11" s="705" customFormat="1" ht="14.4">
      <c r="A105" s="706"/>
      <c r="B105" s="706"/>
      <c r="C105" s="697"/>
      <c r="D105" s="708"/>
      <c r="E105" s="708"/>
      <c r="F105" s="708"/>
      <c r="G105" s="7"/>
    </row>
    <row r="106" spans="1:11" ht="14.4">
      <c r="A106" s="400"/>
      <c r="B106" s="700" t="s">
        <v>312</v>
      </c>
      <c r="C106" s="466"/>
      <c r="D106" s="1763" t="s">
        <v>1227</v>
      </c>
      <c r="E106" s="1763"/>
      <c r="F106" s="1763"/>
      <c r="G106" s="467"/>
      <c r="H106" s="465"/>
      <c r="I106" s="465"/>
      <c r="J106" s="465"/>
      <c r="K106" s="465"/>
    </row>
    <row r="107" spans="1:11" ht="14.4">
      <c r="A107" s="261"/>
      <c r="B107" s="261"/>
      <c r="C107" s="315"/>
      <c r="D107" s="1763"/>
      <c r="E107" s="1763"/>
      <c r="F107" s="1763"/>
      <c r="G107" s="467"/>
      <c r="H107" s="465"/>
      <c r="I107" s="465"/>
      <c r="J107" s="465"/>
      <c r="K107" s="465"/>
    </row>
    <row r="108" spans="1:11" ht="14.4">
      <c r="A108" s="261"/>
      <c r="B108" s="261"/>
      <c r="C108" s="315"/>
      <c r="D108" s="1763"/>
      <c r="E108" s="1763"/>
      <c r="F108" s="1763"/>
      <c r="G108" s="467"/>
      <c r="H108" s="465"/>
      <c r="I108" s="465"/>
      <c r="J108" s="465"/>
      <c r="K108" s="465"/>
    </row>
    <row r="109" spans="1:11" ht="14.4">
      <c r="A109" s="261"/>
      <c r="B109" s="261"/>
      <c r="C109" s="315"/>
      <c r="D109" s="1763"/>
      <c r="E109" s="1763"/>
      <c r="F109" s="1763"/>
      <c r="G109" s="467"/>
      <c r="H109" s="465"/>
      <c r="I109" s="465"/>
      <c r="J109" s="465"/>
      <c r="K109" s="465"/>
    </row>
    <row r="110" spans="1:11" ht="14.4">
      <c r="A110" s="261"/>
      <c r="B110" s="261"/>
      <c r="C110" s="315"/>
      <c r="D110" s="1763"/>
      <c r="E110" s="1763"/>
      <c r="F110" s="1763"/>
      <c r="G110" s="467"/>
      <c r="H110" s="465"/>
      <c r="I110" s="465"/>
      <c r="J110" s="465"/>
      <c r="K110" s="465"/>
    </row>
    <row r="111" spans="1:11">
      <c r="C111"/>
      <c r="D111" s="1763"/>
      <c r="E111" s="1763"/>
      <c r="F111" s="1763"/>
      <c r="G111"/>
      <c r="H111"/>
      <c r="I111"/>
      <c r="J111"/>
      <c r="K111"/>
    </row>
    <row r="112" spans="1:11">
      <c r="C112"/>
      <c r="D112" s="1763"/>
      <c r="E112" s="1763"/>
      <c r="F112" s="1763"/>
      <c r="G112"/>
      <c r="H112"/>
      <c r="I112"/>
      <c r="J112"/>
      <c r="K112"/>
    </row>
    <row r="113" spans="1:11">
      <c r="C113"/>
      <c r="D113" s="472"/>
      <c r="E113"/>
      <c r="F113"/>
      <c r="G113"/>
      <c r="H113"/>
      <c r="I113"/>
      <c r="J113"/>
      <c r="K113"/>
    </row>
    <row r="114" spans="1:11" ht="14.4">
      <c r="A114" s="261"/>
      <c r="B114" s="671" t="s">
        <v>312</v>
      </c>
      <c r="C114"/>
      <c r="D114" s="1764" t="s">
        <v>1228</v>
      </c>
      <c r="E114" s="1764"/>
      <c r="F114" s="1764"/>
      <c r="G114"/>
      <c r="H114"/>
      <c r="I114"/>
      <c r="J114"/>
      <c r="K114"/>
    </row>
    <row r="115" spans="1:11" ht="14.4">
      <c r="A115" s="261"/>
      <c r="B115" s="261"/>
      <c r="C115"/>
      <c r="D115" s="1764"/>
      <c r="E115" s="1764"/>
      <c r="F115" s="1764"/>
      <c r="G115"/>
      <c r="H115"/>
      <c r="I115"/>
      <c r="J115"/>
      <c r="K115"/>
    </row>
    <row r="116" spans="1:11"/>
    <row r="117" spans="1:11" ht="14.4">
      <c r="A117" s="261"/>
      <c r="B117" s="671" t="s">
        <v>312</v>
      </c>
      <c r="C117" s="10"/>
      <c r="D117" s="1705" t="s">
        <v>1229</v>
      </c>
      <c r="E117" s="1705"/>
      <c r="F117" s="1705"/>
    </row>
    <row r="118" spans="1:11">
      <c r="C118" s="10"/>
      <c r="D118" s="1705"/>
      <c r="E118" s="1705"/>
      <c r="F118" s="1705"/>
    </row>
    <row r="119" spans="1:11">
      <c r="C119" s="10"/>
      <c r="D119" s="1705"/>
      <c r="E119" s="1705"/>
      <c r="F119" s="1705"/>
    </row>
    <row r="120" spans="1:11">
      <c r="C120" s="10"/>
      <c r="D120" s="1705"/>
      <c r="E120" s="1705"/>
      <c r="F120" s="1705"/>
    </row>
    <row r="121" spans="1:11">
      <c r="C121" s="10"/>
      <c r="D121" s="1705"/>
      <c r="E121" s="1705"/>
      <c r="F121" s="1705"/>
    </row>
    <row r="122" spans="1:11">
      <c r="C122" s="10"/>
      <c r="D122" s="149"/>
      <c r="E122" s="149"/>
      <c r="F122" s="149"/>
    </row>
    <row r="123" spans="1:11" customFormat="1" ht="14.4">
      <c r="A123" s="261"/>
      <c r="B123" s="671" t="s">
        <v>312</v>
      </c>
      <c r="C123" s="10"/>
      <c r="D123" s="1707" t="s">
        <v>1230</v>
      </c>
      <c r="E123" s="1707"/>
      <c r="F123" s="1707"/>
      <c r="G123" s="149"/>
    </row>
    <row r="124" spans="1:11" s="296" customFormat="1" ht="13.65" customHeight="1">
      <c r="A124" s="293"/>
      <c r="B124" s="293"/>
      <c r="C124" s="294"/>
      <c r="D124" s="1707"/>
      <c r="E124" s="1707"/>
      <c r="F124" s="1707"/>
      <c r="G124" s="295"/>
    </row>
    <row r="125" spans="1:11" customFormat="1" ht="13.65" customHeight="1">
      <c r="A125" s="132"/>
      <c r="B125" s="668"/>
      <c r="C125" s="10"/>
      <c r="D125" s="1707"/>
      <c r="E125" s="1707"/>
      <c r="F125" s="1707"/>
      <c r="G125" s="149"/>
    </row>
    <row r="126" spans="1:11" customFormat="1" ht="13.65" customHeight="1">
      <c r="A126" s="132"/>
      <c r="B126" s="668"/>
      <c r="C126" s="10"/>
      <c r="D126" s="1707"/>
      <c r="E126" s="1707"/>
      <c r="F126" s="1707"/>
      <c r="G126" s="149"/>
    </row>
    <row r="127" spans="1:11" customFormat="1" ht="13.65" customHeight="1">
      <c r="A127" s="132"/>
      <c r="B127" s="668"/>
      <c r="C127" s="10"/>
      <c r="D127" s="1707"/>
      <c r="E127" s="1707"/>
      <c r="F127" s="1707"/>
      <c r="G127" s="149"/>
    </row>
    <row r="128" spans="1:11" customFormat="1" ht="13.65" customHeight="1">
      <c r="A128" s="375"/>
      <c r="B128" s="375"/>
      <c r="C128" s="10"/>
      <c r="D128" s="1707"/>
      <c r="E128" s="1707"/>
      <c r="F128" s="1707"/>
      <c r="G128" s="149"/>
    </row>
    <row r="129" spans="1:7" s="2" customFormat="1" ht="13.65" customHeight="1">
      <c r="A129" s="273"/>
      <c r="B129" s="273"/>
      <c r="C129" s="439"/>
      <c r="D129" s="1707"/>
      <c r="E129" s="1707"/>
      <c r="F129" s="1707"/>
      <c r="G129" s="182"/>
    </row>
    <row r="130" spans="1:7" s="2" customFormat="1" ht="13.65" customHeight="1">
      <c r="A130" s="273"/>
      <c r="B130" s="273"/>
      <c r="C130" s="439"/>
      <c r="D130" s="1707"/>
      <c r="E130" s="1707"/>
      <c r="F130" s="1707"/>
      <c r="G130" s="182"/>
    </row>
    <row r="131" spans="1:7" customFormat="1" ht="13.65" customHeight="1">
      <c r="A131" s="132"/>
      <c r="B131" s="668"/>
      <c r="C131" s="10"/>
      <c r="D131" s="1707"/>
      <c r="E131" s="1707"/>
      <c r="F131" s="1707"/>
      <c r="G131" s="149"/>
    </row>
    <row r="132" spans="1:7" customFormat="1" ht="13.65" customHeight="1">
      <c r="A132" s="132"/>
      <c r="B132" s="668"/>
      <c r="C132" s="10"/>
      <c r="D132" s="1707"/>
      <c r="E132" s="1707"/>
      <c r="F132" s="1707"/>
      <c r="G132" s="149"/>
    </row>
    <row r="133" spans="1:7" customFormat="1" ht="13.65" customHeight="1">
      <c r="A133" s="132"/>
      <c r="B133" s="668"/>
      <c r="C133" s="10"/>
      <c r="D133" s="1707"/>
      <c r="E133" s="1707"/>
      <c r="F133" s="1707"/>
      <c r="G133" s="149"/>
    </row>
    <row r="134" spans="1:7" customFormat="1" ht="13.65" customHeight="1">
      <c r="A134" s="132"/>
      <c r="B134" s="668"/>
      <c r="C134" s="10"/>
      <c r="D134" s="1707"/>
      <c r="E134" s="1707"/>
      <c r="F134" s="1707"/>
      <c r="G134" s="149"/>
    </row>
    <row r="135" spans="1:7" customFormat="1" ht="13.65" customHeight="1">
      <c r="A135" s="132"/>
      <c r="B135" s="668"/>
      <c r="C135" s="10"/>
      <c r="D135" s="327"/>
      <c r="E135" s="151"/>
      <c r="F135" s="151"/>
      <c r="G135" s="149"/>
    </row>
    <row r="136" spans="1:7" s="709" customFormat="1" ht="13.65" customHeight="1">
      <c r="A136" s="697"/>
      <c r="B136" s="710" t="s">
        <v>312</v>
      </c>
      <c r="C136" s="10"/>
      <c r="D136" s="1705" t="s">
        <v>1338</v>
      </c>
      <c r="E136" s="1705"/>
      <c r="F136" s="1705"/>
      <c r="G136" s="149"/>
    </row>
    <row r="137" spans="1:7" s="709" customFormat="1" ht="13.65" customHeight="1">
      <c r="A137" s="697"/>
      <c r="B137" s="697"/>
      <c r="C137" s="10"/>
      <c r="D137" s="1705"/>
      <c r="E137" s="1705"/>
      <c r="F137" s="1705"/>
      <c r="G137" s="149"/>
    </row>
    <row r="138" spans="1:7" s="709" customFormat="1" ht="13.65" customHeight="1">
      <c r="A138" s="697"/>
      <c r="B138" s="697"/>
      <c r="C138" s="10"/>
      <c r="D138" s="1705"/>
      <c r="E138" s="1705"/>
      <c r="F138" s="1705"/>
      <c r="G138" s="149"/>
    </row>
    <row r="139" spans="1:7" s="709" customFormat="1" ht="13.65" customHeight="1">
      <c r="A139" s="697"/>
      <c r="B139" s="697"/>
      <c r="C139" s="10"/>
      <c r="D139" s="1705"/>
      <c r="E139" s="1705"/>
      <c r="F139" s="1705"/>
      <c r="G139" s="149"/>
    </row>
    <row r="140" spans="1:7" s="709" customFormat="1" ht="13.65" customHeight="1">
      <c r="A140" s="697"/>
      <c r="B140" s="697"/>
      <c r="C140" s="10"/>
      <c r="D140" s="1705"/>
      <c r="E140" s="1705"/>
      <c r="F140" s="1705"/>
      <c r="G140" s="149"/>
    </row>
    <row r="141" spans="1:7" s="709" customFormat="1" ht="13.65" customHeight="1">
      <c r="A141" s="697"/>
      <c r="B141" s="697"/>
      <c r="C141" s="10"/>
      <c r="D141" s="1705"/>
      <c r="E141" s="1705"/>
      <c r="F141" s="1705"/>
      <c r="G141" s="149"/>
    </row>
    <row r="142" spans="1:7" s="709" customFormat="1" ht="13.65" customHeight="1">
      <c r="A142" s="697"/>
      <c r="B142" s="697"/>
      <c r="C142" s="10"/>
      <c r="D142" s="1705"/>
      <c r="E142" s="1705"/>
      <c r="F142" s="1705"/>
      <c r="G142" s="149"/>
    </row>
    <row r="143" spans="1:7" s="709" customFormat="1" ht="13.65" customHeight="1">
      <c r="A143" s="697"/>
      <c r="B143" s="697"/>
      <c r="C143" s="10"/>
      <c r="D143" s="1705"/>
      <c r="E143" s="1705"/>
      <c r="F143" s="1705"/>
      <c r="G143" s="149"/>
    </row>
    <row r="144" spans="1:7" s="709" customFormat="1" ht="13.65" customHeight="1">
      <c r="A144" s="697"/>
      <c r="B144" s="697"/>
      <c r="C144" s="10"/>
      <c r="D144" s="1705"/>
      <c r="E144" s="1705"/>
      <c r="F144" s="1705"/>
      <c r="G144" s="149"/>
    </row>
    <row r="145" spans="1:7" s="709" customFormat="1" ht="13.65" customHeight="1">
      <c r="A145" s="697"/>
      <c r="B145" s="697"/>
      <c r="C145" s="10"/>
      <c r="D145" s="1705"/>
      <c r="E145" s="1705"/>
      <c r="F145" s="1705"/>
      <c r="G145" s="149"/>
    </row>
    <row r="146" spans="1:7" s="709" customFormat="1" ht="13.65" customHeight="1">
      <c r="A146" s="739"/>
      <c r="B146" s="739"/>
      <c r="C146" s="10"/>
      <c r="D146" s="1705"/>
      <c r="E146" s="1705"/>
      <c r="F146" s="1705"/>
      <c r="G146" s="149"/>
    </row>
    <row r="147" spans="1:7" s="709" customFormat="1" ht="13.65" customHeight="1">
      <c r="A147" s="739"/>
      <c r="B147" s="739"/>
      <c r="C147" s="10"/>
      <c r="D147" s="1705"/>
      <c r="E147" s="1705"/>
      <c r="F147" s="1705"/>
      <c r="G147" s="149"/>
    </row>
    <row r="148" spans="1:7" s="709" customFormat="1" ht="13.65" customHeight="1">
      <c r="A148" s="697"/>
      <c r="B148" s="697"/>
      <c r="C148" s="10"/>
      <c r="D148" s="1705"/>
      <c r="E148" s="1705"/>
      <c r="F148" s="1705"/>
      <c r="G148" s="149"/>
    </row>
    <row r="149" spans="1:7" s="709" customFormat="1" ht="13.65" customHeight="1">
      <c r="A149" s="697"/>
      <c r="B149" s="697"/>
      <c r="C149" s="10"/>
      <c r="D149" s="1705"/>
      <c r="E149" s="1705"/>
      <c r="F149" s="1705"/>
      <c r="G149" s="149"/>
    </row>
    <row r="150" spans="1:7" s="709" customFormat="1" ht="13.65" customHeight="1">
      <c r="A150" s="697"/>
      <c r="B150" s="697"/>
      <c r="C150" s="10"/>
      <c r="D150" s="1705"/>
      <c r="E150" s="1705"/>
      <c r="F150" s="1705"/>
      <c r="G150" s="149"/>
    </row>
    <row r="151" spans="1:7" s="709" customFormat="1" ht="13.65" customHeight="1">
      <c r="A151" s="697"/>
      <c r="B151" s="697"/>
      <c r="C151" s="10"/>
      <c r="D151" s="1705"/>
      <c r="E151" s="1705"/>
      <c r="F151" s="1705"/>
      <c r="G151" s="149"/>
    </row>
    <row r="152" spans="1:7" s="709" customFormat="1" ht="13.65" customHeight="1">
      <c r="A152" s="697"/>
      <c r="B152" s="697"/>
      <c r="C152" s="10"/>
      <c r="D152" s="1705"/>
      <c r="E152" s="1705"/>
      <c r="F152" s="1705"/>
      <c r="G152" s="149"/>
    </row>
    <row r="153" spans="1:7" s="709" customFormat="1" ht="13.65" customHeight="1">
      <c r="A153" s="697"/>
      <c r="B153" s="697"/>
      <c r="C153" s="10"/>
      <c r="D153" s="1705"/>
      <c r="E153" s="1705"/>
      <c r="F153" s="1705"/>
      <c r="G153" s="149"/>
    </row>
    <row r="154" spans="1:7" s="709" customFormat="1" ht="13.65" customHeight="1">
      <c r="A154" s="697"/>
      <c r="B154" s="697"/>
      <c r="C154" s="10"/>
      <c r="D154" s="1705"/>
      <c r="E154" s="1705"/>
      <c r="F154" s="1705"/>
      <c r="G154" s="149"/>
    </row>
    <row r="155" spans="1:7" s="709" customFormat="1" ht="13.65" customHeight="1">
      <c r="A155" s="697"/>
      <c r="B155" s="697"/>
      <c r="C155" s="10"/>
      <c r="D155" s="327"/>
      <c r="E155" s="151"/>
      <c r="F155" s="151"/>
      <c r="G155" s="149"/>
    </row>
    <row r="156" spans="1:7" customFormat="1" ht="13.65" customHeight="1">
      <c r="A156" s="375"/>
      <c r="B156" s="671" t="s">
        <v>312</v>
      </c>
      <c r="C156" s="325"/>
      <c r="D156" s="1765" t="s">
        <v>1231</v>
      </c>
      <c r="E156" s="1765"/>
      <c r="F156" s="1765"/>
      <c r="G156" s="441"/>
    </row>
    <row r="157" spans="1:7" customFormat="1" ht="13.65" customHeight="1">
      <c r="A157" s="375"/>
      <c r="B157" s="375"/>
      <c r="C157" s="325"/>
      <c r="D157" s="1765"/>
      <c r="E157" s="1765"/>
      <c r="F157" s="1765"/>
      <c r="G157" s="441"/>
    </row>
    <row r="158" spans="1:7" customFormat="1" ht="13.65" customHeight="1">
      <c r="A158" s="375"/>
      <c r="B158" s="375"/>
      <c r="C158" s="325"/>
      <c r="D158" s="327"/>
      <c r="E158" s="325"/>
      <c r="F158" s="325"/>
      <c r="G158" s="441"/>
    </row>
    <row r="159" spans="1:7" customFormat="1" ht="13.65" customHeight="1">
      <c r="A159" s="375"/>
      <c r="B159" s="671" t="s">
        <v>312</v>
      </c>
      <c r="C159" s="325"/>
      <c r="D159" s="1708" t="s">
        <v>1232</v>
      </c>
      <c r="E159" s="1708"/>
      <c r="F159" s="1708"/>
      <c r="G159" s="441"/>
    </row>
    <row r="160" spans="1:7" customFormat="1" ht="13.65" customHeight="1">
      <c r="A160" s="375"/>
      <c r="B160" s="375"/>
      <c r="C160" s="325"/>
      <c r="D160" s="1708"/>
      <c r="E160" s="1708"/>
      <c r="F160" s="1708"/>
      <c r="G160" s="441"/>
    </row>
    <row r="161" spans="1:7" customFormat="1" ht="13.65" customHeight="1">
      <c r="A161" s="375"/>
      <c r="B161" s="375"/>
      <c r="C161" s="325"/>
      <c r="D161" s="1708"/>
      <c r="E161" s="1708"/>
      <c r="F161" s="1708"/>
      <c r="G161" s="441"/>
    </row>
    <row r="162" spans="1:7" customFormat="1" ht="13.65" customHeight="1">
      <c r="A162" s="375"/>
      <c r="B162" s="375"/>
      <c r="C162" s="325"/>
      <c r="D162" s="1708"/>
      <c r="E162" s="1708"/>
      <c r="F162" s="1708"/>
      <c r="G162" s="441"/>
    </row>
    <row r="163" spans="1:7" customFormat="1" ht="13.65" customHeight="1">
      <c r="A163" s="132"/>
      <c r="B163" s="668"/>
      <c r="C163" s="10"/>
      <c r="D163" s="151"/>
      <c r="E163" s="151"/>
      <c r="F163" s="151"/>
      <c r="G163" s="149"/>
    </row>
    <row r="164" spans="1:7" customFormat="1" ht="13.65" customHeight="1">
      <c r="A164" s="132"/>
      <c r="B164" s="671" t="s">
        <v>312</v>
      </c>
      <c r="C164" s="10"/>
      <c r="D164" s="1753" t="s">
        <v>1233</v>
      </c>
      <c r="E164" s="1753"/>
      <c r="F164" s="1753"/>
      <c r="G164" s="149"/>
    </row>
    <row r="165" spans="1:7" customFormat="1" ht="13.65" customHeight="1">
      <c r="A165" s="132"/>
      <c r="B165" s="668"/>
      <c r="C165" s="10"/>
      <c r="D165" s="1753"/>
      <c r="E165" s="1753"/>
      <c r="F165" s="1753"/>
      <c r="G165" s="149"/>
    </row>
    <row r="166" spans="1:7" customFormat="1" ht="13.65" customHeight="1">
      <c r="A166" s="132"/>
      <c r="B166" s="668"/>
      <c r="C166" s="10"/>
      <c r="D166" s="1753"/>
      <c r="E166" s="1753"/>
      <c r="F166" s="1753"/>
      <c r="G166" s="149"/>
    </row>
    <row r="167" spans="1:7" customFormat="1" ht="13.65" customHeight="1">
      <c r="A167" s="23"/>
      <c r="B167" s="667"/>
      <c r="C167" s="10"/>
      <c r="D167" s="7"/>
      <c r="E167" s="151"/>
      <c r="F167" s="151"/>
      <c r="G167" s="149"/>
    </row>
    <row r="168" spans="1:7">
      <c r="A168" s="1731" t="s">
        <v>1127</v>
      </c>
      <c r="B168" s="1731"/>
      <c r="C168" s="1731"/>
      <c r="D168" s="1731"/>
      <c r="E168" s="1731"/>
      <c r="F168" s="1731"/>
      <c r="G168" s="1731"/>
    </row>
    <row r="169" spans="1:7" ht="12" customHeight="1">
      <c r="D169" s="135"/>
      <c r="E169" s="135"/>
      <c r="F169" s="135"/>
    </row>
    <row r="170" spans="1:7">
      <c r="B170" s="1727" t="s">
        <v>463</v>
      </c>
      <c r="C170" s="1727"/>
      <c r="D170" s="1727"/>
      <c r="E170" s="1727"/>
      <c r="F170" s="1727"/>
    </row>
    <row r="171" spans="1:7" ht="12" customHeight="1">
      <c r="A171" s="255"/>
      <c r="B171" s="665"/>
      <c r="C171" s="255"/>
    </row>
    <row r="172" spans="1:7">
      <c r="A172" s="1731" t="s">
        <v>1128</v>
      </c>
      <c r="B172" s="1731"/>
      <c r="C172" s="1731"/>
      <c r="D172" s="1731"/>
      <c r="E172" s="1731"/>
      <c r="F172" s="1731"/>
      <c r="G172" s="1731"/>
    </row>
    <row r="173" spans="1:7" ht="12" customHeight="1">
      <c r="A173" s="264"/>
      <c r="B173" s="264"/>
      <c r="C173" s="265"/>
      <c r="D173" s="57"/>
      <c r="E173" s="49"/>
      <c r="F173" s="57"/>
      <c r="G173" s="57"/>
    </row>
    <row r="174" spans="1:7" ht="13.35" customHeight="1">
      <c r="A174" s="264"/>
      <c r="B174" s="264"/>
      <c r="C174" s="265"/>
      <c r="D174" s="1767" t="s">
        <v>1236</v>
      </c>
      <c r="E174" s="1767"/>
      <c r="F174" s="1767"/>
      <c r="G174" s="57"/>
    </row>
    <row r="175" spans="1:7">
      <c r="A175" s="264"/>
      <c r="B175" s="264"/>
      <c r="C175" s="265"/>
      <c r="D175" s="1767"/>
      <c r="E175" s="1767"/>
      <c r="F175" s="1767"/>
      <c r="G175" s="57"/>
    </row>
    <row r="176" spans="1:7" s="711" customFormat="1">
      <c r="A176" s="713"/>
      <c r="B176" s="713"/>
      <c r="C176" s="265"/>
      <c r="D176" s="1768" t="s">
        <v>1237</v>
      </c>
      <c r="E176" s="1768"/>
      <c r="F176" s="1768"/>
      <c r="G176" s="57"/>
    </row>
    <row r="177" spans="1:7" ht="12" customHeight="1">
      <c r="A177" s="264"/>
      <c r="B177" s="264"/>
      <c r="C177" s="265"/>
      <c r="D177" s="57"/>
      <c r="E177" s="49"/>
      <c r="F177" s="57"/>
      <c r="G177" s="57"/>
    </row>
    <row r="178" spans="1:7" ht="14.4">
      <c r="A178" s="261"/>
      <c r="B178" s="671" t="s">
        <v>312</v>
      </c>
      <c r="C178" s="265"/>
      <c r="D178" s="1766" t="s">
        <v>1235</v>
      </c>
      <c r="E178" s="1766"/>
      <c r="F178" s="1766"/>
      <c r="G178" s="57"/>
    </row>
    <row r="179" spans="1:7" ht="14.4">
      <c r="A179" s="261"/>
      <c r="B179" s="261"/>
      <c r="C179" s="265"/>
      <c r="D179" s="1766"/>
      <c r="E179" s="1766"/>
      <c r="F179" s="1766"/>
      <c r="G179" s="57"/>
    </row>
    <row r="180" spans="1:7" ht="14.4">
      <c r="A180" s="261"/>
      <c r="B180" s="261"/>
      <c r="C180" s="265"/>
      <c r="D180" s="1766"/>
      <c r="E180" s="1766"/>
      <c r="F180" s="1766"/>
      <c r="G180" s="57"/>
    </row>
    <row r="181" spans="1:7">
      <c r="A181" s="265"/>
      <c r="B181" s="265"/>
      <c r="C181" s="265"/>
      <c r="D181" s="1766"/>
      <c r="E181" s="1766"/>
      <c r="F181" s="1766"/>
    </row>
    <row r="182" spans="1:7">
      <c r="A182" s="265"/>
      <c r="B182" s="265"/>
      <c r="C182" s="265"/>
      <c r="D182" s="401"/>
      <c r="E182" s="57"/>
      <c r="F182" s="57"/>
    </row>
    <row r="183" spans="1:7">
      <c r="A183" s="265"/>
      <c r="B183" s="265"/>
      <c r="C183" s="265"/>
      <c r="D183" s="1770" t="s">
        <v>1144</v>
      </c>
      <c r="E183" s="1770"/>
      <c r="F183" s="1770"/>
    </row>
    <row r="184" spans="1:7">
      <c r="A184" s="265"/>
      <c r="B184" s="265"/>
      <c r="C184" s="265"/>
      <c r="D184" s="1770"/>
      <c r="E184" s="1770"/>
      <c r="F184" s="1770"/>
    </row>
    <row r="185" spans="1:7" s="674" customFormat="1">
      <c r="A185" s="265"/>
      <c r="B185" s="265"/>
      <c r="C185" s="265"/>
      <c r="D185" s="688"/>
      <c r="E185" s="688"/>
      <c r="F185" s="688"/>
      <c r="G185" s="7"/>
    </row>
    <row r="186" spans="1:7" s="669" customFormat="1" ht="14.4">
      <c r="A186" s="261"/>
      <c r="B186" s="671" t="s">
        <v>312</v>
      </c>
      <c r="C186" s="550"/>
      <c r="D186" s="1705" t="s">
        <v>1234</v>
      </c>
      <c r="E186" s="1705"/>
      <c r="F186" s="1705"/>
      <c r="G186" s="670"/>
    </row>
    <row r="187" spans="1:7" s="669" customFormat="1" ht="14.4" customHeight="1">
      <c r="A187" s="261"/>
      <c r="C187" s="550"/>
      <c r="D187" s="1705"/>
      <c r="E187" s="1705"/>
      <c r="F187" s="1705"/>
      <c r="G187" s="670"/>
    </row>
    <row r="188" spans="1:7" s="669" customFormat="1" ht="14.4">
      <c r="A188" s="261"/>
      <c r="B188" s="689"/>
      <c r="C188" s="550"/>
      <c r="D188" s="1705"/>
      <c r="E188" s="1705"/>
      <c r="F188" s="1705"/>
      <c r="G188" s="670"/>
    </row>
    <row r="189" spans="1:7" s="669" customFormat="1" ht="14.4">
      <c r="A189" s="261"/>
      <c r="B189" s="689"/>
      <c r="C189" s="550"/>
      <c r="D189" s="1705"/>
      <c r="E189" s="1705"/>
      <c r="F189" s="1705"/>
      <c r="G189" s="670"/>
    </row>
    <row r="190" spans="1:7" s="674" customFormat="1">
      <c r="A190" s="265"/>
      <c r="B190" s="265"/>
      <c r="C190" s="265"/>
      <c r="D190" s="688"/>
      <c r="E190" s="688"/>
      <c r="F190" s="688"/>
      <c r="G190" s="7"/>
    </row>
    <row r="191" spans="1:7">
      <c r="A191" s="1731" t="s">
        <v>1129</v>
      </c>
      <c r="B191" s="1731"/>
      <c r="C191" s="1731"/>
      <c r="D191" s="1731"/>
      <c r="E191" s="1731"/>
      <c r="F191" s="1731"/>
      <c r="G191" s="1731"/>
    </row>
    <row r="192" spans="1:7" ht="12" customHeight="1">
      <c r="D192" s="135"/>
      <c r="E192" s="135"/>
      <c r="F192" s="135"/>
    </row>
    <row r="193" spans="1:6">
      <c r="C193" s="262"/>
      <c r="D193" s="1769" t="s">
        <v>213</v>
      </c>
      <c r="E193" s="1769"/>
      <c r="F193" s="1769"/>
    </row>
    <row r="194" spans="1:6">
      <c r="A194" s="255"/>
      <c r="B194" s="665"/>
      <c r="C194" s="255"/>
      <c r="D194" s="1737" t="s">
        <v>1258</v>
      </c>
      <c r="E194" s="1738"/>
      <c r="F194" s="1738"/>
    </row>
    <row r="195" spans="1:6" ht="12" customHeight="1">
      <c r="A195" s="23"/>
      <c r="B195" s="667"/>
      <c r="C195" s="23"/>
    </row>
    <row r="196" spans="1:6" ht="13.35" customHeight="1">
      <c r="A196" s="23"/>
      <c r="C196" s="23"/>
      <c r="D196" s="1729" t="s">
        <v>570</v>
      </c>
      <c r="E196" s="1729"/>
      <c r="F196" s="1729"/>
    </row>
    <row r="197" spans="1:6" ht="14.4">
      <c r="A197" s="261"/>
      <c r="B197" s="671" t="s">
        <v>312</v>
      </c>
      <c r="D197" s="1705" t="s">
        <v>1252</v>
      </c>
      <c r="E197" s="1705"/>
      <c r="F197" s="1705"/>
    </row>
    <row r="198" spans="1:6" ht="14.4">
      <c r="A198" s="261"/>
      <c r="B198" s="261"/>
      <c r="D198" s="1705"/>
      <c r="E198" s="1705"/>
      <c r="F198" s="1705"/>
    </row>
    <row r="199" spans="1:6"/>
    <row r="200" spans="1:6" ht="14.4">
      <c r="A200" s="261"/>
      <c r="B200" s="671" t="s">
        <v>312</v>
      </c>
      <c r="D200" s="1705" t="s">
        <v>1253</v>
      </c>
      <c r="E200" s="1705"/>
      <c r="F200" s="1705"/>
    </row>
    <row r="201" spans="1:6" ht="14.4">
      <c r="A201" s="261"/>
      <c r="B201" s="261"/>
      <c r="D201" s="1705"/>
      <c r="E201" s="1705"/>
      <c r="F201" s="1705"/>
    </row>
    <row r="202" spans="1:6" ht="14.4">
      <c r="A202" s="261"/>
      <c r="B202" s="261"/>
      <c r="D202" s="1705"/>
      <c r="E202" s="1705"/>
      <c r="F202" s="1705"/>
    </row>
    <row r="203" spans="1:6" ht="5.0999999999999996" customHeight="1">
      <c r="A203" s="261"/>
      <c r="B203" s="261"/>
      <c r="D203" s="151"/>
      <c r="E203" s="135"/>
      <c r="F203" s="135"/>
    </row>
    <row r="204" spans="1:6" ht="14.4">
      <c r="A204" s="261"/>
      <c r="B204" s="261"/>
      <c r="D204" s="1705" t="s">
        <v>1254</v>
      </c>
      <c r="E204" s="1705"/>
      <c r="F204" s="1705"/>
    </row>
    <row r="205" spans="1:6" ht="14.4">
      <c r="A205" s="261"/>
      <c r="B205" s="261"/>
      <c r="D205" s="1705"/>
      <c r="E205" s="1705"/>
      <c r="F205" s="1705"/>
    </row>
    <row r="206" spans="1:6" ht="14.4">
      <c r="A206" s="261"/>
      <c r="B206" s="261"/>
      <c r="D206" s="1705"/>
      <c r="E206" s="1705"/>
      <c r="F206" s="1705"/>
    </row>
    <row r="207" spans="1:6" ht="14.4">
      <c r="A207" s="261"/>
      <c r="B207" s="261"/>
      <c r="D207" s="1705"/>
      <c r="E207" s="1705"/>
      <c r="F207" s="1705"/>
    </row>
    <row r="208" spans="1:6" ht="14.4">
      <c r="A208" s="261"/>
      <c r="B208" s="261"/>
      <c r="D208" s="1705"/>
      <c r="E208" s="1705"/>
      <c r="F208" s="1705"/>
    </row>
    <row r="209" spans="1:7" ht="14.4">
      <c r="A209" s="261"/>
      <c r="B209" s="261"/>
      <c r="D209" s="135"/>
      <c r="E209" s="135"/>
      <c r="F209" s="135"/>
    </row>
    <row r="210" spans="1:7" ht="14.4">
      <c r="A210" s="261"/>
      <c r="B210" s="671" t="s">
        <v>312</v>
      </c>
      <c r="D210" s="1726" t="s">
        <v>1255</v>
      </c>
      <c r="E210" s="1726"/>
      <c r="F210" s="1726"/>
    </row>
    <row r="211" spans="1:7" ht="14.4">
      <c r="A211" s="261"/>
      <c r="B211" s="261"/>
      <c r="D211" s="1726"/>
      <c r="E211" s="1726"/>
      <c r="F211" s="1726"/>
    </row>
    <row r="212" spans="1:7" ht="14.4">
      <c r="A212" s="261"/>
      <c r="B212" s="261"/>
      <c r="D212" s="1727" t="s">
        <v>944</v>
      </c>
      <c r="E212" s="1727"/>
      <c r="F212" s="1727"/>
    </row>
    <row r="213" spans="1:7" ht="14.4">
      <c r="A213" s="261"/>
      <c r="B213" s="261"/>
      <c r="D213" s="135"/>
      <c r="E213" s="135"/>
      <c r="F213" s="135"/>
    </row>
    <row r="214" spans="1:7" ht="14.4" customHeight="1">
      <c r="A214" s="261"/>
      <c r="B214" s="671" t="s">
        <v>312</v>
      </c>
      <c r="D214" s="1726" t="s">
        <v>1257</v>
      </c>
      <c r="E214" s="1726"/>
      <c r="F214" s="1726"/>
    </row>
    <row r="215" spans="1:7" ht="14.4">
      <c r="A215" s="261"/>
      <c r="B215" s="261"/>
      <c r="D215" s="1726"/>
      <c r="E215" s="1726"/>
      <c r="F215" s="1726"/>
    </row>
    <row r="216" spans="1:7" ht="14.4">
      <c r="A216" s="261"/>
      <c r="B216" s="261"/>
      <c r="D216" s="1726"/>
      <c r="E216" s="1726"/>
      <c r="F216" s="1726"/>
    </row>
    <row r="217" spans="1:7" ht="14.4">
      <c r="A217" s="261"/>
      <c r="B217" s="261"/>
      <c r="D217" s="1726"/>
      <c r="E217" s="1726"/>
      <c r="F217" s="1726"/>
    </row>
    <row r="218" spans="1:7" ht="14.4">
      <c r="A218" s="261"/>
      <c r="B218" s="261"/>
      <c r="D218" s="1726"/>
      <c r="E218" s="1726"/>
      <c r="F218" s="1726"/>
    </row>
    <row r="219" spans="1:7">
      <c r="D219" s="135"/>
      <c r="E219" s="135"/>
      <c r="F219" s="135"/>
    </row>
    <row r="220" spans="1:7" ht="14.4">
      <c r="A220" s="261"/>
      <c r="B220" s="671" t="s">
        <v>312</v>
      </c>
      <c r="D220" s="1705" t="s">
        <v>1256</v>
      </c>
      <c r="E220" s="1705"/>
      <c r="F220" s="1705"/>
    </row>
    <row r="221" spans="1:7" ht="14.4">
      <c r="A221" s="261"/>
      <c r="B221" s="261"/>
      <c r="D221" s="1705"/>
      <c r="E221" s="1705"/>
      <c r="F221" s="1705"/>
    </row>
    <row r="222" spans="1:7">
      <c r="D222" s="29"/>
    </row>
    <row r="223" spans="1:7">
      <c r="A223" s="1731" t="s">
        <v>1130</v>
      </c>
      <c r="B223" s="1731"/>
      <c r="C223" s="1731"/>
      <c r="D223" s="1731"/>
      <c r="E223" s="1731"/>
      <c r="F223" s="1731"/>
      <c r="G223" s="1731"/>
    </row>
    <row r="224" spans="1:7">
      <c r="D224" s="29"/>
    </row>
    <row r="225" spans="1:6">
      <c r="C225" s="262"/>
      <c r="D225" s="1729" t="s">
        <v>1259</v>
      </c>
      <c r="E225" s="1729"/>
      <c r="F225" s="1729"/>
    </row>
    <row r="226" spans="1:6">
      <c r="A226" s="255"/>
      <c r="B226" s="665"/>
      <c r="C226" s="255"/>
      <c r="D226" s="135"/>
      <c r="E226" s="135"/>
      <c r="F226" s="135"/>
    </row>
    <row r="227" spans="1:6">
      <c r="A227" s="260"/>
      <c r="B227" s="260"/>
      <c r="C227" s="260"/>
      <c r="D227" s="1729" t="s">
        <v>274</v>
      </c>
      <c r="E227" s="1729"/>
      <c r="F227" s="1729"/>
    </row>
    <row r="228" spans="1:6" ht="14.4">
      <c r="A228" s="261"/>
      <c r="B228" s="671" t="s">
        <v>312</v>
      </c>
      <c r="D228" s="1779" t="s">
        <v>1260</v>
      </c>
      <c r="E228" s="1779"/>
      <c r="F228" s="1779"/>
    </row>
    <row r="229" spans="1:6" ht="14.4">
      <c r="A229" s="261"/>
      <c r="B229" s="261"/>
      <c r="D229" s="1779"/>
      <c r="E229" s="1779"/>
      <c r="F229" s="1779"/>
    </row>
    <row r="230" spans="1:6">
      <c r="D230" s="135"/>
      <c r="E230" s="135"/>
      <c r="F230" s="135"/>
    </row>
    <row r="231" spans="1:6" ht="14.4" customHeight="1">
      <c r="A231" s="261"/>
      <c r="B231" s="671" t="s">
        <v>312</v>
      </c>
      <c r="D231" s="1726" t="s">
        <v>1261</v>
      </c>
      <c r="E231" s="1726"/>
      <c r="F231" s="1726"/>
    </row>
    <row r="232" spans="1:6">
      <c r="D232" s="1726"/>
      <c r="E232" s="1726"/>
      <c r="F232" s="1726"/>
    </row>
    <row r="233" spans="1:6">
      <c r="D233" s="1738" t="s">
        <v>935</v>
      </c>
      <c r="E233" s="1738"/>
      <c r="F233" s="1738"/>
    </row>
    <row r="234" spans="1:6">
      <c r="D234" s="135"/>
      <c r="E234" s="135"/>
      <c r="F234" s="135"/>
    </row>
    <row r="235" spans="1:6" ht="14.4" customHeight="1">
      <c r="A235" s="261"/>
      <c r="B235" s="671" t="s">
        <v>312</v>
      </c>
      <c r="D235" s="1726" t="s">
        <v>1263</v>
      </c>
      <c r="E235" s="1726"/>
      <c r="F235" s="1726"/>
    </row>
    <row r="236" spans="1:6">
      <c r="D236" s="1726"/>
      <c r="E236" s="1726"/>
      <c r="F236" s="1726"/>
    </row>
    <row r="237" spans="1:6">
      <c r="D237" s="1726"/>
      <c r="E237" s="1726"/>
      <c r="F237" s="1726"/>
    </row>
    <row r="238" spans="1:6">
      <c r="D238" s="1726"/>
      <c r="E238" s="1726"/>
      <c r="F238" s="1726"/>
    </row>
    <row r="239" spans="1:6">
      <c r="D239" s="1726"/>
      <c r="E239" s="1726"/>
      <c r="F239" s="1726"/>
    </row>
    <row r="240" spans="1:6">
      <c r="D240" s="135"/>
      <c r="E240" s="135"/>
      <c r="F240" s="135"/>
    </row>
    <row r="241" spans="1:7" ht="14.4">
      <c r="A241" s="261"/>
      <c r="B241" s="671" t="s">
        <v>312</v>
      </c>
      <c r="D241" s="1705" t="s">
        <v>1262</v>
      </c>
      <c r="E241" s="1705"/>
      <c r="F241" s="1705"/>
    </row>
    <row r="242" spans="1:7">
      <c r="D242" s="1705"/>
      <c r="E242" s="1705"/>
      <c r="F242" s="1705"/>
    </row>
    <row r="243" spans="1:7">
      <c r="D243" s="1705"/>
      <c r="E243" s="1705"/>
      <c r="F243" s="1705"/>
    </row>
    <row r="244" spans="1:7">
      <c r="D244" s="263"/>
      <c r="E244" s="135"/>
      <c r="F244" s="135"/>
    </row>
    <row r="245" spans="1:7">
      <c r="A245" s="1731" t="s">
        <v>1131</v>
      </c>
      <c r="B245" s="1731"/>
      <c r="C245" s="1731"/>
      <c r="D245" s="1731"/>
      <c r="E245" s="1731"/>
      <c r="F245" s="1731"/>
      <c r="G245" s="1731"/>
    </row>
    <row r="246" spans="1:7">
      <c r="D246" s="263"/>
      <c r="E246" s="135"/>
      <c r="F246" s="135"/>
    </row>
    <row r="247" spans="1:7">
      <c r="C247" s="255"/>
      <c r="D247" s="1747" t="s">
        <v>1264</v>
      </c>
      <c r="E247" s="1747"/>
      <c r="F247" s="1747"/>
    </row>
    <row r="248" spans="1:7">
      <c r="C248" s="255"/>
      <c r="D248" s="1747"/>
      <c r="E248" s="1747"/>
      <c r="F248" s="1747"/>
    </row>
    <row r="249" spans="1:7">
      <c r="A249" s="260"/>
      <c r="B249" s="260"/>
      <c r="C249" s="260"/>
      <c r="D249" s="5"/>
      <c r="E249" s="6"/>
      <c r="F249" s="6"/>
    </row>
    <row r="250" spans="1:7">
      <c r="C250" s="260"/>
      <c r="D250" s="1729" t="s">
        <v>214</v>
      </c>
      <c r="E250" s="1729"/>
      <c r="F250" s="1729"/>
    </row>
    <row r="251" spans="1:7" ht="15.75" customHeight="1">
      <c r="A251" s="261"/>
      <c r="B251" s="261"/>
      <c r="D251" s="1735" t="s">
        <v>1265</v>
      </c>
      <c r="E251" s="1735"/>
      <c r="F251" s="1735"/>
    </row>
    <row r="252" spans="1:7">
      <c r="E252" s="135"/>
      <c r="F252" s="135"/>
    </row>
    <row r="253" spans="1:7" ht="14.4">
      <c r="A253" s="261"/>
      <c r="B253" s="671" t="s">
        <v>312</v>
      </c>
      <c r="D253" s="1705" t="s">
        <v>1266</v>
      </c>
      <c r="E253" s="1705"/>
      <c r="F253" s="1705"/>
    </row>
    <row r="254" spans="1:7" ht="14.4">
      <c r="A254" s="261"/>
      <c r="B254" s="261"/>
      <c r="D254" s="1705"/>
      <c r="E254" s="1705"/>
      <c r="F254" s="1705"/>
    </row>
    <row r="255" spans="1:7">
      <c r="D255" s="135"/>
      <c r="E255" s="135"/>
      <c r="F255" s="135"/>
    </row>
    <row r="256" spans="1:7" ht="14.4">
      <c r="A256" s="261"/>
      <c r="B256" s="671" t="s">
        <v>312</v>
      </c>
      <c r="D256" s="1726" t="s">
        <v>1267</v>
      </c>
      <c r="E256" s="1726"/>
      <c r="F256" s="1726"/>
    </row>
    <row r="257" spans="1:7" ht="14.4">
      <c r="A257" s="261"/>
      <c r="B257" s="261"/>
      <c r="D257" s="1726"/>
      <c r="E257" s="1726"/>
      <c r="F257" s="1726"/>
    </row>
    <row r="258" spans="1:7" ht="14.4">
      <c r="A258" s="261"/>
      <c r="B258" s="261"/>
      <c r="D258" s="1726"/>
      <c r="E258" s="1726"/>
      <c r="F258" s="1726"/>
    </row>
    <row r="259" spans="1:7">
      <c r="D259" s="135"/>
      <c r="E259" s="135"/>
      <c r="F259" s="135"/>
    </row>
    <row r="260" spans="1:7" ht="14.4">
      <c r="A260" s="261"/>
      <c r="B260" s="671" t="s">
        <v>312</v>
      </c>
      <c r="D260" s="1705" t="s">
        <v>1268</v>
      </c>
      <c r="E260" s="1705"/>
      <c r="F260" s="1705"/>
    </row>
    <row r="261" spans="1:7" ht="14.4">
      <c r="A261" s="261"/>
      <c r="B261" s="261"/>
      <c r="D261" s="1705"/>
      <c r="E261" s="1705"/>
      <c r="F261" s="1705"/>
    </row>
    <row r="262" spans="1:7">
      <c r="A262" s="23"/>
      <c r="B262" s="667"/>
      <c r="E262" s="135"/>
      <c r="F262" s="135"/>
    </row>
    <row r="263" spans="1:7">
      <c r="A263" s="1731" t="s">
        <v>1132</v>
      </c>
      <c r="B263" s="1731"/>
      <c r="C263" s="1731"/>
      <c r="D263" s="1731"/>
      <c r="E263" s="1731"/>
      <c r="F263" s="1731"/>
      <c r="G263" s="1731"/>
    </row>
    <row r="264" spans="1:7">
      <c r="A264" s="23"/>
      <c r="B264" s="667"/>
      <c r="D264" s="135"/>
      <c r="E264" s="135"/>
      <c r="F264" s="135"/>
    </row>
    <row r="265" spans="1:7">
      <c r="C265" s="23"/>
      <c r="D265" s="1729" t="s">
        <v>707</v>
      </c>
      <c r="E265" s="1729"/>
      <c r="F265" s="1729"/>
    </row>
    <row r="266" spans="1:7">
      <c r="C266" s="23"/>
      <c r="D266" s="1730" t="s">
        <v>1269</v>
      </c>
      <c r="E266" s="1730"/>
      <c r="F266" s="1730"/>
    </row>
    <row r="267" spans="1:7">
      <c r="C267" s="23"/>
      <c r="D267" s="259"/>
    </row>
    <row r="268" spans="1:7">
      <c r="A268" s="273"/>
      <c r="B268" s="671" t="s">
        <v>312</v>
      </c>
      <c r="D268" s="1730" t="s">
        <v>1270</v>
      </c>
      <c r="E268" s="1730"/>
      <c r="F268" s="1730"/>
    </row>
    <row r="269" spans="1:7" s="39" customFormat="1" ht="14.4">
      <c r="A269" s="400"/>
      <c r="B269" s="400"/>
      <c r="C269" s="273"/>
      <c r="D269" s="490"/>
      <c r="E269" s="491"/>
      <c r="F269" s="491"/>
      <c r="G269" s="130"/>
    </row>
    <row r="270" spans="1:7" s="39" customFormat="1" ht="13.35" customHeight="1">
      <c r="A270" s="273"/>
      <c r="B270" s="671" t="s">
        <v>312</v>
      </c>
      <c r="C270" s="273"/>
      <c r="D270" s="1780" t="s">
        <v>1271</v>
      </c>
      <c r="E270" s="1780"/>
      <c r="F270" s="1780"/>
      <c r="G270" s="130"/>
    </row>
    <row r="271" spans="1:7" s="39" customFormat="1" ht="14.4">
      <c r="A271" s="400"/>
      <c r="B271" s="400"/>
      <c r="C271" s="273"/>
      <c r="D271" s="1780"/>
      <c r="E271" s="1780"/>
      <c r="F271" s="1780"/>
      <c r="G271" s="130"/>
    </row>
    <row r="272" spans="1:7" s="39" customFormat="1" ht="14.4">
      <c r="A272" s="400"/>
      <c r="B272" s="400"/>
      <c r="C272" s="273"/>
      <c r="D272" s="1780"/>
      <c r="E272" s="1780"/>
      <c r="F272" s="1780"/>
      <c r="G272" s="130"/>
    </row>
    <row r="273" spans="1:7" s="39" customFormat="1" ht="14.4">
      <c r="A273" s="400"/>
      <c r="B273" s="400"/>
      <c r="C273" s="273"/>
      <c r="D273" s="1780"/>
      <c r="E273" s="1780"/>
      <c r="F273" s="1780"/>
      <c r="G273" s="130"/>
    </row>
    <row r="274" spans="1:7" s="39" customFormat="1" ht="14.4">
      <c r="A274" s="400"/>
      <c r="B274" s="400"/>
      <c r="C274" s="273"/>
      <c r="D274" s="1780"/>
      <c r="E274" s="1780"/>
      <c r="F274" s="1780"/>
      <c r="G274" s="130"/>
    </row>
    <row r="275" spans="1:7" s="39" customFormat="1" ht="14.4">
      <c r="A275" s="400"/>
      <c r="B275" s="400"/>
      <c r="C275" s="273"/>
      <c r="D275" s="490"/>
      <c r="E275" s="491"/>
      <c r="F275" s="491"/>
      <c r="G275" s="130"/>
    </row>
    <row r="276" spans="1:7" s="39" customFormat="1" ht="13.35" customHeight="1">
      <c r="A276" s="273"/>
      <c r="B276" s="671" t="s">
        <v>312</v>
      </c>
      <c r="C276" s="273"/>
      <c r="D276" s="1780" t="s">
        <v>1272</v>
      </c>
      <c r="E276" s="1780"/>
      <c r="F276" s="1780"/>
      <c r="G276" s="130"/>
    </row>
    <row r="277" spans="1:7" s="39" customFormat="1">
      <c r="A277" s="273"/>
      <c r="B277" s="273"/>
      <c r="C277" s="273"/>
      <c r="D277" s="1780"/>
      <c r="E277" s="1780"/>
      <c r="F277" s="1780"/>
      <c r="G277" s="130"/>
    </row>
    <row r="278" spans="1:7" s="39" customFormat="1" ht="14.4">
      <c r="A278" s="400"/>
      <c r="B278" s="400"/>
      <c r="C278" s="273"/>
      <c r="D278" s="490"/>
      <c r="E278" s="491"/>
      <c r="F278" s="491"/>
      <c r="G278" s="130"/>
    </row>
    <row r="279" spans="1:7">
      <c r="A279" s="273"/>
      <c r="B279" s="671" t="s">
        <v>312</v>
      </c>
      <c r="D279" s="1730" t="s">
        <v>1273</v>
      </c>
      <c r="E279" s="1730"/>
      <c r="F279" s="1730"/>
    </row>
    <row r="280" spans="1:7">
      <c r="E280" s="135"/>
      <c r="F280" s="135"/>
    </row>
    <row r="281" spans="1:7" ht="14.4">
      <c r="A281" s="261"/>
      <c r="B281" s="671" t="s">
        <v>312</v>
      </c>
      <c r="D281" s="1726" t="s">
        <v>1274</v>
      </c>
      <c r="E281" s="1726"/>
      <c r="F281" s="1726"/>
    </row>
    <row r="282" spans="1:7" ht="14.4">
      <c r="A282" s="261"/>
      <c r="B282" s="261"/>
      <c r="D282" s="1726"/>
      <c r="E282" s="1726"/>
      <c r="F282" s="1726"/>
    </row>
    <row r="283" spans="1:7" s="711" customFormat="1" ht="14.4">
      <c r="A283" s="706"/>
      <c r="B283" s="706"/>
      <c r="C283" s="723"/>
      <c r="D283" s="1726"/>
      <c r="E283" s="1726"/>
      <c r="F283" s="1726"/>
      <c r="G283" s="7"/>
    </row>
    <row r="284" spans="1:7" s="711" customFormat="1" ht="14.4">
      <c r="A284" s="706"/>
      <c r="B284" s="706"/>
      <c r="C284" s="723"/>
      <c r="D284" s="1726"/>
      <c r="E284" s="1726"/>
      <c r="F284" s="1726"/>
      <c r="G284" s="7"/>
    </row>
    <row r="285" spans="1:7" s="711" customFormat="1" ht="14.4">
      <c r="A285" s="706"/>
      <c r="B285" s="706"/>
      <c r="C285" s="723"/>
      <c r="D285" s="1726"/>
      <c r="E285" s="1726"/>
      <c r="F285" s="1726"/>
      <c r="G285" s="7"/>
    </row>
    <row r="286" spans="1:7" s="711" customFormat="1" ht="14.4">
      <c r="A286" s="706"/>
      <c r="B286" s="706"/>
      <c r="C286" s="723"/>
      <c r="D286" s="1726"/>
      <c r="E286" s="1726"/>
      <c r="F286" s="1726"/>
      <c r="G286" s="7"/>
    </row>
    <row r="287" spans="1:7" s="711" customFormat="1" ht="14.4">
      <c r="A287" s="706"/>
      <c r="B287" s="706"/>
      <c r="C287" s="723"/>
      <c r="D287" s="1726"/>
      <c r="E287" s="1726"/>
      <c r="F287" s="1726"/>
      <c r="G287" s="7"/>
    </row>
    <row r="288" spans="1:7" s="711" customFormat="1" ht="14.4">
      <c r="A288" s="706"/>
      <c r="B288" s="706"/>
      <c r="C288" s="723"/>
      <c r="D288" s="1726"/>
      <c r="E288" s="1726"/>
      <c r="F288" s="1726"/>
      <c r="G288" s="7"/>
    </row>
    <row r="289" spans="1:7" s="711" customFormat="1" ht="14.4">
      <c r="A289" s="706"/>
      <c r="B289" s="706"/>
      <c r="C289" s="723"/>
      <c r="D289" s="1726"/>
      <c r="E289" s="1726"/>
      <c r="F289" s="1726"/>
      <c r="G289" s="7"/>
    </row>
    <row r="290" spans="1:7" s="711" customFormat="1" ht="14.4">
      <c r="A290" s="706"/>
      <c r="B290" s="706"/>
      <c r="C290" s="723"/>
      <c r="D290" s="1726"/>
      <c r="E290" s="1726"/>
      <c r="F290" s="1726"/>
      <c r="G290" s="7"/>
    </row>
    <row r="291" spans="1:7" s="711" customFormat="1" ht="14.4">
      <c r="A291" s="706"/>
      <c r="B291" s="706"/>
      <c r="C291" s="723"/>
      <c r="D291" s="1726"/>
      <c r="E291" s="1726"/>
      <c r="F291" s="1726"/>
      <c r="G291" s="7"/>
    </row>
    <row r="292" spans="1:7" s="711" customFormat="1" ht="14.4">
      <c r="A292" s="706"/>
      <c r="B292" s="706"/>
      <c r="C292" s="723"/>
      <c r="D292" s="1726"/>
      <c r="E292" s="1726"/>
      <c r="F292" s="1726"/>
      <c r="G292" s="7"/>
    </row>
    <row r="293" spans="1:7" ht="14.4">
      <c r="A293" s="261"/>
      <c r="B293" s="261"/>
      <c r="D293" s="1726"/>
      <c r="E293" s="1726"/>
      <c r="F293" s="1726"/>
    </row>
    <row r="294" spans="1:7" ht="14.4">
      <c r="A294" s="261"/>
      <c r="B294" s="261"/>
      <c r="D294" s="1726"/>
      <c r="E294" s="1726"/>
      <c r="F294" s="1726"/>
    </row>
    <row r="295" spans="1:7" ht="14.4">
      <c r="A295" s="261"/>
      <c r="B295" s="261"/>
      <c r="D295" s="1726"/>
      <c r="E295" s="1726"/>
      <c r="F295" s="1726"/>
    </row>
    <row r="296" spans="1:7">
      <c r="D296" s="135"/>
      <c r="E296" s="135"/>
      <c r="F296" s="135"/>
    </row>
    <row r="297" spans="1:7" ht="14.4">
      <c r="A297" s="261"/>
      <c r="B297" s="671" t="s">
        <v>312</v>
      </c>
      <c r="D297" s="1726" t="s">
        <v>1275</v>
      </c>
      <c r="E297" s="1726"/>
      <c r="F297" s="1726"/>
    </row>
    <row r="298" spans="1:7">
      <c r="D298" s="1726"/>
      <c r="E298" s="1726"/>
      <c r="F298" s="1726"/>
    </row>
    <row r="299" spans="1:7">
      <c r="D299" s="1726"/>
      <c r="E299" s="1726"/>
      <c r="F299" s="1726"/>
    </row>
    <row r="300" spans="1:7">
      <c r="D300" s="1726"/>
      <c r="E300" s="1726"/>
      <c r="F300" s="1726"/>
    </row>
    <row r="301" spans="1:7">
      <c r="D301" s="1726"/>
      <c r="E301" s="1726"/>
      <c r="F301" s="1726"/>
    </row>
    <row r="302" spans="1:7">
      <c r="D302" s="1726"/>
      <c r="E302" s="1726"/>
      <c r="F302" s="1726"/>
    </row>
    <row r="303" spans="1:7">
      <c r="D303" s="1726"/>
      <c r="E303" s="1726"/>
      <c r="F303" s="1726"/>
    </row>
    <row r="304" spans="1:7">
      <c r="D304" s="1726"/>
      <c r="E304" s="1726"/>
      <c r="F304" s="1726"/>
    </row>
    <row r="305" spans="1:7">
      <c r="D305" s="1726"/>
      <c r="E305" s="1726"/>
      <c r="F305" s="1726"/>
    </row>
    <row r="306" spans="1:7">
      <c r="D306" s="135"/>
      <c r="E306" s="135"/>
      <c r="F306" s="135"/>
    </row>
    <row r="307" spans="1:7" ht="14.4">
      <c r="A307" s="261"/>
      <c r="B307" s="671" t="s">
        <v>312</v>
      </c>
      <c r="D307" s="1705" t="s">
        <v>1276</v>
      </c>
      <c r="E307" s="1705"/>
      <c r="F307" s="1705"/>
    </row>
    <row r="308" spans="1:7">
      <c r="D308" s="1705"/>
      <c r="E308" s="1705"/>
      <c r="F308" s="1705"/>
      <c r="G308" s="12"/>
    </row>
    <row r="309" spans="1:7">
      <c r="D309" s="1705"/>
      <c r="E309" s="1705"/>
      <c r="F309" s="1705"/>
      <c r="G309" s="12"/>
    </row>
    <row r="310" spans="1:7">
      <c r="D310" s="1705"/>
      <c r="E310" s="1705"/>
      <c r="F310" s="1705"/>
      <c r="G310" s="12"/>
    </row>
    <row r="311" spans="1:7">
      <c r="D311" s="1705"/>
      <c r="E311" s="1705"/>
      <c r="F311" s="1705"/>
      <c r="G311" s="12"/>
    </row>
    <row r="312" spans="1:7">
      <c r="D312" s="1705"/>
      <c r="E312" s="1705"/>
      <c r="F312" s="1705"/>
      <c r="G312" s="12"/>
    </row>
    <row r="313" spans="1:7" s="711" customFormat="1">
      <c r="A313" s="723"/>
      <c r="B313" s="723"/>
      <c r="C313" s="723"/>
      <c r="D313" s="720"/>
      <c r="E313" s="720"/>
      <c r="F313" s="720"/>
    </row>
    <row r="314" spans="1:7" ht="13.8" thickBot="1">
      <c r="D314" s="1776" t="s">
        <v>1035</v>
      </c>
      <c r="E314" s="1776"/>
      <c r="F314" s="1776"/>
      <c r="G314" s="12"/>
    </row>
    <row r="315" spans="1:7" s="711" customFormat="1" ht="13.8" thickTop="1">
      <c r="A315" s="723"/>
      <c r="B315" s="723"/>
      <c r="C315" s="723"/>
      <c r="D315" s="1777" t="s">
        <v>1277</v>
      </c>
      <c r="E315" s="1777"/>
      <c r="F315" s="1777"/>
    </row>
    <row r="316" spans="1:7">
      <c r="A316" s="325"/>
      <c r="B316" s="325"/>
      <c r="C316" s="325"/>
      <c r="D316" s="464"/>
      <c r="E316" s="464"/>
      <c r="F316" s="135"/>
      <c r="G316" s="12"/>
    </row>
    <row r="317" spans="1:7" ht="14.4">
      <c r="A317" s="261"/>
      <c r="B317" s="671" t="s">
        <v>312</v>
      </c>
      <c r="C317" s="325"/>
      <c r="D317" s="1778" t="s">
        <v>1278</v>
      </c>
      <c r="E317" s="1778"/>
      <c r="F317" s="1778"/>
      <c r="G317" s="12"/>
    </row>
    <row r="318" spans="1:7">
      <c r="A318" s="325"/>
      <c r="B318" s="325"/>
      <c r="C318" s="325"/>
      <c r="D318" s="464"/>
      <c r="E318" s="464"/>
      <c r="F318" s="135"/>
      <c r="G318" s="12"/>
    </row>
    <row r="319" spans="1:7">
      <c r="A319" s="325"/>
      <c r="B319" s="671" t="s">
        <v>312</v>
      </c>
      <c r="C319" s="325"/>
      <c r="D319" s="1762" t="s">
        <v>1279</v>
      </c>
      <c r="E319" s="1762"/>
      <c r="F319" s="1762"/>
      <c r="G319" s="12"/>
    </row>
    <row r="320" spans="1:7">
      <c r="A320" s="325"/>
      <c r="B320" s="325"/>
      <c r="C320" s="325"/>
      <c r="D320" s="1762"/>
      <c r="E320" s="1762"/>
      <c r="F320" s="1762"/>
      <c r="G320" s="12"/>
    </row>
    <row r="321" spans="1:7">
      <c r="A321" s="325"/>
      <c r="B321" s="325"/>
      <c r="C321" s="325"/>
      <c r="D321" s="1762"/>
      <c r="E321" s="1762"/>
      <c r="F321" s="1762"/>
      <c r="G321" s="12"/>
    </row>
    <row r="322" spans="1:7">
      <c r="A322" s="325"/>
      <c r="B322" s="325"/>
      <c r="C322" s="325"/>
      <c r="D322" s="1762"/>
      <c r="E322" s="1762"/>
      <c r="F322" s="1762"/>
      <c r="G322" s="12"/>
    </row>
    <row r="323" spans="1:7" s="711" customFormat="1">
      <c r="A323" s="325"/>
      <c r="B323" s="325"/>
      <c r="C323" s="325"/>
      <c r="D323" s="1762"/>
      <c r="E323" s="1762"/>
      <c r="F323" s="1762"/>
    </row>
    <row r="324" spans="1:7" s="711" customFormat="1">
      <c r="A324" s="325"/>
      <c r="B324" s="325"/>
      <c r="C324" s="325"/>
      <c r="D324" s="1762"/>
      <c r="E324" s="1762"/>
      <c r="F324" s="1762"/>
    </row>
    <row r="325" spans="1:7" s="711" customFormat="1">
      <c r="A325" s="325"/>
      <c r="B325" s="325"/>
      <c r="C325" s="325"/>
      <c r="D325" s="1762"/>
      <c r="E325" s="1762"/>
      <c r="F325" s="1762"/>
    </row>
    <row r="326" spans="1:7" s="711" customFormat="1">
      <c r="A326" s="325"/>
      <c r="B326" s="325"/>
      <c r="C326" s="325"/>
      <c r="D326" s="1762"/>
      <c r="E326" s="1762"/>
      <c r="F326" s="1762"/>
    </row>
    <row r="327" spans="1:7">
      <c r="A327" s="325"/>
      <c r="B327" s="325"/>
      <c r="C327" s="325"/>
      <c r="D327" s="1762"/>
      <c r="E327" s="1762"/>
      <c r="F327" s="1762"/>
      <c r="G327" s="12"/>
    </row>
    <row r="328" spans="1:7">
      <c r="A328" s="325"/>
      <c r="B328" s="325"/>
      <c r="C328" s="325"/>
      <c r="D328" s="1762"/>
      <c r="E328" s="1762"/>
      <c r="F328" s="1762"/>
      <c r="G328" s="12"/>
    </row>
    <row r="329" spans="1:7">
      <c r="A329" s="325"/>
      <c r="B329" s="325"/>
      <c r="C329" s="325"/>
      <c r="D329" s="1762"/>
      <c r="E329" s="1762"/>
      <c r="F329" s="1762"/>
      <c r="G329" s="12"/>
    </row>
    <row r="330" spans="1:7">
      <c r="A330" s="325"/>
      <c r="B330" s="325"/>
      <c r="C330" s="325"/>
      <c r="D330" s="12"/>
      <c r="E330" s="464"/>
      <c r="F330" s="135"/>
      <c r="G330" s="12"/>
    </row>
    <row r="331" spans="1:7" ht="14.4">
      <c r="A331" s="261"/>
      <c r="B331" s="671" t="s">
        <v>312</v>
      </c>
      <c r="C331" s="325"/>
      <c r="D331" s="1781" t="s">
        <v>1280</v>
      </c>
      <c r="E331" s="1781"/>
      <c r="F331" s="1781"/>
      <c r="G331" s="12"/>
    </row>
    <row r="332" spans="1:7">
      <c r="A332" s="325"/>
      <c r="B332" s="325"/>
      <c r="C332" s="325"/>
      <c r="D332" s="1781"/>
      <c r="E332" s="1781"/>
      <c r="F332" s="1781"/>
      <c r="G332" s="12"/>
    </row>
    <row r="333" spans="1:7">
      <c r="A333" s="325"/>
      <c r="B333" s="325"/>
      <c r="C333" s="325"/>
      <c r="D333" s="1781"/>
      <c r="E333" s="1781"/>
      <c r="F333" s="1781"/>
      <c r="G333" s="12"/>
    </row>
    <row r="334" spans="1:7">
      <c r="A334" s="325"/>
      <c r="B334" s="325"/>
      <c r="C334" s="325"/>
      <c r="D334" s="1781"/>
      <c r="E334" s="1781"/>
      <c r="F334" s="1781"/>
      <c r="G334" s="12"/>
    </row>
    <row r="335" spans="1:7">
      <c r="A335" s="325"/>
      <c r="B335" s="325"/>
      <c r="C335" s="325"/>
      <c r="D335" s="498"/>
      <c r="E335" s="464"/>
      <c r="F335" s="135"/>
      <c r="G335" s="12"/>
    </row>
    <row r="336" spans="1:7">
      <c r="A336" s="325"/>
      <c r="B336" s="325"/>
      <c r="C336" s="325"/>
      <c r="D336" s="1781" t="s">
        <v>1281</v>
      </c>
      <c r="E336" s="1781"/>
      <c r="F336" s="1781"/>
      <c r="G336" s="12"/>
    </row>
    <row r="337" spans="1:7">
      <c r="A337" s="325"/>
      <c r="B337" s="325"/>
      <c r="C337" s="325"/>
      <c r="D337" s="1781"/>
      <c r="E337" s="1781"/>
      <c r="F337" s="1781"/>
      <c r="G337" s="12"/>
    </row>
    <row r="338" spans="1:7">
      <c r="A338" s="325"/>
      <c r="B338" s="325"/>
      <c r="C338" s="325"/>
      <c r="D338" s="1781"/>
      <c r="E338" s="1781"/>
      <c r="F338" s="1781"/>
      <c r="G338" s="12"/>
    </row>
    <row r="339" spans="1:7">
      <c r="A339" s="325"/>
      <c r="B339" s="325"/>
      <c r="C339" s="325"/>
      <c r="D339" s="1781"/>
      <c r="E339" s="1781"/>
      <c r="F339" s="1781"/>
      <c r="G339" s="12"/>
    </row>
    <row r="340" spans="1:7" ht="18" customHeight="1">
      <c r="A340" s="325"/>
      <c r="B340" s="325"/>
      <c r="C340" s="325"/>
      <c r="D340" s="1781"/>
      <c r="E340" s="1781"/>
      <c r="F340" s="1781"/>
      <c r="G340" s="12"/>
    </row>
    <row r="341" spans="1:7">
      <c r="A341" s="325"/>
      <c r="B341" s="325"/>
      <c r="C341" s="325"/>
      <c r="D341" s="1781"/>
      <c r="E341" s="1781"/>
      <c r="F341" s="1781"/>
      <c r="G341" s="12"/>
    </row>
    <row r="342" spans="1:7">
      <c r="A342" s="325"/>
      <c r="B342" s="325"/>
      <c r="C342" s="325"/>
      <c r="D342" s="1781"/>
      <c r="E342" s="1781"/>
      <c r="F342" s="1781"/>
      <c r="G342" s="12"/>
    </row>
    <row r="343" spans="1:7">
      <c r="A343" s="325"/>
      <c r="B343" s="325"/>
      <c r="C343" s="325"/>
      <c r="D343" s="1781"/>
      <c r="E343" s="1781"/>
      <c r="F343" s="1781"/>
      <c r="G343" s="12"/>
    </row>
    <row r="344" spans="1:7" ht="8.25" customHeight="1">
      <c r="A344" s="325"/>
      <c r="B344" s="325"/>
      <c r="C344" s="325"/>
      <c r="D344" s="1781"/>
      <c r="E344" s="1781"/>
      <c r="F344" s="1781"/>
      <c r="G344" s="12"/>
    </row>
    <row r="345" spans="1:7" ht="13.35" customHeight="1">
      <c r="A345" s="325"/>
      <c r="B345" s="325"/>
      <c r="C345" s="325"/>
      <c r="D345" s="1774" t="s">
        <v>1282</v>
      </c>
      <c r="E345" s="1774"/>
      <c r="F345" s="1774"/>
      <c r="G345" s="12"/>
    </row>
    <row r="346" spans="1:7">
      <c r="A346" s="325"/>
      <c r="B346" s="325"/>
      <c r="C346" s="325"/>
      <c r="D346" s="1774"/>
      <c r="E346" s="1774"/>
      <c r="F346" s="1774"/>
      <c r="G346" s="12"/>
    </row>
    <row r="347" spans="1:7">
      <c r="A347" s="325"/>
      <c r="B347" s="325"/>
      <c r="C347" s="325"/>
      <c r="D347" s="1774"/>
      <c r="E347" s="1774"/>
      <c r="F347" s="1774"/>
      <c r="G347" s="12"/>
    </row>
    <row r="348" spans="1:7" s="711" customFormat="1">
      <c r="A348" s="325"/>
      <c r="B348" s="325"/>
      <c r="C348" s="325"/>
      <c r="D348" s="1774"/>
      <c r="E348" s="1774"/>
      <c r="F348" s="1774"/>
    </row>
    <row r="349" spans="1:7" s="711" customFormat="1">
      <c r="A349" s="325"/>
      <c r="B349" s="325"/>
      <c r="C349" s="325"/>
      <c r="D349" s="1774"/>
      <c r="E349" s="1774"/>
      <c r="F349" s="1774"/>
    </row>
    <row r="350" spans="1:7" s="711" customFormat="1">
      <c r="A350" s="325"/>
      <c r="B350" s="325"/>
      <c r="C350" s="325"/>
      <c r="D350" s="1774"/>
      <c r="E350" s="1774"/>
      <c r="F350" s="1774"/>
    </row>
    <row r="351" spans="1:7" s="711" customFormat="1">
      <c r="A351" s="325"/>
      <c r="B351" s="325"/>
      <c r="C351" s="325"/>
      <c r="D351" s="1774"/>
      <c r="E351" s="1774"/>
      <c r="F351" s="1774"/>
    </row>
    <row r="352" spans="1:7" s="711" customFormat="1">
      <c r="A352" s="325"/>
      <c r="B352" s="325"/>
      <c r="C352" s="325"/>
      <c r="D352" s="1774"/>
      <c r="E352" s="1774"/>
      <c r="F352" s="1774"/>
    </row>
    <row r="353" spans="1:7">
      <c r="A353" s="325"/>
      <c r="B353" s="325"/>
      <c r="C353" s="325"/>
      <c r="D353" s="1774"/>
      <c r="E353" s="1774"/>
      <c r="F353" s="1774"/>
      <c r="G353" s="12"/>
    </row>
    <row r="354" spans="1:7">
      <c r="A354" s="325"/>
      <c r="B354" s="325"/>
      <c r="C354" s="325"/>
      <c r="D354" s="1774"/>
      <c r="E354" s="1774"/>
      <c r="F354" s="1774"/>
      <c r="G354" s="12"/>
    </row>
    <row r="355" spans="1:7">
      <c r="A355" s="325"/>
      <c r="B355" s="325"/>
      <c r="C355" s="325"/>
      <c r="D355" s="1774"/>
      <c r="E355" s="1774"/>
      <c r="F355" s="1774"/>
      <c r="G355" s="12"/>
    </row>
    <row r="356" spans="1:7">
      <c r="A356" s="325"/>
      <c r="B356" s="325"/>
      <c r="C356" s="325"/>
      <c r="D356" s="1774"/>
      <c r="E356" s="1774"/>
      <c r="F356" s="1774"/>
      <c r="G356" s="12"/>
    </row>
    <row r="357" spans="1:7">
      <c r="A357" s="325"/>
      <c r="B357" s="325"/>
      <c r="C357" s="500"/>
      <c r="D357" s="1774"/>
      <c r="E357" s="1774"/>
      <c r="F357" s="1774"/>
      <c r="G357" s="12"/>
    </row>
    <row r="358" spans="1:7">
      <c r="A358" s="325"/>
      <c r="B358" s="325"/>
      <c r="C358" s="500"/>
      <c r="D358" s="1774"/>
      <c r="E358" s="1774"/>
      <c r="F358" s="1774"/>
      <c r="G358" s="12"/>
    </row>
    <row r="359" spans="1:7">
      <c r="A359" s="325"/>
      <c r="B359" s="325"/>
      <c r="C359" s="325"/>
      <c r="D359" s="1774"/>
      <c r="E359" s="1774"/>
      <c r="F359" s="1774"/>
      <c r="G359" s="12"/>
    </row>
    <row r="360" spans="1:7">
      <c r="A360" s="325"/>
      <c r="B360" s="325"/>
      <c r="C360" s="500"/>
      <c r="D360" s="1774"/>
      <c r="E360" s="1774"/>
      <c r="F360" s="1774"/>
      <c r="G360" s="12"/>
    </row>
    <row r="361" spans="1:7">
      <c r="A361" s="325"/>
      <c r="B361" s="325"/>
      <c r="C361" s="500"/>
      <c r="D361" s="1774"/>
      <c r="E361" s="1774"/>
      <c r="F361" s="1774"/>
      <c r="G361" s="12"/>
    </row>
    <row r="362" spans="1:7">
      <c r="A362" s="325"/>
      <c r="B362" s="325"/>
      <c r="C362" s="500"/>
      <c r="D362" s="1774"/>
      <c r="E362" s="1774"/>
      <c r="F362" s="1774"/>
      <c r="G362" s="12"/>
    </row>
    <row r="363" spans="1:7">
      <c r="A363" s="325"/>
      <c r="B363" s="325"/>
      <c r="C363" s="325"/>
      <c r="D363" s="498"/>
      <c r="E363" s="464"/>
      <c r="F363" s="135"/>
      <c r="G363" s="12"/>
    </row>
    <row r="364" spans="1:7">
      <c r="A364" s="325"/>
      <c r="B364" s="671" t="s">
        <v>312</v>
      </c>
      <c r="C364" s="325"/>
      <c r="D364" s="1774" t="s">
        <v>1283</v>
      </c>
      <c r="E364" s="1774"/>
      <c r="F364" s="1774"/>
      <c r="G364" s="12"/>
    </row>
    <row r="365" spans="1:7">
      <c r="A365" s="325"/>
      <c r="B365" s="325"/>
      <c r="C365" s="325"/>
      <c r="D365" s="1774"/>
      <c r="E365" s="1774"/>
      <c r="F365" s="1774"/>
      <c r="G365" s="12"/>
    </row>
    <row r="366" spans="1:7">
      <c r="A366" s="325"/>
      <c r="B366" s="325"/>
      <c r="C366" s="325"/>
      <c r="D366" s="464"/>
      <c r="E366" s="464"/>
      <c r="F366" s="135"/>
      <c r="G366" s="12"/>
    </row>
    <row r="367" spans="1:7" ht="14.4">
      <c r="A367" s="261"/>
      <c r="B367" s="671" t="s">
        <v>312</v>
      </c>
      <c r="C367" s="325"/>
      <c r="D367" s="1762" t="s">
        <v>1284</v>
      </c>
      <c r="E367" s="1762"/>
      <c r="F367" s="1762"/>
      <c r="G367" s="12"/>
    </row>
    <row r="368" spans="1:7" ht="14.4">
      <c r="A368" s="499"/>
      <c r="B368" s="499"/>
      <c r="C368" s="325"/>
      <c r="D368" s="1762"/>
      <c r="E368" s="1762"/>
      <c r="F368" s="1762"/>
      <c r="G368" s="12"/>
    </row>
    <row r="369" spans="1:7" ht="14.4">
      <c r="A369" s="499"/>
      <c r="B369" s="499"/>
      <c r="C369" s="325"/>
      <c r="D369" s="1762"/>
      <c r="E369" s="1762"/>
      <c r="F369" s="1762"/>
      <c r="G369" s="12"/>
    </row>
    <row r="370" spans="1:7" ht="14.4">
      <c r="A370" s="499"/>
      <c r="B370" s="499"/>
      <c r="C370" s="325"/>
      <c r="D370" s="1762"/>
      <c r="E370" s="1762"/>
      <c r="F370" s="1762"/>
      <c r="G370" s="12"/>
    </row>
    <row r="371" spans="1:7" ht="14.4">
      <c r="A371" s="499"/>
      <c r="B371" s="499"/>
      <c r="C371" s="325"/>
      <c r="D371" s="1762"/>
      <c r="E371" s="1762"/>
      <c r="F371" s="1762"/>
      <c r="G371" s="12"/>
    </row>
    <row r="372" spans="1:7">
      <c r="D372" s="135"/>
      <c r="E372" s="135"/>
      <c r="F372" s="135"/>
      <c r="G372" s="12"/>
    </row>
    <row r="373" spans="1:7" ht="14.4">
      <c r="A373" s="261"/>
      <c r="B373" s="671" t="s">
        <v>312</v>
      </c>
      <c r="C373" s="266"/>
      <c r="D373" s="1705" t="s">
        <v>1285</v>
      </c>
      <c r="E373" s="1705"/>
      <c r="F373" s="1705"/>
      <c r="G373" s="12"/>
    </row>
    <row r="374" spans="1:7" ht="14.4">
      <c r="A374" s="261"/>
      <c r="B374" s="261"/>
      <c r="D374" s="1705"/>
      <c r="E374" s="1705"/>
      <c r="F374" s="1705"/>
      <c r="G374" s="12"/>
    </row>
    <row r="375" spans="1:7">
      <c r="D375" s="1705"/>
      <c r="E375" s="1705"/>
      <c r="F375" s="1705"/>
      <c r="G375" s="12"/>
    </row>
    <row r="376" spans="1:7">
      <c r="D376" s="1705"/>
      <c r="E376" s="1705"/>
      <c r="F376" s="1705"/>
      <c r="G376" s="12"/>
    </row>
    <row r="377" spans="1:7">
      <c r="D377" s="1705"/>
      <c r="E377" s="1705"/>
      <c r="F377" s="1705"/>
      <c r="G377" s="12"/>
    </row>
    <row r="378" spans="1:7">
      <c r="D378" s="1705"/>
      <c r="E378" s="1705"/>
      <c r="F378" s="1705"/>
      <c r="G378" s="12"/>
    </row>
    <row r="379" spans="1:7">
      <c r="D379" s="1705"/>
      <c r="E379" s="1705"/>
      <c r="F379" s="1705"/>
      <c r="G379" s="12"/>
    </row>
    <row r="380" spans="1:7">
      <c r="D380" s="1705"/>
      <c r="E380" s="1705"/>
      <c r="F380" s="1705"/>
      <c r="G380" s="12"/>
    </row>
    <row r="381" spans="1:7">
      <c r="D381" s="1705"/>
      <c r="E381" s="1705"/>
      <c r="F381" s="1705"/>
      <c r="G381" s="12"/>
    </row>
    <row r="382" spans="1:7">
      <c r="D382" s="1705"/>
      <c r="E382" s="1705"/>
      <c r="F382" s="1705"/>
      <c r="G382" s="12"/>
    </row>
    <row r="383" spans="1:7">
      <c r="D383" s="1705"/>
      <c r="E383" s="1705"/>
      <c r="F383" s="1705"/>
      <c r="G383" s="12"/>
    </row>
    <row r="384" spans="1:7">
      <c r="D384" s="1705"/>
      <c r="E384" s="1705"/>
      <c r="F384" s="1705"/>
      <c r="G384" s="12"/>
    </row>
    <row r="385" spans="1:7">
      <c r="D385" s="1705"/>
      <c r="E385" s="1705"/>
      <c r="F385" s="1705"/>
      <c r="G385" s="12"/>
    </row>
    <row r="386" spans="1:7">
      <c r="A386" s="12"/>
      <c r="B386" s="12"/>
      <c r="C386" s="12"/>
      <c r="D386" s="1705"/>
      <c r="E386" s="1705"/>
      <c r="F386" s="1705"/>
      <c r="G386" s="12"/>
    </row>
    <row r="387" spans="1:7">
      <c r="A387" s="12"/>
      <c r="B387" s="12"/>
      <c r="C387" s="12"/>
      <c r="D387" s="1705"/>
      <c r="E387" s="1705"/>
      <c r="F387" s="1705"/>
      <c r="G387" s="12"/>
    </row>
    <row r="388" spans="1:7">
      <c r="A388" s="12"/>
      <c r="B388" s="12"/>
      <c r="C388" s="12"/>
      <c r="D388" s="1705"/>
      <c r="E388" s="1705"/>
      <c r="F388" s="1705"/>
      <c r="G388" s="12"/>
    </row>
    <row r="389" spans="1:7">
      <c r="A389" s="12"/>
      <c r="B389" s="12"/>
      <c r="C389" s="12"/>
      <c r="D389" s="1705"/>
      <c r="E389" s="1705"/>
      <c r="F389" s="1705"/>
      <c r="G389" s="12"/>
    </row>
    <row r="390" spans="1:7">
      <c r="A390" s="12"/>
      <c r="B390" s="12"/>
      <c r="C390" s="12"/>
      <c r="D390" s="1705"/>
      <c r="E390" s="1705"/>
      <c r="F390" s="1705"/>
      <c r="G390" s="12"/>
    </row>
    <row r="391" spans="1:7">
      <c r="A391" s="12"/>
      <c r="B391" s="12"/>
      <c r="C391" s="12"/>
      <c r="D391" s="1705"/>
      <c r="E391" s="1705"/>
      <c r="F391" s="1705"/>
      <c r="G391" s="12"/>
    </row>
    <row r="392" spans="1:7">
      <c r="A392" s="12"/>
      <c r="B392" s="12"/>
      <c r="C392" s="12"/>
      <c r="D392" s="1705"/>
      <c r="E392" s="1705"/>
      <c r="F392" s="1705"/>
      <c r="G392" s="12"/>
    </row>
    <row r="393" spans="1:7">
      <c r="A393" s="12"/>
      <c r="B393" s="12"/>
      <c r="C393" s="12"/>
      <c r="D393" s="1705"/>
      <c r="E393" s="1705"/>
      <c r="F393" s="1705"/>
      <c r="G393" s="12"/>
    </row>
    <row r="394" spans="1:7">
      <c r="A394" s="12"/>
      <c r="B394" s="12"/>
      <c r="C394" s="12"/>
      <c r="D394" s="1705"/>
      <c r="E394" s="1705"/>
      <c r="F394" s="1705"/>
      <c r="G394" s="12"/>
    </row>
    <row r="395" spans="1:7">
      <c r="A395" s="12"/>
      <c r="B395" s="12"/>
      <c r="C395" s="12"/>
      <c r="D395" s="1705"/>
      <c r="E395" s="1705"/>
      <c r="F395" s="1705"/>
      <c r="G395" s="12"/>
    </row>
    <row r="396" spans="1:7">
      <c r="A396" s="12"/>
      <c r="B396" s="12"/>
      <c r="C396" s="12"/>
      <c r="D396" s="1705"/>
      <c r="E396" s="1705"/>
      <c r="F396" s="1705"/>
      <c r="G396" s="12"/>
    </row>
    <row r="397" spans="1:7">
      <c r="A397" s="12"/>
      <c r="B397" s="12"/>
      <c r="C397" s="12"/>
      <c r="D397" s="1705"/>
      <c r="E397" s="1705"/>
      <c r="F397" s="1705"/>
      <c r="G397" s="12"/>
    </row>
    <row r="398" spans="1:7">
      <c r="A398" s="12"/>
      <c r="B398" s="12"/>
      <c r="C398" s="12"/>
      <c r="D398" s="1705"/>
      <c r="E398" s="1705"/>
      <c r="F398" s="1705"/>
      <c r="G398" s="12"/>
    </row>
    <row r="399" spans="1:7">
      <c r="A399" s="12"/>
      <c r="B399" s="12"/>
      <c r="C399" s="12"/>
      <c r="D399" s="1705"/>
      <c r="E399" s="1705"/>
      <c r="F399" s="1705"/>
      <c r="G399" s="12"/>
    </row>
    <row r="400" spans="1:7">
      <c r="A400" s="12"/>
      <c r="B400" s="12"/>
      <c r="C400" s="12"/>
      <c r="D400" s="1705"/>
      <c r="E400" s="1705"/>
      <c r="F400" s="1705"/>
      <c r="G400" s="12"/>
    </row>
    <row r="401" spans="1:7">
      <c r="A401" s="12"/>
      <c r="B401" s="12"/>
      <c r="C401" s="12"/>
      <c r="D401" s="1705"/>
      <c r="E401" s="1705"/>
      <c r="F401" s="1705"/>
      <c r="G401" s="12"/>
    </row>
    <row r="402" spans="1:7" s="32" customFormat="1">
      <c r="A402" s="132"/>
      <c r="B402" s="668"/>
      <c r="C402" s="132"/>
      <c r="D402" s="1705"/>
      <c r="E402" s="1705"/>
      <c r="F402" s="1705"/>
      <c r="G402" s="30"/>
    </row>
    <row r="403" spans="1:7" s="32" customFormat="1" ht="40.65" customHeight="1">
      <c r="A403" s="132"/>
      <c r="B403" s="668"/>
      <c r="C403" s="132"/>
      <c r="D403" s="1705"/>
      <c r="E403" s="1705"/>
      <c r="F403" s="1705"/>
      <c r="G403" s="30"/>
    </row>
    <row r="404" spans="1:7" s="32" customFormat="1">
      <c r="A404" s="132"/>
      <c r="B404" s="668"/>
      <c r="C404" s="132"/>
      <c r="D404" s="135"/>
      <c r="E404" s="135"/>
      <c r="F404" s="135"/>
      <c r="G404" s="30"/>
    </row>
    <row r="405" spans="1:7" ht="14.4">
      <c r="A405" s="261"/>
      <c r="B405" s="671" t="s">
        <v>312</v>
      </c>
      <c r="C405" s="266"/>
      <c r="D405" s="1730" t="s">
        <v>1286</v>
      </c>
      <c r="E405" s="1730"/>
      <c r="F405" s="1730"/>
    </row>
    <row r="406" spans="1:7">
      <c r="D406" s="1775" t="s">
        <v>1055</v>
      </c>
      <c r="E406" s="1775"/>
      <c r="F406" s="1775"/>
    </row>
    <row r="407" spans="1:7">
      <c r="D407" s="1726" t="s">
        <v>1287</v>
      </c>
      <c r="E407" s="1726"/>
      <c r="F407" s="1726"/>
    </row>
    <row r="408" spans="1:7">
      <c r="D408" s="1726"/>
      <c r="E408" s="1726"/>
      <c r="F408" s="1726"/>
    </row>
    <row r="409" spans="1:7">
      <c r="D409" s="1726"/>
      <c r="E409" s="1726"/>
      <c r="F409" s="1726"/>
    </row>
    <row r="410" spans="1:7">
      <c r="D410" s="1726"/>
      <c r="E410" s="1726"/>
      <c r="F410" s="1726"/>
    </row>
    <row r="411" spans="1:7">
      <c r="D411" s="135"/>
      <c r="E411" s="135"/>
      <c r="F411" s="135"/>
      <c r="G411" s="12"/>
    </row>
    <row r="412" spans="1:7" ht="14.4">
      <c r="A412" s="261"/>
      <c r="B412" s="671" t="s">
        <v>312</v>
      </c>
      <c r="C412" s="266"/>
      <c r="D412" s="1705" t="s">
        <v>1288</v>
      </c>
      <c r="E412" s="1705"/>
      <c r="F412" s="1705"/>
      <c r="G412" s="12"/>
    </row>
    <row r="413" spans="1:7">
      <c r="D413" s="1705"/>
      <c r="E413" s="1705"/>
      <c r="F413" s="1705"/>
      <c r="G413" s="12"/>
    </row>
    <row r="414" spans="1:7">
      <c r="D414" s="1705"/>
      <c r="E414" s="1705"/>
      <c r="F414" s="1705"/>
      <c r="G414" s="12"/>
    </row>
    <row r="415" spans="1:7" s="711" customFormat="1">
      <c r="A415" s="723"/>
      <c r="B415" s="723"/>
      <c r="C415" s="723"/>
      <c r="D415" s="720"/>
      <c r="E415" s="720"/>
      <c r="F415" s="720"/>
    </row>
    <row r="416" spans="1:7" ht="14.4">
      <c r="B416" s="671" t="s">
        <v>312</v>
      </c>
      <c r="C416" s="261"/>
      <c r="D416" s="1726" t="s">
        <v>1289</v>
      </c>
      <c r="E416" s="1726"/>
      <c r="F416" s="1726"/>
      <c r="G416" s="12"/>
    </row>
    <row r="417" spans="1:7">
      <c r="D417" s="1726"/>
      <c r="E417" s="1726"/>
      <c r="F417" s="1726"/>
      <c r="G417" s="12"/>
    </row>
    <row r="418" spans="1:7">
      <c r="D418" s="135"/>
      <c r="E418" s="135"/>
      <c r="F418" s="135"/>
      <c r="G418" s="12"/>
    </row>
    <row r="419" spans="1:7" ht="14.4">
      <c r="B419" s="671" t="s">
        <v>312</v>
      </c>
      <c r="C419" s="261"/>
      <c r="D419" s="1726" t="s">
        <v>1290</v>
      </c>
      <c r="E419" s="1726"/>
      <c r="F419" s="1726"/>
      <c r="G419" s="12"/>
    </row>
    <row r="420" spans="1:7">
      <c r="D420" s="1726"/>
      <c r="E420" s="1726"/>
      <c r="F420" s="1726"/>
      <c r="G420" s="12"/>
    </row>
    <row r="421" spans="1:7">
      <c r="D421" s="1726"/>
      <c r="E421" s="1726"/>
      <c r="F421" s="1726"/>
      <c r="G421" s="12"/>
    </row>
    <row r="422" spans="1:7">
      <c r="D422" s="1726"/>
      <c r="E422" s="1726"/>
      <c r="F422" s="1726"/>
      <c r="G422" s="12"/>
    </row>
    <row r="423" spans="1:7">
      <c r="B423" s="671" t="s">
        <v>312</v>
      </c>
      <c r="D423" s="1726"/>
      <c r="E423" s="1726"/>
      <c r="F423" s="1726"/>
      <c r="G423" s="12"/>
    </row>
    <row r="424" spans="1:7">
      <c r="A424" s="12"/>
      <c r="B424" s="12"/>
      <c r="C424" s="12"/>
      <c r="D424" s="1726"/>
      <c r="E424" s="1726"/>
      <c r="F424" s="1726"/>
      <c r="G424" s="12"/>
    </row>
    <row r="425" spans="1:7">
      <c r="A425" s="12"/>
      <c r="C425" s="12"/>
      <c r="D425" s="1726"/>
      <c r="E425" s="1726"/>
      <c r="F425" s="1726"/>
      <c r="G425" s="12"/>
    </row>
    <row r="426" spans="1:7">
      <c r="A426" s="12"/>
      <c r="B426" s="671" t="s">
        <v>312</v>
      </c>
      <c r="C426" s="12"/>
      <c r="D426" s="1726"/>
      <c r="E426" s="1726"/>
      <c r="F426" s="1726"/>
      <c r="G426" s="12"/>
    </row>
    <row r="427" spans="1:7">
      <c r="A427" s="12"/>
      <c r="B427" s="12"/>
      <c r="C427" s="12"/>
      <c r="D427" s="1726"/>
      <c r="E427" s="1726"/>
      <c r="F427" s="1726"/>
      <c r="G427" s="12"/>
    </row>
    <row r="428" spans="1:7">
      <c r="A428" s="12"/>
      <c r="C428" s="12"/>
      <c r="D428" s="1726"/>
      <c r="E428" s="1726"/>
      <c r="F428" s="1726"/>
      <c r="G428" s="12"/>
    </row>
    <row r="429" spans="1:7">
      <c r="A429" s="12"/>
      <c r="C429" s="12"/>
      <c r="D429" s="1726"/>
      <c r="E429" s="1726"/>
      <c r="F429" s="1726"/>
      <c r="G429" s="12"/>
    </row>
    <row r="430" spans="1:7">
      <c r="A430" s="12"/>
      <c r="B430" s="671" t="s">
        <v>312</v>
      </c>
      <c r="C430" s="12"/>
      <c r="D430" s="1726"/>
      <c r="E430" s="1726"/>
      <c r="F430" s="1726"/>
      <c r="G430" s="12"/>
    </row>
    <row r="431" spans="1:7">
      <c r="A431" s="12"/>
      <c r="B431" s="12"/>
      <c r="C431" s="12"/>
      <c r="D431" s="1726"/>
      <c r="E431" s="1726"/>
      <c r="F431" s="1726"/>
      <c r="G431" s="12"/>
    </row>
    <row r="432" spans="1:7">
      <c r="A432" s="12"/>
      <c r="B432" s="671" t="s">
        <v>312</v>
      </c>
      <c r="C432" s="12"/>
      <c r="D432" s="1726"/>
      <c r="E432" s="1726"/>
      <c r="F432" s="1726"/>
      <c r="G432" s="12"/>
    </row>
    <row r="433" spans="1:7" s="711" customFormat="1">
      <c r="D433" s="721"/>
      <c r="E433" s="721"/>
      <c r="F433" s="721"/>
    </row>
    <row r="434" spans="1:7">
      <c r="A434" s="12"/>
      <c r="B434" s="710" t="s">
        <v>312</v>
      </c>
      <c r="C434" s="12"/>
      <c r="D434" s="1726" t="s">
        <v>1291</v>
      </c>
      <c r="E434" s="1726"/>
      <c r="F434" s="1726"/>
      <c r="G434" s="12"/>
    </row>
    <row r="435" spans="1:7">
      <c r="A435" s="12"/>
      <c r="B435" s="12"/>
      <c r="C435" s="12"/>
      <c r="D435" s="1726"/>
      <c r="E435" s="1726"/>
      <c r="F435" s="1726"/>
      <c r="G435" s="12"/>
    </row>
    <row r="436" spans="1:7">
      <c r="A436" s="12"/>
      <c r="B436" s="12"/>
      <c r="C436" s="12"/>
      <c r="D436" s="1726"/>
      <c r="E436" s="1726"/>
      <c r="F436" s="1726"/>
      <c r="G436" s="12"/>
    </row>
    <row r="437" spans="1:7">
      <c r="A437" s="12"/>
      <c r="B437" s="12"/>
      <c r="C437" s="12"/>
      <c r="D437" s="1726"/>
      <c r="E437" s="1726"/>
      <c r="F437" s="1726"/>
      <c r="G437" s="12"/>
    </row>
    <row r="438" spans="1:7">
      <c r="D438" s="1726"/>
      <c r="E438" s="1726"/>
      <c r="F438" s="1726"/>
    </row>
    <row r="439" spans="1:7">
      <c r="D439" s="135"/>
      <c r="E439" s="135"/>
      <c r="F439" s="135"/>
    </row>
    <row r="440" spans="1:7">
      <c r="B440" s="671" t="s">
        <v>312</v>
      </c>
      <c r="D440" s="1737" t="s">
        <v>1292</v>
      </c>
      <c r="E440" s="1737"/>
      <c r="F440" s="1737"/>
    </row>
    <row r="441" spans="1:7">
      <c r="A441" s="135"/>
      <c r="B441" s="135"/>
    </row>
    <row r="442" spans="1:7">
      <c r="A442" s="1731" t="s">
        <v>1133</v>
      </c>
      <c r="B442" s="1731"/>
      <c r="C442" s="1731"/>
      <c r="D442" s="1731"/>
      <c r="E442" s="1731"/>
      <c r="F442" s="1731"/>
      <c r="G442" s="1731"/>
    </row>
    <row r="443" spans="1:7">
      <c r="A443" s="135"/>
      <c r="B443" s="135"/>
    </row>
    <row r="444" spans="1:7">
      <c r="D444" s="1782" t="s">
        <v>929</v>
      </c>
      <c r="E444" s="1782"/>
      <c r="F444" s="1782"/>
    </row>
    <row r="445" spans="1:7" s="39" customFormat="1" ht="14.4">
      <c r="A445" s="400"/>
      <c r="B445" s="400"/>
      <c r="C445" s="273"/>
      <c r="D445" s="1783" t="s">
        <v>1293</v>
      </c>
      <c r="E445" s="1783"/>
      <c r="F445" s="1783"/>
      <c r="G445" s="130"/>
    </row>
    <row r="446" spans="1:7" s="39" customFormat="1" ht="14.4">
      <c r="A446" s="400"/>
      <c r="B446" s="400"/>
      <c r="C446" s="273"/>
      <c r="D446" s="724"/>
      <c r="E446" s="6"/>
      <c r="F446" s="6"/>
      <c r="G446" s="130"/>
    </row>
    <row r="447" spans="1:7" s="39" customFormat="1" ht="14.4">
      <c r="A447" s="261"/>
      <c r="B447" s="671" t="s">
        <v>312</v>
      </c>
      <c r="C447" s="273"/>
      <c r="D447" s="1784" t="s">
        <v>1294</v>
      </c>
      <c r="E447" s="1784"/>
      <c r="F447" s="1784"/>
      <c r="G447" s="130"/>
    </row>
    <row r="448" spans="1:7" s="39" customFormat="1" ht="14.4">
      <c r="A448" s="261"/>
      <c r="B448" s="261"/>
      <c r="C448" s="273"/>
      <c r="D448" s="1784"/>
      <c r="E448" s="1784"/>
      <c r="F448" s="1784"/>
      <c r="G448" s="130"/>
    </row>
    <row r="449" spans="1:7" s="39" customFormat="1" ht="14.4">
      <c r="A449" s="261"/>
      <c r="B449" s="261"/>
      <c r="C449" s="273"/>
      <c r="D449" s="722"/>
      <c r="E449" s="6"/>
      <c r="F449" s="6"/>
      <c r="G449" s="130"/>
    </row>
    <row r="450" spans="1:7">
      <c r="B450" s="671" t="s">
        <v>312</v>
      </c>
      <c r="D450" s="1754" t="s">
        <v>1295</v>
      </c>
      <c r="E450" s="1754"/>
      <c r="F450" s="1754"/>
    </row>
    <row r="451" spans="1:7" ht="14.4">
      <c r="A451" s="261"/>
      <c r="D451" s="1754"/>
      <c r="E451" s="1754"/>
      <c r="F451" s="1754"/>
    </row>
    <row r="452" spans="1:7" ht="14.4">
      <c r="A452" s="261"/>
      <c r="B452" s="261"/>
      <c r="D452" s="1754"/>
      <c r="E452" s="1754"/>
      <c r="F452" s="1754"/>
    </row>
    <row r="453" spans="1:7" ht="14.4">
      <c r="A453" s="261"/>
      <c r="B453" s="261"/>
      <c r="D453" s="1754"/>
      <c r="E453" s="1754"/>
      <c r="F453" s="1754"/>
    </row>
    <row r="454" spans="1:7">
      <c r="D454" s="670"/>
      <c r="E454" s="670"/>
      <c r="F454" s="670"/>
      <c r="G454" s="12"/>
    </row>
    <row r="455" spans="1:7" ht="14.4">
      <c r="A455" s="261"/>
      <c r="B455" s="671" t="s">
        <v>312</v>
      </c>
      <c r="D455" s="1707" t="s">
        <v>1296</v>
      </c>
      <c r="E455" s="1707"/>
      <c r="F455" s="1707"/>
      <c r="G455" s="12"/>
    </row>
    <row r="456" spans="1:7" ht="14.4">
      <c r="A456" s="261"/>
      <c r="B456" s="261"/>
      <c r="D456" s="1707"/>
      <c r="E456" s="1707"/>
      <c r="F456" s="1707"/>
      <c r="G456" s="12"/>
    </row>
    <row r="457" spans="1:7" ht="14.4">
      <c r="A457" s="261"/>
      <c r="D457" s="1707"/>
      <c r="E457" s="1707"/>
      <c r="F457" s="1707"/>
      <c r="G457" s="12"/>
    </row>
    <row r="458" spans="1:7" ht="14.4">
      <c r="A458" s="261"/>
      <c r="B458" s="261"/>
      <c r="D458" s="670"/>
      <c r="E458" s="670"/>
      <c r="F458" s="670"/>
      <c r="G458" s="12"/>
    </row>
    <row r="459" spans="1:7" ht="14.4">
      <c r="A459" s="261"/>
      <c r="B459" s="710" t="s">
        <v>312</v>
      </c>
      <c r="D459" s="1730" t="s">
        <v>1297</v>
      </c>
      <c r="E459" s="1730"/>
      <c r="F459" s="1730"/>
      <c r="G459" s="12"/>
    </row>
    <row r="460" spans="1:7" ht="14.4">
      <c r="A460" s="261"/>
      <c r="B460" s="261"/>
      <c r="D460" s="722"/>
      <c r="E460" s="6"/>
      <c r="F460" s="6"/>
      <c r="G460" s="12"/>
    </row>
    <row r="461" spans="1:7" ht="14.4">
      <c r="A461" s="261"/>
      <c r="B461" s="671" t="s">
        <v>312</v>
      </c>
      <c r="D461" s="1705" t="s">
        <v>1298</v>
      </c>
      <c r="E461" s="1705"/>
      <c r="F461" s="1705"/>
      <c r="G461" s="12"/>
    </row>
    <row r="462" spans="1:7" ht="14.4">
      <c r="A462" s="261"/>
      <c r="D462" s="1705"/>
      <c r="E462" s="1705"/>
      <c r="F462" s="1705"/>
      <c r="G462" s="12"/>
    </row>
    <row r="463" spans="1:7">
      <c r="A463" s="23"/>
      <c r="B463" s="667"/>
      <c r="D463" s="725"/>
      <c r="E463" s="6"/>
      <c r="F463" s="6"/>
      <c r="G463" s="12"/>
    </row>
    <row r="464" spans="1:7">
      <c r="A464" s="23"/>
      <c r="B464" s="710" t="s">
        <v>312</v>
      </c>
      <c r="D464" s="1730" t="s">
        <v>1299</v>
      </c>
      <c r="E464" s="1730"/>
      <c r="F464" s="1730"/>
      <c r="G464" s="12"/>
    </row>
    <row r="465" spans="1:7" ht="14.4">
      <c r="A465" s="261"/>
      <c r="B465" s="261"/>
      <c r="D465" s="135"/>
    </row>
    <row r="466" spans="1:7">
      <c r="A466" s="1731" t="s">
        <v>1134</v>
      </c>
      <c r="B466" s="1731"/>
      <c r="C466" s="1731"/>
      <c r="D466" s="1731"/>
      <c r="E466" s="1731"/>
      <c r="F466" s="1731"/>
      <c r="G466" s="1731"/>
    </row>
    <row r="467" spans="1:7" customFormat="1" ht="12" customHeight="1">
      <c r="A467" s="261"/>
      <c r="B467" s="261"/>
      <c r="C467" s="10"/>
      <c r="D467" s="151"/>
      <c r="E467" s="149"/>
      <c r="F467" s="149"/>
      <c r="G467" s="149"/>
    </row>
    <row r="468" spans="1:7" customFormat="1">
      <c r="A468" s="273"/>
      <c r="B468" s="273"/>
      <c r="C468" s="312"/>
      <c r="D468" s="1785" t="s">
        <v>833</v>
      </c>
      <c r="E468" s="1785"/>
      <c r="F468" s="1785"/>
      <c r="G468" s="182"/>
    </row>
    <row r="469" spans="1:7" customFormat="1" ht="13.35" customHeight="1">
      <c r="A469" s="260"/>
      <c r="B469" s="260"/>
      <c r="C469" s="313"/>
      <c r="D469" s="1786" t="s">
        <v>1177</v>
      </c>
      <c r="E469" s="1786"/>
      <c r="F469" s="1786"/>
      <c r="G469" s="149"/>
    </row>
    <row r="470" spans="1:7" customFormat="1">
      <c r="A470" s="260"/>
      <c r="B470" s="260"/>
      <c r="C470" s="313"/>
      <c r="D470" s="1786"/>
      <c r="E470" s="1786"/>
      <c r="F470" s="1786"/>
      <c r="G470" s="149"/>
    </row>
    <row r="471" spans="1:7" customFormat="1">
      <c r="A471" s="260"/>
      <c r="B471" s="260"/>
      <c r="C471" s="313"/>
      <c r="D471" s="1786"/>
      <c r="E471" s="1786"/>
      <c r="F471" s="1786"/>
      <c r="G471" s="149"/>
    </row>
    <row r="472" spans="1:7" customFormat="1">
      <c r="A472" s="260"/>
      <c r="B472" s="260"/>
      <c r="C472" s="313"/>
      <c r="D472" s="1786"/>
      <c r="E472" s="1786"/>
      <c r="F472" s="1786"/>
      <c r="G472" s="149"/>
    </row>
    <row r="473" spans="1:7" customFormat="1">
      <c r="A473" s="260"/>
      <c r="B473" s="260"/>
      <c r="C473" s="313"/>
      <c r="D473" s="1786"/>
      <c r="E473" s="1786"/>
      <c r="F473" s="1786"/>
      <c r="G473" s="149"/>
    </row>
    <row r="474" spans="1:7" customFormat="1">
      <c r="A474" s="260"/>
      <c r="B474" s="260"/>
      <c r="C474" s="313"/>
      <c r="D474" s="468"/>
      <c r="E474" s="149"/>
      <c r="F474" s="151"/>
      <c r="G474" s="149"/>
    </row>
    <row r="475" spans="1:7" customFormat="1" ht="14.4" customHeight="1">
      <c r="A475" s="261"/>
      <c r="B475" s="671" t="s">
        <v>312</v>
      </c>
      <c r="C475" s="313"/>
      <c r="D475" s="1752" t="s">
        <v>1168</v>
      </c>
      <c r="E475" s="1752"/>
      <c r="F475" s="1752"/>
      <c r="G475" s="149"/>
    </row>
    <row r="476" spans="1:7" customFormat="1">
      <c r="A476" s="260"/>
      <c r="B476" s="260"/>
      <c r="C476" s="313"/>
      <c r="D476" s="1752"/>
      <c r="E476" s="1752"/>
      <c r="F476" s="1752"/>
      <c r="G476" s="149"/>
    </row>
    <row r="477" spans="1:7" s="672" customFormat="1">
      <c r="A477" s="260"/>
      <c r="B477" s="260"/>
      <c r="C477" s="313"/>
      <c r="D477" s="1752"/>
      <c r="E477" s="1752"/>
      <c r="F477" s="1752"/>
      <c r="G477" s="149"/>
    </row>
    <row r="478" spans="1:7" s="672" customFormat="1">
      <c r="A478" s="260"/>
      <c r="B478" s="260"/>
      <c r="C478" s="313"/>
      <c r="D478" s="1752"/>
      <c r="E478" s="1752"/>
      <c r="F478" s="1752"/>
      <c r="G478" s="149"/>
    </row>
    <row r="479" spans="1:7" customFormat="1">
      <c r="A479" s="260"/>
      <c r="B479" s="260"/>
      <c r="C479" s="313"/>
      <c r="D479" s="1752"/>
      <c r="E479" s="1752"/>
      <c r="F479" s="1752"/>
      <c r="G479" s="149"/>
    </row>
    <row r="480" spans="1:7" customFormat="1">
      <c r="A480" s="260"/>
      <c r="B480" s="260"/>
      <c r="C480" s="313"/>
      <c r="D480" s="440"/>
      <c r="E480" s="149"/>
      <c r="F480" s="151"/>
      <c r="G480" s="149"/>
    </row>
    <row r="481" spans="1:7" customFormat="1" ht="14.4" customHeight="1">
      <c r="A481" s="261"/>
      <c r="B481" s="671" t="s">
        <v>312</v>
      </c>
      <c r="C481" s="313"/>
      <c r="D481" s="1752" t="s">
        <v>1171</v>
      </c>
      <c r="E481" s="1752"/>
      <c r="F481" s="1752"/>
      <c r="G481" s="149"/>
    </row>
    <row r="482" spans="1:7" customFormat="1">
      <c r="A482" s="260"/>
      <c r="B482" s="260"/>
      <c r="C482" s="313"/>
      <c r="D482" s="1752"/>
      <c r="E482" s="1752"/>
      <c r="F482" s="1752"/>
      <c r="G482" s="149"/>
    </row>
    <row r="483" spans="1:7" s="672" customFormat="1">
      <c r="A483" s="260"/>
      <c r="B483" s="260"/>
      <c r="C483" s="313"/>
      <c r="D483" s="1752"/>
      <c r="E483" s="1752"/>
      <c r="F483" s="1752"/>
      <c r="G483" s="149"/>
    </row>
    <row r="484" spans="1:7" customFormat="1">
      <c r="A484" s="260"/>
      <c r="B484" s="260"/>
      <c r="C484" s="313"/>
      <c r="D484" s="1752"/>
      <c r="E484" s="1752"/>
      <c r="F484" s="1752"/>
      <c r="G484" s="149"/>
    </row>
    <row r="485" spans="1:7" customFormat="1" ht="9.9" customHeight="1">
      <c r="A485" s="260"/>
      <c r="B485" s="260"/>
      <c r="C485" s="313"/>
      <c r="D485" s="440"/>
      <c r="E485" s="149"/>
      <c r="F485" s="151"/>
      <c r="G485" s="149"/>
    </row>
    <row r="486" spans="1:7" customFormat="1" ht="14.4" customHeight="1">
      <c r="A486" s="261"/>
      <c r="B486" s="671" t="s">
        <v>312</v>
      </c>
      <c r="C486" s="313"/>
      <c r="D486" s="1752" t="s">
        <v>1169</v>
      </c>
      <c r="E486" s="1752"/>
      <c r="F486" s="1752"/>
      <c r="G486" s="149"/>
    </row>
    <row r="487" spans="1:7" customFormat="1">
      <c r="A487" s="260"/>
      <c r="B487" s="260"/>
      <c r="C487" s="313"/>
      <c r="D487" s="1752"/>
      <c r="E487" s="1752"/>
      <c r="F487" s="1752"/>
      <c r="G487" s="149"/>
    </row>
    <row r="488" spans="1:7" customFormat="1">
      <c r="A488" s="260"/>
      <c r="B488" s="260"/>
      <c r="C488" s="313"/>
      <c r="D488" s="1752"/>
      <c r="E488" s="1752"/>
      <c r="F488" s="1752"/>
      <c r="G488" s="149"/>
    </row>
    <row r="489" spans="1:7" s="672" customFormat="1">
      <c r="A489" s="260"/>
      <c r="B489" s="260"/>
      <c r="C489" s="313"/>
      <c r="D489" s="692"/>
      <c r="E489" s="692"/>
      <c r="F489" s="692"/>
      <c r="G489" s="149"/>
    </row>
    <row r="490" spans="1:7" customFormat="1" ht="14.4" customHeight="1">
      <c r="A490" s="261"/>
      <c r="B490" s="671" t="s">
        <v>312</v>
      </c>
      <c r="C490" s="313"/>
      <c r="D490" s="1752" t="s">
        <v>1170</v>
      </c>
      <c r="E490" s="1752"/>
      <c r="F490" s="1752"/>
      <c r="G490" s="149"/>
    </row>
    <row r="491" spans="1:7" customFormat="1">
      <c r="A491" s="260"/>
      <c r="B491" s="260"/>
      <c r="C491" s="313"/>
      <c r="D491" s="1752"/>
      <c r="E491" s="1752"/>
      <c r="F491" s="1752"/>
      <c r="G491" s="149"/>
    </row>
    <row r="492" spans="1:7" customFormat="1">
      <c r="A492" s="260"/>
      <c r="B492" s="260"/>
      <c r="C492" s="313"/>
      <c r="D492" s="1752"/>
      <c r="E492" s="1752"/>
      <c r="F492" s="1752"/>
      <c r="G492" s="149"/>
    </row>
    <row r="493" spans="1:7" customFormat="1">
      <c r="A493" s="260"/>
      <c r="B493" s="260"/>
      <c r="C493" s="313"/>
      <c r="D493" s="1752"/>
      <c r="E493" s="1752"/>
      <c r="F493" s="1752"/>
      <c r="G493" s="149"/>
    </row>
    <row r="494" spans="1:7" customFormat="1">
      <c r="A494" s="260"/>
      <c r="B494" s="260"/>
      <c r="C494" s="313"/>
      <c r="D494" s="1752"/>
      <c r="E494" s="1752"/>
      <c r="F494" s="1752"/>
      <c r="G494" s="149"/>
    </row>
    <row r="495" spans="1:7" customFormat="1">
      <c r="A495" s="260"/>
      <c r="B495" s="260"/>
      <c r="C495" s="313"/>
      <c r="D495" s="1752"/>
      <c r="E495" s="1752"/>
      <c r="F495" s="1752"/>
      <c r="G495" s="149"/>
    </row>
    <row r="496" spans="1:7" customFormat="1">
      <c r="A496" s="260"/>
      <c r="B496" s="260"/>
      <c r="C496" s="313"/>
      <c r="D496" s="1752"/>
      <c r="E496" s="1752"/>
      <c r="F496" s="1752"/>
      <c r="G496" s="149"/>
    </row>
    <row r="497" spans="1:7" customFormat="1">
      <c r="A497" s="482"/>
      <c r="B497" s="482"/>
      <c r="C497" s="481"/>
      <c r="D497" s="1752"/>
      <c r="E497" s="1752"/>
      <c r="F497" s="1752"/>
      <c r="G497" s="149"/>
    </row>
    <row r="498" spans="1:7" customFormat="1">
      <c r="A498" s="482"/>
      <c r="B498" s="482"/>
      <c r="C498" s="481"/>
      <c r="D498" s="1752"/>
      <c r="E498" s="1752"/>
      <c r="F498" s="1752"/>
      <c r="G498" s="149"/>
    </row>
    <row r="499" spans="1:7" customFormat="1">
      <c r="A499" s="482"/>
      <c r="B499" s="482"/>
      <c r="C499" s="481"/>
      <c r="D499" s="440"/>
      <c r="E499" s="149"/>
      <c r="F499" s="151"/>
      <c r="G499" s="149"/>
    </row>
    <row r="500" spans="1:7" customFormat="1" ht="13.35" customHeight="1">
      <c r="A500" s="482"/>
      <c r="B500" s="671" t="s">
        <v>312</v>
      </c>
      <c r="C500" s="481"/>
      <c r="D500" s="1765" t="s">
        <v>1314</v>
      </c>
      <c r="E500" s="1765"/>
      <c r="F500" s="1765"/>
      <c r="G500" s="149"/>
    </row>
    <row r="501" spans="1:7" customFormat="1">
      <c r="A501" s="482"/>
      <c r="B501" s="482"/>
      <c r="C501" s="481"/>
      <c r="D501" s="1765"/>
      <c r="E501" s="1765"/>
      <c r="F501" s="1765"/>
      <c r="G501" s="149"/>
    </row>
    <row r="502" spans="1:7" customFormat="1">
      <c r="A502" s="482"/>
      <c r="B502" s="482"/>
      <c r="C502" s="481"/>
      <c r="D502" s="1765"/>
      <c r="E502" s="1765"/>
      <c r="F502" s="1765"/>
      <c r="G502" s="149"/>
    </row>
    <row r="503" spans="1:7" customFormat="1">
      <c r="A503" s="482"/>
      <c r="B503" s="482"/>
      <c r="C503" s="481"/>
      <c r="D503" s="1765"/>
      <c r="E503" s="1765"/>
      <c r="F503" s="1765"/>
      <c r="G503" s="149"/>
    </row>
    <row r="504" spans="1:7" customFormat="1">
      <c r="A504" s="260"/>
      <c r="B504" s="260"/>
      <c r="C504" s="313"/>
      <c r="D504" s="1765"/>
      <c r="E504" s="1765"/>
      <c r="F504" s="1765"/>
      <c r="G504" s="149"/>
    </row>
    <row r="505" spans="1:7" s="709" customFormat="1">
      <c r="A505" s="712"/>
      <c r="B505" s="712"/>
      <c r="C505" s="313"/>
      <c r="D505" s="733"/>
      <c r="E505" s="733"/>
      <c r="F505" s="733"/>
      <c r="G505" s="149"/>
    </row>
    <row r="506" spans="1:7" customFormat="1" ht="14.4" customHeight="1">
      <c r="A506" s="261"/>
      <c r="B506" s="671" t="s">
        <v>312</v>
      </c>
      <c r="C506" s="10"/>
      <c r="D506" s="1752" t="s">
        <v>1172</v>
      </c>
      <c r="E506" s="1752"/>
      <c r="F506" s="1752"/>
      <c r="G506" s="149"/>
    </row>
    <row r="507" spans="1:7" customFormat="1">
      <c r="A507" s="132"/>
      <c r="B507" s="668"/>
      <c r="C507" s="10"/>
      <c r="D507" s="1752"/>
      <c r="E507" s="1752"/>
      <c r="F507" s="1752"/>
      <c r="G507" s="149"/>
    </row>
    <row r="508" spans="1:7" customFormat="1">
      <c r="A508" s="132"/>
      <c r="B508" s="668"/>
      <c r="C508" s="10"/>
      <c r="D508" s="1752"/>
      <c r="E508" s="1752"/>
      <c r="F508" s="1752"/>
      <c r="G508" s="149"/>
    </row>
    <row r="509" spans="1:7" customFormat="1" ht="12" customHeight="1">
      <c r="A509" s="135"/>
      <c r="B509" s="135"/>
      <c r="C509" s="315"/>
      <c r="D509" s="135"/>
      <c r="E509" s="149"/>
      <c r="F509" s="314"/>
      <c r="G509" s="149"/>
    </row>
    <row r="510" spans="1:7">
      <c r="A510" s="1731" t="s">
        <v>1135</v>
      </c>
      <c r="B510" s="1731"/>
      <c r="C510" s="1731"/>
      <c r="D510" s="1731"/>
      <c r="E510" s="1731"/>
      <c r="F510" s="1731"/>
      <c r="G510" s="1731"/>
    </row>
    <row r="511" spans="1:7">
      <c r="A511" s="135"/>
      <c r="B511" s="135"/>
      <c r="C511" s="266"/>
      <c r="F511" s="134"/>
    </row>
    <row r="512" spans="1:7">
      <c r="B512" s="1727" t="s">
        <v>463</v>
      </c>
      <c r="C512" s="1727"/>
      <c r="D512" s="1727"/>
      <c r="E512" s="1727"/>
      <c r="F512" s="1727"/>
    </row>
    <row r="513" spans="1:7">
      <c r="A513" s="135"/>
      <c r="B513" s="135"/>
      <c r="C513" s="266"/>
      <c r="D513" s="135"/>
      <c r="F513" s="135"/>
    </row>
    <row r="514" spans="1:7">
      <c r="A514" s="1732" t="s">
        <v>1136</v>
      </c>
      <c r="B514" s="1732"/>
      <c r="C514" s="1732"/>
      <c r="D514" s="1732"/>
      <c r="E514" s="1732"/>
      <c r="F514" s="1732"/>
      <c r="G514" s="1732"/>
    </row>
    <row r="515" spans="1:7">
      <c r="A515" s="135"/>
      <c r="B515" s="135"/>
      <c r="C515" s="266"/>
      <c r="D515" s="135"/>
      <c r="F515" s="135"/>
    </row>
    <row r="516" spans="1:7">
      <c r="C516" s="266"/>
      <c r="D516" s="1729" t="s">
        <v>708</v>
      </c>
      <c r="E516" s="1729"/>
      <c r="F516" s="1729"/>
    </row>
    <row r="517" spans="1:7" s="674" customFormat="1">
      <c r="A517" s="691"/>
      <c r="B517" s="691"/>
      <c r="C517" s="266"/>
      <c r="D517" s="1730" t="s">
        <v>1193</v>
      </c>
      <c r="E517" s="1730"/>
      <c r="F517" s="1730"/>
      <c r="G517" s="7"/>
    </row>
    <row r="518" spans="1:7" s="674" customFormat="1">
      <c r="A518" s="691"/>
      <c r="B518" s="691"/>
      <c r="C518" s="266"/>
      <c r="D518" s="696"/>
      <c r="E518" s="696"/>
      <c r="F518" s="696"/>
      <c r="G518" s="7"/>
    </row>
    <row r="519" spans="1:7" ht="13.35" customHeight="1">
      <c r="A519" s="261"/>
      <c r="B519" s="671" t="s">
        <v>312</v>
      </c>
      <c r="C519" s="266"/>
      <c r="D519" s="1730" t="s">
        <v>930</v>
      </c>
      <c r="E519" s="1730"/>
      <c r="F519" s="1730"/>
      <c r="G519" s="12"/>
    </row>
    <row r="520" spans="1:7" ht="13.35" customHeight="1">
      <c r="A520" s="266"/>
      <c r="B520" s="266"/>
      <c r="C520" s="266"/>
      <c r="D520" s="696"/>
      <c r="E520" s="669"/>
      <c r="F520" s="669"/>
      <c r="G520" s="12"/>
    </row>
    <row r="521" spans="1:7" ht="14.4">
      <c r="A521" s="261"/>
      <c r="B521" s="671" t="s">
        <v>312</v>
      </c>
      <c r="C521" s="266"/>
      <c r="D521" s="1705" t="s">
        <v>1194</v>
      </c>
      <c r="E521" s="1705"/>
      <c r="F521" s="1705"/>
      <c r="G521" s="12"/>
    </row>
    <row r="522" spans="1:7">
      <c r="A522" s="266"/>
      <c r="B522" s="266"/>
      <c r="C522" s="266"/>
      <c r="D522" s="1705"/>
      <c r="E522" s="1705"/>
      <c r="F522" s="1705"/>
      <c r="G522" s="12"/>
    </row>
    <row r="523" spans="1:7">
      <c r="A523" s="266"/>
      <c r="B523" s="266"/>
      <c r="C523" s="266"/>
      <c r="D523" s="135"/>
      <c r="E523" s="135"/>
      <c r="F523" s="135"/>
      <c r="G523" s="12"/>
    </row>
    <row r="524" spans="1:7" ht="14.4">
      <c r="A524" s="261"/>
      <c r="B524" s="671" t="s">
        <v>312</v>
      </c>
      <c r="C524" s="266"/>
      <c r="D524" s="1705" t="s">
        <v>1195</v>
      </c>
      <c r="E524" s="1705"/>
      <c r="F524" s="1705"/>
      <c r="G524" s="12"/>
    </row>
    <row r="525" spans="1:7">
      <c r="A525" s="266"/>
      <c r="B525" s="266"/>
      <c r="C525" s="266"/>
      <c r="D525" s="1705"/>
      <c r="E525" s="1705"/>
      <c r="F525" s="1705"/>
      <c r="G525" s="12"/>
    </row>
    <row r="526" spans="1:7">
      <c r="A526" s="266"/>
      <c r="B526" s="266"/>
      <c r="C526" s="266"/>
      <c r="D526" s="135"/>
      <c r="E526" s="135"/>
      <c r="F526" s="135"/>
      <c r="G526" s="12"/>
    </row>
    <row r="527" spans="1:7" ht="14.4">
      <c r="A527" s="261"/>
      <c r="B527" s="671" t="s">
        <v>312</v>
      </c>
      <c r="C527" s="266"/>
      <c r="D527" s="1705" t="s">
        <v>1196</v>
      </c>
      <c r="E527" s="1705"/>
      <c r="F527" s="1705"/>
      <c r="G527" s="12"/>
    </row>
    <row r="528" spans="1:7">
      <c r="A528" s="266"/>
      <c r="B528" s="266"/>
      <c r="C528" s="266"/>
      <c r="D528" s="1705"/>
      <c r="E528" s="1705"/>
      <c r="F528" s="1705"/>
      <c r="G528" s="12"/>
    </row>
    <row r="529" spans="1:7">
      <c r="A529" s="266"/>
      <c r="B529" s="266"/>
      <c r="C529" s="266"/>
      <c r="D529" s="135"/>
      <c r="E529" s="135"/>
      <c r="F529" s="135"/>
      <c r="G529" s="12"/>
    </row>
    <row r="530" spans="1:7" ht="14.4">
      <c r="A530" s="261"/>
      <c r="B530" s="671" t="s">
        <v>312</v>
      </c>
      <c r="C530" s="266"/>
      <c r="D530" s="1705" t="s">
        <v>1197</v>
      </c>
      <c r="E530" s="1705"/>
      <c r="F530" s="1705"/>
      <c r="G530" s="12"/>
    </row>
    <row r="531" spans="1:7">
      <c r="A531" s="266"/>
      <c r="B531" s="266"/>
      <c r="C531" s="266"/>
      <c r="D531" s="1705"/>
      <c r="E531" s="1705"/>
      <c r="F531" s="1705"/>
      <c r="G531" s="12"/>
    </row>
    <row r="532" spans="1:7">
      <c r="A532" s="266"/>
      <c r="B532" s="266"/>
      <c r="C532" s="266"/>
      <c r="D532" s="1705"/>
      <c r="E532" s="1705"/>
      <c r="F532" s="1705"/>
      <c r="G532" s="12"/>
    </row>
    <row r="533" spans="1:7">
      <c r="A533" s="266"/>
      <c r="B533" s="266"/>
      <c r="C533" s="266"/>
      <c r="D533" s="135"/>
      <c r="E533" s="135"/>
      <c r="F533" s="135"/>
    </row>
    <row r="534" spans="1:7" ht="14.4">
      <c r="A534" s="261"/>
      <c r="B534" s="671" t="s">
        <v>312</v>
      </c>
      <c r="C534" s="266"/>
      <c r="D534" s="1728" t="s">
        <v>1315</v>
      </c>
      <c r="E534" s="1728"/>
      <c r="F534" s="1728"/>
    </row>
    <row r="535" spans="1:7">
      <c r="A535" s="266"/>
      <c r="B535" s="266"/>
      <c r="C535" s="266"/>
      <c r="D535" s="1728"/>
      <c r="E535" s="1728"/>
      <c r="F535" s="1728"/>
    </row>
    <row r="536" spans="1:7">
      <c r="A536" s="266"/>
      <c r="B536" s="266"/>
      <c r="C536" s="266"/>
      <c r="D536" s="135"/>
      <c r="E536" s="135"/>
      <c r="F536" s="135"/>
    </row>
    <row r="537" spans="1:7" ht="14.4">
      <c r="A537" s="261"/>
      <c r="B537" s="671" t="s">
        <v>312</v>
      </c>
      <c r="C537" s="266"/>
      <c r="D537" s="1728" t="s">
        <v>1198</v>
      </c>
      <c r="E537" s="1728"/>
      <c r="F537" s="1728"/>
    </row>
    <row r="538" spans="1:7">
      <c r="A538" s="266"/>
      <c r="B538" s="266"/>
      <c r="C538" s="266"/>
      <c r="D538" s="1728"/>
      <c r="E538" s="1728"/>
      <c r="F538" s="1728"/>
    </row>
    <row r="539" spans="1:7">
      <c r="A539" s="266"/>
      <c r="B539" s="266"/>
      <c r="C539" s="266"/>
      <c r="D539" s="135"/>
      <c r="E539" s="135"/>
      <c r="F539" s="135"/>
    </row>
    <row r="540" spans="1:7" ht="14.4">
      <c r="A540" s="261"/>
      <c r="B540" s="671" t="s">
        <v>312</v>
      </c>
      <c r="C540" s="266"/>
      <c r="D540" s="1705" t="s">
        <v>1199</v>
      </c>
      <c r="E540" s="1705"/>
      <c r="F540" s="1705"/>
    </row>
    <row r="541" spans="1:7">
      <c r="A541" s="266"/>
      <c r="B541" s="266"/>
      <c r="C541" s="266"/>
      <c r="D541" s="1705"/>
      <c r="E541" s="1705"/>
      <c r="F541" s="1705"/>
      <c r="G541" s="57"/>
    </row>
    <row r="542" spans="1:7">
      <c r="A542" s="266"/>
      <c r="B542" s="266"/>
      <c r="C542" s="266"/>
      <c r="D542" s="135"/>
      <c r="E542" s="135"/>
      <c r="F542" s="135"/>
      <c r="G542" s="57"/>
    </row>
    <row r="543" spans="1:7" ht="14.4">
      <c r="A543" s="261"/>
      <c r="B543" s="671" t="s">
        <v>312</v>
      </c>
      <c r="C543" s="266"/>
      <c r="D543" s="1730" t="s">
        <v>1200</v>
      </c>
      <c r="E543" s="1730"/>
      <c r="F543" s="1730"/>
      <c r="G543" s="57"/>
    </row>
    <row r="544" spans="1:7">
      <c r="A544" s="23"/>
      <c r="B544" s="667"/>
      <c r="C544" s="266"/>
      <c r="D544" s="1730" t="s">
        <v>863</v>
      </c>
      <c r="E544" s="1730"/>
      <c r="F544" s="1730"/>
      <c r="G544" s="57"/>
    </row>
    <row r="545" spans="1:7">
      <c r="A545" s="23"/>
      <c r="B545" s="667"/>
      <c r="C545" s="266"/>
      <c r="D545" s="6"/>
      <c r="E545" s="1735" t="s">
        <v>1201</v>
      </c>
      <c r="F545" s="1735"/>
      <c r="G545" s="57"/>
    </row>
    <row r="546" spans="1:7" ht="14.4">
      <c r="A546" s="261"/>
      <c r="B546" s="261"/>
      <c r="C546" s="266"/>
      <c r="E546" s="135"/>
      <c r="F546" s="135"/>
      <c r="G546" s="57"/>
    </row>
    <row r="547" spans="1:7" ht="14.4">
      <c r="A547" s="261"/>
      <c r="B547" s="671" t="s">
        <v>312</v>
      </c>
      <c r="C547" s="266"/>
      <c r="D547" s="1736" t="s">
        <v>1202</v>
      </c>
      <c r="E547" s="1736"/>
      <c r="F547" s="1736"/>
      <c r="G547" s="57"/>
    </row>
    <row r="548" spans="1:7">
      <c r="C548" s="266"/>
      <c r="D548" s="1705" t="s">
        <v>1203</v>
      </c>
      <c r="E548" s="1705"/>
      <c r="F548" s="1705"/>
      <c r="G548" s="57"/>
    </row>
    <row r="549" spans="1:7">
      <c r="A549" s="266"/>
      <c r="B549" s="266"/>
      <c r="C549" s="266"/>
      <c r="D549" s="1705"/>
      <c r="E549" s="1705"/>
      <c r="F549" s="1705"/>
      <c r="G549" s="57"/>
    </row>
    <row r="550" spans="1:7">
      <c r="A550" s="266"/>
      <c r="B550" s="266"/>
      <c r="C550" s="266"/>
      <c r="D550" s="1705"/>
      <c r="E550" s="1705"/>
      <c r="F550" s="1705"/>
      <c r="G550" s="57"/>
    </row>
    <row r="551" spans="1:7">
      <c r="A551" s="266"/>
      <c r="B551" s="266"/>
      <c r="C551" s="266"/>
      <c r="D551" s="135"/>
      <c r="E551" s="135"/>
      <c r="F551" s="135"/>
      <c r="G551" s="57"/>
    </row>
    <row r="552" spans="1:7" ht="14.4">
      <c r="A552" s="261"/>
      <c r="B552" s="671" t="s">
        <v>312</v>
      </c>
      <c r="C552" s="266"/>
      <c r="D552" s="1705" t="s">
        <v>1204</v>
      </c>
      <c r="E552" s="1705"/>
      <c r="F552" s="1705"/>
      <c r="G552" s="57"/>
    </row>
    <row r="553" spans="1:7" ht="14.4">
      <c r="A553" s="261"/>
      <c r="B553" s="261"/>
      <c r="C553" s="266"/>
      <c r="D553" s="1705"/>
      <c r="E553" s="1705"/>
      <c r="F553" s="1705"/>
      <c r="G553" s="57"/>
    </row>
    <row r="554" spans="1:7" ht="14.4">
      <c r="A554" s="261"/>
      <c r="B554" s="261"/>
      <c r="C554" s="266"/>
      <c r="D554" s="1705"/>
      <c r="E554" s="1705"/>
      <c r="F554" s="1705"/>
      <c r="G554" s="57"/>
    </row>
    <row r="555" spans="1:7" ht="14.4">
      <c r="A555" s="261"/>
      <c r="B555" s="261"/>
      <c r="C555" s="266"/>
      <c r="D555" s="1705"/>
      <c r="E555" s="1705"/>
      <c r="F555" s="1705"/>
      <c r="G555" s="57"/>
    </row>
    <row r="556" spans="1:7" ht="14.4">
      <c r="A556" s="261"/>
      <c r="B556" s="261"/>
      <c r="C556" s="266"/>
      <c r="D556" s="135"/>
      <c r="E556" s="135"/>
      <c r="F556" s="135"/>
      <c r="G556" s="57"/>
    </row>
    <row r="557" spans="1:7">
      <c r="A557" s="1731" t="s">
        <v>1137</v>
      </c>
      <c r="B557" s="1731"/>
      <c r="C557" s="1731"/>
      <c r="D557" s="1731"/>
      <c r="E557" s="1731"/>
      <c r="F557" s="1731"/>
      <c r="G557" s="1731"/>
    </row>
    <row r="558" spans="1:7">
      <c r="A558" s="266"/>
      <c r="B558" s="266"/>
      <c r="C558" s="266"/>
      <c r="E558" s="135"/>
      <c r="F558" s="135"/>
      <c r="G558" s="57"/>
    </row>
    <row r="559" spans="1:7" ht="12.75" customHeight="1">
      <c r="C559" s="255"/>
      <c r="D559" s="1747" t="s">
        <v>215</v>
      </c>
      <c r="E559" s="1747"/>
      <c r="F559" s="1747"/>
      <c r="G559" s="57"/>
    </row>
    <row r="560" spans="1:7">
      <c r="A560" s="260"/>
      <c r="B560" s="260"/>
      <c r="C560" s="260"/>
      <c r="D560" s="1753" t="s">
        <v>1153</v>
      </c>
      <c r="E560" s="1753"/>
      <c r="F560" s="1753"/>
      <c r="G560" s="57"/>
    </row>
    <row r="561" spans="1:7">
      <c r="A561" s="12"/>
      <c r="B561" s="12"/>
      <c r="C561" s="260"/>
      <c r="D561" s="374"/>
      <c r="G561" s="57"/>
    </row>
    <row r="562" spans="1:7">
      <c r="A562" s="260"/>
      <c r="B562" s="671" t="s">
        <v>312</v>
      </c>
      <c r="D562" s="1753" t="s">
        <v>936</v>
      </c>
      <c r="E562" s="1753"/>
      <c r="F562" s="1753"/>
      <c r="G562" s="57"/>
    </row>
    <row r="563" spans="1:7">
      <c r="A563" s="23"/>
      <c r="B563" s="667"/>
      <c r="D563" s="325"/>
    </row>
    <row r="564" spans="1:7">
      <c r="A564" s="23"/>
      <c r="B564" s="671" t="s">
        <v>312</v>
      </c>
      <c r="D564" s="1754" t="s">
        <v>1154</v>
      </c>
      <c r="E564" s="1754"/>
      <c r="F564" s="1754"/>
    </row>
    <row r="565" spans="1:7">
      <c r="A565" s="23"/>
      <c r="B565" s="667"/>
      <c r="D565" s="1754"/>
      <c r="E565" s="1754"/>
      <c r="F565" s="1754"/>
    </row>
    <row r="566" spans="1:7">
      <c r="A566" s="23"/>
      <c r="B566" s="680"/>
      <c r="D566" s="1754"/>
      <c r="E566" s="1754"/>
      <c r="F566" s="1754"/>
    </row>
    <row r="567" spans="1:7">
      <c r="A567" s="23"/>
      <c r="B567" s="667"/>
      <c r="D567" s="473"/>
    </row>
    <row r="568" spans="1:7" s="674" customFormat="1">
      <c r="A568" s="680"/>
      <c r="B568" s="671" t="s">
        <v>312</v>
      </c>
      <c r="C568" s="681"/>
      <c r="D568" s="1754" t="s">
        <v>1155</v>
      </c>
      <c r="E568" s="1754"/>
      <c r="F568" s="1754"/>
      <c r="G568" s="7"/>
    </row>
    <row r="569" spans="1:7" s="674" customFormat="1">
      <c r="A569" s="680"/>
      <c r="B569" s="680"/>
      <c r="C569" s="681"/>
      <c r="D569" s="1754"/>
      <c r="E569" s="1754"/>
      <c r="F569" s="1754"/>
      <c r="G569" s="7"/>
    </row>
    <row r="570" spans="1:7" s="674" customFormat="1">
      <c r="A570" s="680"/>
      <c r="B570" s="680"/>
      <c r="C570" s="681"/>
      <c r="D570" s="1754"/>
      <c r="E570" s="1754"/>
      <c r="F570" s="1754"/>
      <c r="G570" s="7"/>
    </row>
    <row r="571" spans="1:7" s="674" customFormat="1">
      <c r="A571" s="680"/>
      <c r="B571" s="680"/>
      <c r="C571" s="681"/>
      <c r="D571" s="1754"/>
      <c r="E571" s="1754"/>
      <c r="F571" s="1754"/>
      <c r="G571" s="7"/>
    </row>
    <row r="572" spans="1:7" s="674" customFormat="1">
      <c r="A572" s="680"/>
      <c r="B572" s="680"/>
      <c r="C572" s="681"/>
      <c r="D572" s="686"/>
      <c r="E572" s="686"/>
      <c r="F572" s="686"/>
      <c r="G572" s="7"/>
    </row>
    <row r="573" spans="1:7">
      <c r="A573" s="23"/>
      <c r="B573" s="671" t="s">
        <v>312</v>
      </c>
      <c r="D573" s="1754" t="s">
        <v>1156</v>
      </c>
      <c r="E573" s="1754"/>
      <c r="F573" s="1754"/>
    </row>
    <row r="574" spans="1:7">
      <c r="A574" s="23"/>
      <c r="B574" s="667"/>
      <c r="D574" s="1754"/>
      <c r="E574" s="1754"/>
      <c r="F574" s="1754"/>
    </row>
    <row r="575" spans="1:7">
      <c r="A575" s="23"/>
      <c r="B575" s="667"/>
      <c r="D575" s="374"/>
    </row>
    <row r="576" spans="1:7" s="674" customFormat="1">
      <c r="A576" s="680"/>
      <c r="B576" s="671" t="s">
        <v>312</v>
      </c>
      <c r="C576" s="681"/>
      <c r="D576" s="1753" t="s">
        <v>1157</v>
      </c>
      <c r="E576" s="1753"/>
      <c r="F576" s="1753"/>
      <c r="G576" s="7"/>
    </row>
    <row r="577" spans="1:7" s="674" customFormat="1">
      <c r="A577" s="680"/>
      <c r="B577" s="680"/>
      <c r="C577" s="681"/>
      <c r="D577" s="1753"/>
      <c r="E577" s="1753"/>
      <c r="F577" s="1753"/>
      <c r="G577" s="7"/>
    </row>
    <row r="578" spans="1:7" s="674" customFormat="1">
      <c r="A578" s="680"/>
      <c r="B578" s="680"/>
      <c r="C578" s="681"/>
      <c r="D578" s="374"/>
      <c r="E578" s="7"/>
      <c r="F578" s="7"/>
      <c r="G578" s="7"/>
    </row>
    <row r="579" spans="1:7" ht="14.4">
      <c r="A579" s="261"/>
      <c r="B579" s="671" t="s">
        <v>312</v>
      </c>
      <c r="D579" s="1753" t="s">
        <v>931</v>
      </c>
      <c r="E579" s="1753"/>
      <c r="F579" s="1753"/>
    </row>
    <row r="580" spans="1:7" ht="14.4">
      <c r="A580" s="261"/>
      <c r="B580" s="261"/>
      <c r="D580" s="374"/>
    </row>
    <row r="581" spans="1:7" ht="14.4">
      <c r="A581" s="261"/>
      <c r="B581" s="671" t="s">
        <v>312</v>
      </c>
      <c r="D581" s="1753" t="s">
        <v>1158</v>
      </c>
      <c r="E581" s="1753"/>
      <c r="F581" s="1753"/>
    </row>
    <row r="582" spans="1:7" ht="14.4">
      <c r="A582" s="261"/>
      <c r="B582" s="261"/>
      <c r="D582" s="1753"/>
      <c r="E582" s="1753"/>
      <c r="F582" s="1753"/>
    </row>
    <row r="583" spans="1:7">
      <c r="D583" s="1753"/>
      <c r="E583" s="1753"/>
      <c r="F583" s="1753"/>
    </row>
    <row r="584" spans="1:7">
      <c r="D584" s="1753"/>
      <c r="E584" s="1753"/>
      <c r="F584" s="1753"/>
    </row>
    <row r="585" spans="1:7" s="674" customFormat="1">
      <c r="A585" s="681"/>
      <c r="B585" s="681"/>
      <c r="C585" s="681"/>
      <c r="D585" s="1753"/>
      <c r="E585" s="1753"/>
      <c r="F585" s="1753"/>
      <c r="G585" s="7"/>
    </row>
    <row r="586" spans="1:7" s="674" customFormat="1">
      <c r="A586" s="681"/>
      <c r="B586" s="681"/>
      <c r="C586" s="681"/>
      <c r="D586" s="1753"/>
      <c r="E586" s="1753"/>
      <c r="F586" s="1753"/>
      <c r="G586" s="7"/>
    </row>
    <row r="587" spans="1:7"/>
    <row r="588" spans="1:7">
      <c r="A588" s="1731" t="s">
        <v>1138</v>
      </c>
      <c r="B588" s="1731"/>
      <c r="C588" s="1731"/>
      <c r="D588" s="1731"/>
      <c r="E588" s="1731"/>
      <c r="F588" s="1731"/>
      <c r="G588" s="1731"/>
    </row>
    <row r="589" spans="1:7"/>
    <row r="590" spans="1:7">
      <c r="D590" s="1721" t="s">
        <v>1238</v>
      </c>
      <c r="E590" s="1721"/>
      <c r="F590" s="1721"/>
    </row>
    <row r="591" spans="1:7">
      <c r="D591" s="1722" t="s">
        <v>1239</v>
      </c>
      <c r="E591" s="1722"/>
      <c r="F591" s="1722"/>
    </row>
    <row r="592" spans="1:7" s="711" customFormat="1">
      <c r="A592" s="697"/>
      <c r="B592" s="697"/>
      <c r="C592" s="697"/>
      <c r="D592" s="715"/>
      <c r="E592" s="714"/>
      <c r="F592" s="714"/>
      <c r="G592" s="7"/>
    </row>
    <row r="593" spans="1:7" s="39" customFormat="1" ht="14.4">
      <c r="A593" s="400"/>
      <c r="B593" s="671" t="s">
        <v>312</v>
      </c>
      <c r="C593" s="273"/>
      <c r="D593" s="1723" t="s">
        <v>1240</v>
      </c>
      <c r="E593" s="1723"/>
      <c r="F593" s="1723"/>
      <c r="G593" s="130"/>
    </row>
    <row r="594" spans="1:7">
      <c r="D594" s="1723"/>
      <c r="E594" s="1723"/>
      <c r="F594" s="1723"/>
    </row>
    <row r="595" spans="1:7">
      <c r="D595" s="1723"/>
      <c r="E595" s="1723"/>
      <c r="F595" s="1723"/>
    </row>
    <row r="596" spans="1:7"/>
    <row r="597" spans="1:7">
      <c r="A597" s="1731" t="s">
        <v>1139</v>
      </c>
      <c r="B597" s="1731"/>
      <c r="C597" s="1731"/>
      <c r="D597" s="1731"/>
      <c r="E597" s="1731"/>
      <c r="F597" s="1731"/>
      <c r="G597" s="1731"/>
    </row>
    <row r="598" spans="1:7">
      <c r="A598" s="135"/>
      <c r="B598" s="135"/>
      <c r="G598" s="57"/>
    </row>
    <row r="599" spans="1:7">
      <c r="A599" s="257"/>
      <c r="B599" s="666"/>
      <c r="C599" s="255"/>
      <c r="D599" s="1724" t="s">
        <v>1241</v>
      </c>
      <c r="E599" s="1724"/>
      <c r="F599" s="1724"/>
      <c r="G599" s="57"/>
    </row>
    <row r="600" spans="1:7">
      <c r="A600" s="257"/>
      <c r="B600" s="666"/>
      <c r="C600" s="255"/>
      <c r="D600" s="1724"/>
      <c r="E600" s="1724"/>
      <c r="F600" s="1724"/>
      <c r="G600" s="57"/>
    </row>
    <row r="601" spans="1:7">
      <c r="C601" s="260"/>
      <c r="D601" s="1722" t="s">
        <v>1242</v>
      </c>
      <c r="E601" s="1722"/>
      <c r="F601" s="1722"/>
      <c r="G601" s="57"/>
    </row>
    <row r="602" spans="1:7" s="711" customFormat="1">
      <c r="A602" s="697"/>
      <c r="B602" s="697"/>
      <c r="C602" s="712"/>
      <c r="D602" s="716"/>
      <c r="E602" s="716"/>
      <c r="F602" s="716"/>
      <c r="G602" s="57"/>
    </row>
    <row r="603" spans="1:7">
      <c r="A603" s="23"/>
      <c r="B603" s="671" t="s">
        <v>312</v>
      </c>
      <c r="D603" s="1722" t="s">
        <v>448</v>
      </c>
      <c r="E603" s="1722"/>
      <c r="F603" s="1722"/>
      <c r="G603" s="57"/>
    </row>
    <row r="604" spans="1:7">
      <c r="C604" s="268"/>
      <c r="E604" s="12"/>
      <c r="G604" s="57"/>
    </row>
    <row r="605" spans="1:7">
      <c r="A605" s="23"/>
      <c r="B605" s="671" t="s">
        <v>312</v>
      </c>
      <c r="D605" s="1725" t="s">
        <v>1243</v>
      </c>
      <c r="E605" s="1725"/>
      <c r="F605" s="1725"/>
      <c r="G605" s="57"/>
    </row>
    <row r="606" spans="1:7">
      <c r="D606" s="1725"/>
      <c r="E606" s="1725"/>
      <c r="F606" s="1725"/>
      <c r="G606" s="57"/>
    </row>
    <row r="607" spans="1:7">
      <c r="D607" s="12"/>
      <c r="G607" s="57"/>
    </row>
    <row r="608" spans="1:7">
      <c r="B608" s="671" t="s">
        <v>312</v>
      </c>
      <c r="D608" s="1725" t="s">
        <v>1244</v>
      </c>
      <c r="E608" s="1725"/>
      <c r="F608" s="1725"/>
      <c r="G608" s="57"/>
    </row>
    <row r="609" spans="1:7">
      <c r="C609" s="268"/>
      <c r="D609" s="1725"/>
      <c r="E609" s="1725"/>
      <c r="F609" s="1725"/>
      <c r="G609" s="57"/>
    </row>
    <row r="610" spans="1:7">
      <c r="C610" s="268"/>
      <c r="G610" s="57"/>
    </row>
    <row r="611" spans="1:7">
      <c r="B611" s="671" t="s">
        <v>312</v>
      </c>
      <c r="C611" s="268"/>
      <c r="D611" s="1725" t="s">
        <v>1245</v>
      </c>
      <c r="E611" s="1725"/>
      <c r="F611" s="1725"/>
      <c r="G611" s="57"/>
    </row>
    <row r="612" spans="1:7">
      <c r="C612" s="268"/>
      <c r="D612" s="1725"/>
      <c r="E612" s="1725"/>
      <c r="F612" s="1725"/>
      <c r="G612" s="57"/>
    </row>
    <row r="613" spans="1:7">
      <c r="C613" s="268"/>
      <c r="G613" s="57"/>
    </row>
    <row r="614" spans="1:7">
      <c r="A614" s="1731" t="s">
        <v>1140</v>
      </c>
      <c r="B614" s="1731"/>
      <c r="C614" s="1731"/>
      <c r="D614" s="1731"/>
      <c r="E614" s="1731"/>
      <c r="F614" s="1731"/>
      <c r="G614" s="1731"/>
    </row>
    <row r="615" spans="1:7">
      <c r="A615" s="267"/>
      <c r="B615" s="267"/>
      <c r="C615" s="267"/>
      <c r="G615" s="57"/>
    </row>
    <row r="616" spans="1:7">
      <c r="C616" s="23"/>
      <c r="D616" s="1721" t="s">
        <v>1246</v>
      </c>
      <c r="E616" s="1721"/>
      <c r="F616" s="1721"/>
      <c r="G616" s="57"/>
    </row>
    <row r="617" spans="1:7">
      <c r="A617" s="23"/>
      <c r="B617" s="667"/>
      <c r="C617" s="265"/>
      <c r="D617" s="50"/>
      <c r="G617" s="57"/>
    </row>
    <row r="618" spans="1:7" ht="14.4">
      <c r="A618" s="261"/>
      <c r="B618" s="671" t="s">
        <v>312</v>
      </c>
      <c r="C618" s="265"/>
      <c r="D618" s="1766" t="s">
        <v>1247</v>
      </c>
      <c r="E618" s="1766"/>
      <c r="F618" s="1766"/>
      <c r="G618" s="57"/>
    </row>
    <row r="619" spans="1:7">
      <c r="C619" s="265"/>
      <c r="D619" s="1766"/>
      <c r="E619" s="1766"/>
      <c r="F619" s="1766"/>
      <c r="G619" s="57"/>
    </row>
    <row r="620" spans="1:7">
      <c r="C620" s="265"/>
      <c r="D620" s="1766"/>
      <c r="E620" s="1766"/>
      <c r="F620" s="1766"/>
      <c r="G620" s="57"/>
    </row>
    <row r="621" spans="1:7">
      <c r="C621" s="265"/>
      <c r="D621" s="1766"/>
      <c r="E621" s="1766"/>
      <c r="F621" s="1766"/>
      <c r="G621" s="57"/>
    </row>
    <row r="622" spans="1:7">
      <c r="C622" s="265"/>
      <c r="D622" s="1766"/>
      <c r="E622" s="1766"/>
      <c r="F622" s="1766"/>
      <c r="G622" s="57"/>
    </row>
    <row r="623" spans="1:7">
      <c r="C623" s="265"/>
      <c r="D623" s="1766"/>
      <c r="E623" s="1766"/>
      <c r="F623" s="1766"/>
      <c r="G623" s="57"/>
    </row>
    <row r="624" spans="1:7" s="711" customFormat="1">
      <c r="A624" s="697"/>
      <c r="B624" s="697"/>
      <c r="C624" s="265"/>
      <c r="D624" s="717"/>
      <c r="E624" s="717"/>
      <c r="F624" s="717"/>
      <c r="G624" s="57"/>
    </row>
    <row r="625" spans="1:7" ht="14.4">
      <c r="A625" s="261"/>
      <c r="B625" s="671" t="s">
        <v>312</v>
      </c>
      <c r="C625" s="265"/>
      <c r="D625" s="1766" t="s">
        <v>1248</v>
      </c>
      <c r="E625" s="1766"/>
      <c r="F625" s="1766"/>
      <c r="G625" s="57"/>
    </row>
    <row r="626" spans="1:7">
      <c r="A626" s="266"/>
      <c r="B626" s="266"/>
      <c r="C626" s="266"/>
      <c r="D626" s="1766"/>
      <c r="E626" s="1766"/>
      <c r="F626" s="1766"/>
      <c r="G626" s="57"/>
    </row>
    <row r="627" spans="1:7">
      <c r="A627" s="266"/>
      <c r="B627" s="266"/>
      <c r="C627" s="266"/>
      <c r="D627" s="151"/>
      <c r="E627" s="147"/>
      <c r="F627" s="147"/>
      <c r="G627" s="57"/>
    </row>
    <row r="628" spans="1:7" ht="14.4">
      <c r="A628" s="261"/>
      <c r="B628" s="671" t="s">
        <v>312</v>
      </c>
      <c r="C628" s="266"/>
      <c r="D628" s="1723" t="s">
        <v>1249</v>
      </c>
      <c r="E628" s="1723"/>
      <c r="F628" s="1723"/>
      <c r="G628" s="57"/>
    </row>
    <row r="629" spans="1:7" ht="14.4">
      <c r="A629" s="261"/>
      <c r="B629" s="261"/>
      <c r="C629" s="266"/>
      <c r="D629" s="1723"/>
      <c r="E629" s="1723"/>
      <c r="F629" s="1723"/>
      <c r="G629" s="57"/>
    </row>
    <row r="630" spans="1:7" ht="14.4">
      <c r="A630" s="261"/>
      <c r="B630" s="261"/>
      <c r="C630" s="266"/>
      <c r="D630" s="1723"/>
      <c r="E630" s="1723"/>
      <c r="F630" s="1723"/>
      <c r="G630" s="57"/>
    </row>
    <row r="631" spans="1:7">
      <c r="A631" s="266"/>
      <c r="B631" s="266"/>
      <c r="C631" s="266"/>
      <c r="D631" s="1723"/>
      <c r="E631" s="1723"/>
      <c r="F631" s="1723"/>
      <c r="G631" s="57"/>
    </row>
    <row r="632" spans="1:7" s="711" customFormat="1">
      <c r="A632" s="266"/>
      <c r="B632" s="266"/>
      <c r="C632" s="266"/>
      <c r="D632" s="718"/>
      <c r="E632" s="718"/>
      <c r="F632" s="718"/>
      <c r="G632" s="57"/>
    </row>
    <row r="633" spans="1:7">
      <c r="A633" s="266"/>
      <c r="B633" s="671" t="s">
        <v>312</v>
      </c>
      <c r="C633" s="266"/>
      <c r="D633" s="1771" t="s">
        <v>1250</v>
      </c>
      <c r="E633" s="1771"/>
      <c r="F633" s="1771"/>
      <c r="G633" s="57"/>
    </row>
    <row r="634" spans="1:7">
      <c r="A634" s="266"/>
      <c r="B634" s="266"/>
      <c r="C634" s="266"/>
      <c r="D634" s="719"/>
      <c r="E634" s="719"/>
      <c r="F634" s="719"/>
      <c r="G634" s="57"/>
    </row>
    <row r="635" spans="1:7">
      <c r="A635" s="1731" t="s">
        <v>1141</v>
      </c>
      <c r="B635" s="1731"/>
      <c r="C635" s="1731"/>
      <c r="D635" s="1731"/>
      <c r="E635" s="1731"/>
      <c r="F635" s="1731"/>
      <c r="G635" s="1731"/>
    </row>
    <row r="636" spans="1:7">
      <c r="A636" s="135"/>
      <c r="B636" s="135"/>
      <c r="C636" s="266"/>
      <c r="D636" s="147"/>
      <c r="E636" s="147"/>
      <c r="F636" s="147"/>
      <c r="G636" s="57"/>
    </row>
    <row r="637" spans="1:7">
      <c r="C637" s="267"/>
      <c r="D637" s="1772" t="s">
        <v>1300</v>
      </c>
      <c r="E637" s="1772"/>
      <c r="F637" s="1772"/>
      <c r="G637" s="57"/>
    </row>
    <row r="638" spans="1:7">
      <c r="A638" s="260"/>
      <c r="B638" s="260"/>
      <c r="C638" s="260"/>
      <c r="D638" s="1773" t="s">
        <v>1301</v>
      </c>
      <c r="E638" s="1773"/>
      <c r="F638" s="1773"/>
      <c r="G638" s="57"/>
    </row>
    <row r="639" spans="1:7" s="711" customFormat="1">
      <c r="A639" s="712"/>
      <c r="B639" s="712"/>
      <c r="C639" s="712"/>
      <c r="D639" s="726"/>
      <c r="E639" s="726"/>
      <c r="F639" s="726"/>
      <c r="G639" s="57"/>
    </row>
    <row r="640" spans="1:7" ht="14.4" customHeight="1">
      <c r="A640" s="261"/>
      <c r="B640" s="671" t="s">
        <v>312</v>
      </c>
      <c r="C640" s="266"/>
      <c r="D640" s="1719" t="s">
        <v>1302</v>
      </c>
      <c r="E640" s="1719"/>
      <c r="F640" s="1719"/>
      <c r="G640" s="57"/>
    </row>
    <row r="641" spans="1:11" ht="14.4">
      <c r="A641" s="261"/>
      <c r="B641" s="261"/>
      <c r="C641" s="266"/>
      <c r="D641" s="1719"/>
      <c r="E641" s="1719"/>
      <c r="F641" s="1719"/>
      <c r="G641" s="57"/>
    </row>
    <row r="642" spans="1:11" ht="14.4">
      <c r="A642" s="261"/>
      <c r="B642" s="261"/>
      <c r="C642" s="266"/>
      <c r="D642" s="1719"/>
      <c r="E642" s="1719"/>
      <c r="F642" s="1719"/>
      <c r="G642" s="57"/>
    </row>
    <row r="643" spans="1:11" ht="14.4">
      <c r="A643" s="261"/>
      <c r="B643" s="261"/>
      <c r="C643" s="266"/>
      <c r="D643" s="1719"/>
      <c r="E643" s="1719"/>
      <c r="F643" s="1719"/>
      <c r="G643" s="57"/>
    </row>
    <row r="644" spans="1:11" s="674" customFormat="1" ht="14.4">
      <c r="A644" s="261"/>
      <c r="B644" s="261"/>
      <c r="C644" s="266"/>
      <c r="D644" s="1719"/>
      <c r="E644" s="1719"/>
      <c r="F644" s="1719"/>
      <c r="G644" s="57"/>
    </row>
    <row r="645" spans="1:11" s="711" customFormat="1" ht="14.4">
      <c r="A645" s="706"/>
      <c r="B645" s="706"/>
      <c r="C645" s="266"/>
      <c r="D645" s="728"/>
      <c r="E645" s="728"/>
      <c r="F645" s="728"/>
      <c r="G645" s="57"/>
    </row>
    <row r="646" spans="1:11" s="674" customFormat="1" ht="14.4">
      <c r="A646" s="261"/>
      <c r="B646" s="671" t="s">
        <v>312</v>
      </c>
      <c r="C646" s="266"/>
      <c r="D646" s="1749" t="s">
        <v>1152</v>
      </c>
      <c r="E646" s="1749"/>
      <c r="F646" s="1749"/>
      <c r="G646" s="57"/>
    </row>
    <row r="647" spans="1:11" s="674" customFormat="1" ht="14.4">
      <c r="A647" s="261"/>
      <c r="B647" s="261"/>
      <c r="C647" s="266"/>
      <c r="D647" s="1750" t="s">
        <v>1303</v>
      </c>
      <c r="E647" s="1750"/>
      <c r="F647" s="1750"/>
      <c r="G647" s="57"/>
    </row>
    <row r="648" spans="1:11" s="674" customFormat="1" ht="14.4">
      <c r="A648" s="261"/>
      <c r="B648" s="261"/>
      <c r="C648" s="266"/>
      <c r="D648" s="1750"/>
      <c r="E648" s="1750"/>
      <c r="F648" s="1750"/>
      <c r="G648" s="57"/>
    </row>
    <row r="649" spans="1:11" s="674" customFormat="1" ht="14.4">
      <c r="A649" s="261"/>
      <c r="B649" s="261"/>
      <c r="C649" s="266"/>
      <c r="D649" s="1750"/>
      <c r="E649" s="1750"/>
      <c r="F649" s="1750"/>
      <c r="G649" s="57"/>
    </row>
    <row r="650" spans="1:11" s="674" customFormat="1" ht="14.4">
      <c r="A650" s="261"/>
      <c r="B650" s="261"/>
      <c r="C650" s="266"/>
      <c r="D650" s="1750"/>
      <c r="E650" s="1750"/>
      <c r="F650" s="1750"/>
      <c r="G650" s="57"/>
    </row>
    <row r="651" spans="1:11" s="674" customFormat="1" ht="14.4">
      <c r="A651" s="261"/>
      <c r="B651" s="261"/>
      <c r="C651" s="266"/>
      <c r="D651" s="1750"/>
      <c r="E651" s="1750"/>
      <c r="F651" s="1750"/>
      <c r="G651" s="57"/>
    </row>
    <row r="652" spans="1:11" s="674" customFormat="1" ht="14.4">
      <c r="A652" s="261"/>
      <c r="B652" s="261"/>
      <c r="C652" s="266"/>
      <c r="D652" s="1751" t="s">
        <v>1304</v>
      </c>
      <c r="E652" s="1751"/>
      <c r="F652" s="1751"/>
      <c r="G652" s="57"/>
    </row>
    <row r="653" spans="1:11">
      <c r="A653" s="266"/>
      <c r="B653" s="266"/>
      <c r="C653" s="266"/>
      <c r="D653" s="147"/>
      <c r="E653" s="147"/>
      <c r="F653" s="147"/>
      <c r="G653" s="57"/>
    </row>
    <row r="654" spans="1:11">
      <c r="A654" s="1731" t="s">
        <v>1142</v>
      </c>
      <c r="B654" s="1731"/>
      <c r="C654" s="1731"/>
      <c r="D654" s="1731"/>
      <c r="E654" s="1731"/>
      <c r="F654" s="1731"/>
      <c r="G654" s="1731"/>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729" t="s">
        <v>104</v>
      </c>
      <c r="E656" s="1729"/>
      <c r="F656" s="1729"/>
      <c r="G656" s="57"/>
      <c r="H656" s="269"/>
      <c r="I656" s="269"/>
      <c r="J656" s="269"/>
      <c r="K656" s="269"/>
    </row>
    <row r="657" spans="1:11">
      <c r="A657" s="267"/>
      <c r="B657" s="267"/>
      <c r="C657" s="267"/>
      <c r="D657" s="1729" t="s">
        <v>128</v>
      </c>
      <c r="E657" s="1729"/>
      <c r="F657" s="1729"/>
      <c r="G657" s="57"/>
      <c r="H657" s="269"/>
      <c r="I657" s="269"/>
      <c r="J657" s="269"/>
      <c r="K657" s="269"/>
    </row>
    <row r="658" spans="1:11">
      <c r="A658" s="260"/>
      <c r="B658" s="260"/>
      <c r="C658" s="260"/>
      <c r="D658" s="1730" t="s">
        <v>1178</v>
      </c>
      <c r="E658" s="1730"/>
      <c r="F658" s="1730"/>
      <c r="G658" s="57"/>
      <c r="H658" s="269"/>
      <c r="I658" s="269"/>
      <c r="J658" s="269"/>
      <c r="K658" s="269"/>
    </row>
    <row r="659" spans="1:11">
      <c r="A659" s="260"/>
      <c r="B659" s="260"/>
      <c r="C659" s="260"/>
      <c r="G659" s="57"/>
      <c r="H659" s="269"/>
      <c r="I659" s="269"/>
      <c r="J659" s="269"/>
      <c r="K659" s="269"/>
    </row>
    <row r="660" spans="1:11" ht="14.4">
      <c r="A660" s="261"/>
      <c r="B660" s="671" t="s">
        <v>312</v>
      </c>
      <c r="C660" s="260"/>
      <c r="D660" s="1730" t="s">
        <v>932</v>
      </c>
      <c r="E660" s="1730"/>
      <c r="F660" s="1730"/>
      <c r="G660" s="57"/>
      <c r="H660" s="269"/>
      <c r="I660" s="269"/>
      <c r="J660" s="269"/>
      <c r="K660" s="269"/>
    </row>
    <row r="661" spans="1:11">
      <c r="A661" s="260"/>
      <c r="B661" s="260"/>
      <c r="C661" s="260"/>
      <c r="D661" s="1730" t="s">
        <v>943</v>
      </c>
      <c r="E661" s="1730"/>
      <c r="F661" s="1730"/>
      <c r="G661" s="57"/>
      <c r="H661" s="269"/>
      <c r="I661" s="269"/>
      <c r="J661" s="269"/>
      <c r="K661" s="269"/>
    </row>
    <row r="662" spans="1:11">
      <c r="A662" s="260"/>
      <c r="B662" s="260"/>
      <c r="C662" s="260"/>
      <c r="D662" s="6"/>
      <c r="E662" s="1709" t="s">
        <v>1179</v>
      </c>
      <c r="F662" s="1709"/>
      <c r="G662" s="57"/>
      <c r="H662" s="269"/>
      <c r="I662" s="269"/>
      <c r="J662" s="269"/>
      <c r="K662" s="269"/>
    </row>
    <row r="663" spans="1:11">
      <c r="A663" s="260"/>
      <c r="B663" s="260"/>
      <c r="C663" s="260"/>
      <c r="D663" s="6"/>
      <c r="E663" s="1709"/>
      <c r="F663" s="1709"/>
      <c r="G663" s="57"/>
      <c r="H663" s="269"/>
      <c r="I663" s="269"/>
      <c r="J663" s="269"/>
      <c r="K663" s="269"/>
    </row>
    <row r="664" spans="1:11">
      <c r="A664" s="260"/>
      <c r="B664" s="260"/>
      <c r="C664" s="260"/>
      <c r="D664" s="270"/>
      <c r="E664" s="135"/>
      <c r="G664" s="57"/>
      <c r="H664" s="269"/>
      <c r="I664" s="269"/>
      <c r="J664" s="269"/>
      <c r="K664" s="269"/>
    </row>
    <row r="665" spans="1:11" ht="14.4">
      <c r="A665" s="261"/>
      <c r="B665" s="671" t="s">
        <v>312</v>
      </c>
      <c r="C665" s="260"/>
      <c r="D665" s="1705" t="s">
        <v>1180</v>
      </c>
      <c r="E665" s="1705"/>
      <c r="F665" s="1705"/>
      <c r="G665" s="57"/>
      <c r="H665" s="269"/>
      <c r="I665" s="269"/>
      <c r="J665" s="269"/>
      <c r="K665" s="269"/>
    </row>
    <row r="666" spans="1:11">
      <c r="A666" s="23"/>
      <c r="B666" s="667"/>
      <c r="C666" s="260"/>
      <c r="D666" s="1705"/>
      <c r="E666" s="1705"/>
      <c r="F666" s="1705"/>
      <c r="G666" s="57"/>
      <c r="H666" s="269"/>
      <c r="I666" s="269"/>
      <c r="J666" s="269"/>
      <c r="K666" s="269"/>
    </row>
    <row r="667" spans="1:11">
      <c r="A667" s="260"/>
      <c r="B667" s="260"/>
      <c r="C667" s="260"/>
      <c r="D667" s="1705"/>
      <c r="E667" s="1705"/>
      <c r="F667" s="1705"/>
      <c r="G667" s="57"/>
      <c r="H667" s="269"/>
      <c r="I667" s="269"/>
      <c r="J667" s="269"/>
      <c r="K667" s="269"/>
    </row>
    <row r="668" spans="1:11">
      <c r="A668" s="260"/>
      <c r="B668" s="260"/>
      <c r="C668" s="260"/>
      <c r="G668" s="57"/>
      <c r="H668" s="269"/>
      <c r="I668" s="269"/>
      <c r="J668" s="269"/>
      <c r="K668" s="269"/>
    </row>
    <row r="669" spans="1:11" ht="14.4">
      <c r="A669" s="261"/>
      <c r="B669" s="671" t="s">
        <v>312</v>
      </c>
      <c r="C669" s="260"/>
      <c r="D669" s="1730" t="s">
        <v>971</v>
      </c>
      <c r="E669" s="1730"/>
      <c r="F669" s="1730"/>
      <c r="G669" s="57"/>
      <c r="H669" s="269"/>
      <c r="I669" s="269"/>
      <c r="J669" s="269"/>
      <c r="K669" s="269"/>
    </row>
    <row r="670" spans="1:11" ht="14.4">
      <c r="A670" s="261"/>
      <c r="B670" s="261"/>
      <c r="C670" s="260"/>
      <c r="D670" s="1730" t="s">
        <v>943</v>
      </c>
      <c r="E670" s="1730"/>
      <c r="F670" s="1730"/>
      <c r="G670" s="57"/>
      <c r="H670" s="269"/>
      <c r="I670" s="269"/>
      <c r="J670" s="269"/>
      <c r="K670" s="269"/>
    </row>
    <row r="671" spans="1:11">
      <c r="A671" s="260"/>
      <c r="B671" s="260"/>
      <c r="C671" s="260"/>
      <c r="D671" s="6"/>
      <c r="E671" s="1735" t="s">
        <v>1181</v>
      </c>
      <c r="F671" s="1735"/>
      <c r="G671" s="57"/>
      <c r="H671" s="269"/>
      <c r="I671" s="269"/>
      <c r="J671" s="269"/>
      <c r="K671" s="269"/>
    </row>
    <row r="672" spans="1:11">
      <c r="A672" s="260"/>
      <c r="B672" s="260"/>
      <c r="C672" s="260"/>
      <c r="D672" s="50"/>
      <c r="G672" s="57"/>
      <c r="H672" s="269"/>
      <c r="I672" s="269"/>
      <c r="J672" s="269"/>
      <c r="K672" s="269"/>
    </row>
    <row r="673" spans="1:11" ht="14.4">
      <c r="A673" s="261"/>
      <c r="B673" s="671" t="s">
        <v>312</v>
      </c>
      <c r="C673" s="260"/>
      <c r="D673" s="1728" t="s">
        <v>1191</v>
      </c>
      <c r="E673" s="1728"/>
      <c r="F673" s="1728"/>
      <c r="G673" s="57"/>
      <c r="H673" s="269"/>
      <c r="I673" s="269"/>
      <c r="J673" s="269"/>
      <c r="K673" s="269"/>
    </row>
    <row r="674" spans="1:11">
      <c r="A674" s="260"/>
      <c r="B674" s="260"/>
      <c r="C674" s="260"/>
      <c r="D674" s="1728"/>
      <c r="E674" s="1728"/>
      <c r="F674" s="1728"/>
      <c r="G674" s="57"/>
      <c r="H674" s="269"/>
      <c r="I674" s="269"/>
      <c r="J674" s="269"/>
      <c r="K674" s="269"/>
    </row>
    <row r="675" spans="1:11">
      <c r="A675" s="260"/>
      <c r="B675" s="260"/>
      <c r="C675" s="260"/>
      <c r="D675" s="1728"/>
      <c r="E675" s="1728"/>
      <c r="F675" s="1728"/>
      <c r="G675" s="57"/>
      <c r="H675" s="269"/>
      <c r="I675" s="269"/>
      <c r="J675" s="269"/>
      <c r="K675" s="269"/>
    </row>
    <row r="676" spans="1:11">
      <c r="A676" s="260"/>
      <c r="B676" s="260"/>
      <c r="C676" s="260"/>
      <c r="D676" s="1728"/>
      <c r="E676" s="1728"/>
      <c r="F676" s="1728"/>
      <c r="G676" s="57"/>
      <c r="H676" s="269"/>
      <c r="I676" s="269"/>
      <c r="J676" s="269"/>
      <c r="K676" s="269"/>
    </row>
    <row r="677" spans="1:11">
      <c r="A677" s="260"/>
      <c r="B677" s="260"/>
      <c r="C677" s="260"/>
      <c r="D677" s="1728"/>
      <c r="E677" s="1728"/>
      <c r="F677" s="1728"/>
      <c r="G677" s="57"/>
      <c r="H677" s="269"/>
      <c r="I677" s="269"/>
      <c r="J677" s="269"/>
      <c r="K677" s="269"/>
    </row>
    <row r="678" spans="1:11" s="39" customFormat="1">
      <c r="A678" s="482"/>
      <c r="B678" s="482"/>
      <c r="C678" s="482"/>
      <c r="D678" s="1728"/>
      <c r="E678" s="1728"/>
      <c r="F678" s="1728"/>
      <c r="G678" s="60"/>
      <c r="H678" s="272"/>
      <c r="I678" s="272"/>
      <c r="J678" s="272"/>
      <c r="K678" s="272"/>
    </row>
    <row r="679" spans="1:11" s="39" customFormat="1">
      <c r="A679" s="482"/>
      <c r="B679" s="482"/>
      <c r="C679" s="482"/>
      <c r="D679" s="693"/>
      <c r="E679" s="693"/>
      <c r="F679" s="693"/>
      <c r="G679" s="60"/>
      <c r="H679" s="272"/>
      <c r="I679" s="272"/>
      <c r="J679" s="272"/>
      <c r="K679" s="272"/>
    </row>
    <row r="680" spans="1:11" ht="14.4">
      <c r="A680" s="261"/>
      <c r="B680" s="671" t="s">
        <v>312</v>
      </c>
      <c r="C680" s="260"/>
      <c r="D680" s="1728" t="s">
        <v>1182</v>
      </c>
      <c r="E680" s="1728"/>
      <c r="F680" s="1728"/>
      <c r="G680" s="57"/>
      <c r="H680" s="269"/>
      <c r="I680" s="269"/>
      <c r="J680" s="269"/>
      <c r="K680" s="269"/>
    </row>
    <row r="681" spans="1:11">
      <c r="A681" s="260"/>
      <c r="B681" s="260"/>
      <c r="C681" s="260"/>
      <c r="D681" s="1728"/>
      <c r="E681" s="1728"/>
      <c r="F681" s="1728"/>
      <c r="G681" s="57"/>
      <c r="H681" s="269"/>
      <c r="I681" s="269"/>
      <c r="J681" s="269"/>
      <c r="K681" s="269"/>
    </row>
    <row r="682" spans="1:11">
      <c r="A682" s="260"/>
      <c r="B682" s="260"/>
      <c r="C682" s="260"/>
      <c r="D682" s="1728"/>
      <c r="E682" s="1728"/>
      <c r="F682" s="1728"/>
      <c r="G682" s="57"/>
      <c r="H682" s="269"/>
      <c r="I682" s="269"/>
      <c r="J682" s="269"/>
      <c r="K682" s="269"/>
    </row>
    <row r="683" spans="1:11" ht="15" customHeight="1">
      <c r="A683" s="260"/>
      <c r="B683" s="260"/>
      <c r="C683" s="260"/>
      <c r="D683" s="1728"/>
      <c r="E683" s="1728"/>
      <c r="F683" s="1728"/>
      <c r="G683" s="57"/>
      <c r="H683" s="269"/>
      <c r="I683" s="269"/>
      <c r="J683" s="269"/>
      <c r="K683" s="269"/>
    </row>
    <row r="684" spans="1:11" ht="15" customHeight="1">
      <c r="A684" s="260"/>
      <c r="B684" s="260"/>
      <c r="C684" s="260"/>
      <c r="D684" s="1728"/>
      <c r="E684" s="1728"/>
      <c r="F684" s="1728"/>
      <c r="G684" s="57"/>
      <c r="H684" s="269"/>
      <c r="I684" s="269"/>
      <c r="J684" s="269"/>
      <c r="K684" s="269"/>
    </row>
    <row r="685" spans="1:11">
      <c r="A685" s="260"/>
      <c r="B685" s="260"/>
      <c r="C685" s="260"/>
      <c r="D685" s="1728"/>
      <c r="E685" s="1728"/>
      <c r="F685" s="1728"/>
      <c r="G685" s="57"/>
      <c r="H685" s="269"/>
      <c r="I685" s="269"/>
      <c r="J685" s="269"/>
      <c r="K685" s="269"/>
    </row>
    <row r="686" spans="1:11">
      <c r="A686" s="260"/>
      <c r="B686" s="260"/>
      <c r="C686" s="260"/>
      <c r="D686" s="1728"/>
      <c r="E686" s="1728"/>
      <c r="F686" s="1728"/>
      <c r="G686" s="57"/>
      <c r="H686" s="269"/>
      <c r="I686" s="269"/>
      <c r="J686" s="269"/>
      <c r="K686" s="269"/>
    </row>
    <row r="687" spans="1:11">
      <c r="A687" s="260"/>
      <c r="B687" s="260"/>
      <c r="C687" s="260"/>
      <c r="D687" s="1728"/>
      <c r="E687" s="1728"/>
      <c r="F687" s="1728"/>
      <c r="G687" s="57"/>
      <c r="H687" s="269"/>
      <c r="I687" s="269"/>
      <c r="J687" s="269"/>
      <c r="K687" s="269"/>
    </row>
    <row r="688" spans="1:11" ht="15" customHeight="1">
      <c r="A688" s="260"/>
      <c r="B688" s="260"/>
      <c r="C688" s="260"/>
      <c r="D688" s="1728"/>
      <c r="E688" s="1728"/>
      <c r="F688" s="1728"/>
      <c r="G688" s="57"/>
      <c r="H688" s="269"/>
      <c r="I688" s="269"/>
      <c r="J688" s="269"/>
      <c r="K688" s="269"/>
    </row>
    <row r="689" spans="1:11">
      <c r="A689" s="260"/>
      <c r="B689" s="260"/>
      <c r="C689" s="260"/>
      <c r="D689" s="1728"/>
      <c r="E689" s="1728"/>
      <c r="F689" s="1728"/>
      <c r="G689" s="57"/>
      <c r="H689" s="269"/>
      <c r="I689" s="269"/>
      <c r="J689" s="269"/>
      <c r="K689" s="269"/>
    </row>
    <row r="690" spans="1:11">
      <c r="A690" s="260"/>
      <c r="B690" s="260"/>
      <c r="C690" s="260"/>
      <c r="D690" s="1728"/>
      <c r="E690" s="1728"/>
      <c r="F690" s="1728"/>
      <c r="G690" s="57"/>
      <c r="H690" s="269"/>
      <c r="I690" s="269"/>
      <c r="J690" s="269"/>
      <c r="K690" s="269"/>
    </row>
    <row r="691" spans="1:11">
      <c r="A691" s="260"/>
      <c r="B691" s="260"/>
      <c r="C691" s="260"/>
      <c r="D691" s="1728"/>
      <c r="E691" s="1728"/>
      <c r="F691" s="1728"/>
      <c r="G691" s="57"/>
      <c r="H691" s="269"/>
      <c r="I691" s="269"/>
      <c r="J691" s="269"/>
      <c r="K691" s="269"/>
    </row>
    <row r="692" spans="1:11" s="674" customFormat="1">
      <c r="A692" s="260"/>
      <c r="B692" s="260"/>
      <c r="C692" s="260"/>
      <c r="D692" s="693"/>
      <c r="E692" s="693"/>
      <c r="F692" s="693"/>
      <c r="G692" s="57"/>
      <c r="H692" s="269"/>
      <c r="I692" s="269"/>
      <c r="J692" s="269"/>
      <c r="K692" s="269"/>
    </row>
    <row r="693" spans="1:11" ht="14.4">
      <c r="A693" s="261"/>
      <c r="B693" s="671" t="s">
        <v>312</v>
      </c>
      <c r="C693" s="260"/>
      <c r="D693" s="1728" t="s">
        <v>1192</v>
      </c>
      <c r="E693" s="1728"/>
      <c r="F693" s="1728"/>
      <c r="G693" s="57"/>
      <c r="H693" s="269"/>
      <c r="I693" s="269"/>
      <c r="J693" s="269"/>
      <c r="K693" s="269"/>
    </row>
    <row r="694" spans="1:11">
      <c r="A694" s="260"/>
      <c r="B694" s="260"/>
      <c r="C694" s="260"/>
      <c r="D694" s="1728"/>
      <c r="E694" s="1728"/>
      <c r="F694" s="1728"/>
      <c r="G694" s="57"/>
      <c r="H694" s="269"/>
      <c r="I694" s="269"/>
      <c r="J694" s="269"/>
      <c r="K694" s="269"/>
    </row>
    <row r="695" spans="1:11">
      <c r="A695" s="260"/>
      <c r="B695" s="260"/>
      <c r="C695" s="260"/>
      <c r="D695" s="1728"/>
      <c r="E695" s="1728"/>
      <c r="F695" s="1728"/>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728" t="s">
        <v>1189</v>
      </c>
      <c r="E697" s="1728"/>
      <c r="F697" s="1728"/>
      <c r="G697" s="57"/>
      <c r="H697" s="269"/>
      <c r="I697" s="269"/>
      <c r="J697" s="269"/>
      <c r="K697" s="269"/>
    </row>
    <row r="698" spans="1:11" s="674" customFormat="1">
      <c r="A698" s="260"/>
      <c r="B698" s="260"/>
      <c r="C698" s="260"/>
      <c r="D698" s="1728"/>
      <c r="E698" s="1728"/>
      <c r="F698" s="1728"/>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728" t="s">
        <v>1190</v>
      </c>
      <c r="E700" s="1728"/>
      <c r="F700" s="1728"/>
      <c r="G700" s="57"/>
      <c r="H700" s="269"/>
      <c r="I700" s="269"/>
      <c r="J700" s="269"/>
      <c r="K700" s="269"/>
    </row>
    <row r="701" spans="1:11" s="674" customFormat="1">
      <c r="A701" s="260"/>
      <c r="B701" s="260"/>
      <c r="C701" s="260"/>
      <c r="D701" s="1728"/>
      <c r="E701" s="1728"/>
      <c r="F701" s="1728"/>
      <c r="G701" s="57"/>
      <c r="H701" s="269"/>
      <c r="I701" s="269"/>
      <c r="J701" s="269"/>
      <c r="K701" s="269"/>
    </row>
    <row r="702" spans="1:11" s="674" customFormat="1">
      <c r="A702" s="260"/>
      <c r="B702" s="260"/>
      <c r="C702" s="260"/>
      <c r="D702" s="1728"/>
      <c r="E702" s="1728"/>
      <c r="F702" s="1728"/>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728" t="s">
        <v>1183</v>
      </c>
      <c r="E704" s="1728"/>
      <c r="F704" s="1728"/>
      <c r="G704" s="57"/>
      <c r="H704" s="269"/>
      <c r="I704" s="269"/>
      <c r="J704" s="269"/>
      <c r="K704" s="269"/>
    </row>
    <row r="705" spans="1:11">
      <c r="A705" s="260"/>
      <c r="B705" s="260"/>
      <c r="C705" s="260"/>
      <c r="D705" s="1728"/>
      <c r="E705" s="1728"/>
      <c r="F705" s="1728"/>
      <c r="G705" s="57"/>
      <c r="H705" s="269"/>
      <c r="I705" s="269"/>
      <c r="J705" s="269"/>
      <c r="K705" s="269"/>
    </row>
    <row r="706" spans="1:11">
      <c r="A706" s="260"/>
      <c r="B706" s="260"/>
      <c r="C706" s="260"/>
      <c r="D706" s="1728"/>
      <c r="E706" s="1728"/>
      <c r="F706" s="1728"/>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728" t="s">
        <v>1184</v>
      </c>
      <c r="E708" s="1728"/>
      <c r="F708" s="1728"/>
      <c r="G708" s="57"/>
      <c r="H708" s="269"/>
      <c r="I708" s="269"/>
      <c r="J708" s="269"/>
      <c r="K708" s="269"/>
    </row>
    <row r="709" spans="1:11">
      <c r="A709" s="260"/>
      <c r="B709" s="260"/>
      <c r="C709" s="260"/>
      <c r="D709" s="1728"/>
      <c r="E709" s="1728"/>
      <c r="F709" s="1728"/>
      <c r="G709" s="57"/>
      <c r="H709" s="269"/>
      <c r="I709" s="269"/>
      <c r="J709" s="269"/>
      <c r="K709" s="269"/>
    </row>
    <row r="710" spans="1:11">
      <c r="A710" s="260"/>
      <c r="B710" s="260"/>
      <c r="C710" s="260"/>
      <c r="D710" s="1728"/>
      <c r="E710" s="1728"/>
      <c r="F710" s="1728"/>
      <c r="G710" s="57"/>
      <c r="H710" s="269"/>
      <c r="I710" s="269"/>
      <c r="J710" s="269"/>
      <c r="K710" s="269"/>
    </row>
    <row r="711" spans="1:11">
      <c r="A711" s="260"/>
      <c r="B711" s="260"/>
      <c r="C711" s="260"/>
      <c r="D711" s="12"/>
      <c r="G711" s="57"/>
      <c r="H711" s="269"/>
      <c r="I711" s="269"/>
      <c r="J711" s="269"/>
      <c r="K711" s="269"/>
    </row>
    <row r="712" spans="1:11" ht="14.4">
      <c r="A712" s="261"/>
      <c r="B712" s="671" t="s">
        <v>312</v>
      </c>
      <c r="C712" s="260"/>
      <c r="D712" s="1705" t="s">
        <v>1185</v>
      </c>
      <c r="E712" s="1705"/>
      <c r="F712" s="1705"/>
      <c r="G712" s="57"/>
      <c r="H712" s="269"/>
      <c r="I712" s="269"/>
      <c r="J712" s="269"/>
      <c r="K712" s="269"/>
    </row>
    <row r="713" spans="1:11">
      <c r="A713" s="260"/>
      <c r="B713" s="260"/>
      <c r="C713" s="260"/>
      <c r="D713" s="1705"/>
      <c r="E713" s="1705"/>
      <c r="F713" s="1705"/>
      <c r="G713" s="57"/>
      <c r="H713" s="269"/>
      <c r="I713" s="269"/>
      <c r="J713" s="269"/>
      <c r="K713" s="269"/>
    </row>
    <row r="714" spans="1:11">
      <c r="A714" s="260"/>
      <c r="B714" s="260"/>
      <c r="C714" s="260"/>
      <c r="D714" s="1705"/>
      <c r="E714" s="1705"/>
      <c r="F714" s="1705"/>
      <c r="G714" s="57"/>
      <c r="H714" s="269"/>
      <c r="I714" s="269"/>
      <c r="J714" s="269"/>
      <c r="K714" s="269"/>
    </row>
    <row r="715" spans="1:11">
      <c r="A715" s="260"/>
      <c r="B715" s="260"/>
      <c r="C715" s="260"/>
      <c r="D715" s="1705"/>
      <c r="E715" s="1705"/>
      <c r="F715" s="1705"/>
      <c r="G715" s="57"/>
      <c r="H715" s="269"/>
      <c r="I715" s="269"/>
      <c r="J715" s="269"/>
      <c r="K715" s="269"/>
    </row>
    <row r="716" spans="1:11">
      <c r="A716" s="260"/>
      <c r="B716" s="260"/>
      <c r="C716" s="260"/>
      <c r="D716" s="263"/>
      <c r="G716" s="57"/>
      <c r="H716" s="269"/>
      <c r="I716" s="269"/>
      <c r="J716" s="269"/>
      <c r="K716" s="269"/>
    </row>
    <row r="717" spans="1:11" ht="14.4">
      <c r="A717" s="261"/>
      <c r="B717" s="671" t="s">
        <v>312</v>
      </c>
      <c r="C717" s="260"/>
      <c r="D717" s="1728" t="s">
        <v>1318</v>
      </c>
      <c r="E717" s="1728"/>
      <c r="F717" s="1728"/>
      <c r="G717" s="57"/>
      <c r="H717" s="269"/>
      <c r="I717" s="269"/>
      <c r="J717" s="269"/>
      <c r="K717" s="269"/>
    </row>
    <row r="718" spans="1:11">
      <c r="A718" s="260"/>
      <c r="B718" s="260"/>
      <c r="C718" s="260"/>
      <c r="D718" s="1728"/>
      <c r="E718" s="1728"/>
      <c r="F718" s="1728"/>
      <c r="G718" s="57"/>
      <c r="H718" s="269"/>
      <c r="I718" s="269"/>
      <c r="J718" s="269"/>
      <c r="K718" s="269"/>
    </row>
    <row r="719" spans="1:11">
      <c r="A719" s="260"/>
      <c r="B719" s="260"/>
      <c r="C719" s="260"/>
      <c r="D719" s="1728"/>
      <c r="E719" s="1728"/>
      <c r="F719" s="1728"/>
      <c r="G719" s="57"/>
      <c r="H719" s="269"/>
      <c r="I719" s="269"/>
      <c r="J719" s="269"/>
      <c r="K719" s="269"/>
    </row>
    <row r="720" spans="1:11">
      <c r="A720" s="260"/>
      <c r="B720" s="260"/>
      <c r="C720" s="260"/>
      <c r="D720" s="1728"/>
      <c r="E720" s="1728"/>
      <c r="F720" s="1728"/>
      <c r="G720" s="57"/>
      <c r="H720" s="269"/>
      <c r="I720" s="269"/>
      <c r="J720" s="269"/>
      <c r="K720" s="269"/>
    </row>
    <row r="721" spans="1:11">
      <c r="A721" s="260"/>
      <c r="B721" s="260"/>
      <c r="C721" s="260"/>
      <c r="D721" s="1728"/>
      <c r="E721" s="1728"/>
      <c r="F721" s="1728"/>
      <c r="G721" s="57"/>
      <c r="H721" s="269"/>
      <c r="I721" s="269"/>
      <c r="J721" s="269"/>
      <c r="K721" s="269"/>
    </row>
    <row r="722" spans="1:11">
      <c r="A722" s="260"/>
      <c r="B722" s="260"/>
      <c r="C722" s="260"/>
      <c r="D722" s="1728"/>
      <c r="E722" s="1728"/>
      <c r="F722" s="1728"/>
      <c r="G722" s="57"/>
      <c r="H722" s="269"/>
      <c r="I722" s="269"/>
      <c r="J722" s="269"/>
      <c r="K722" s="269"/>
    </row>
    <row r="723" spans="1:11">
      <c r="A723" s="260"/>
      <c r="B723" s="260"/>
      <c r="C723" s="260"/>
      <c r="D723" s="1728"/>
      <c r="E723" s="1728"/>
      <c r="F723" s="1728"/>
      <c r="G723" s="57"/>
      <c r="H723" s="269"/>
      <c r="I723" s="269"/>
      <c r="J723" s="269"/>
      <c r="K723" s="269"/>
    </row>
    <row r="724" spans="1:11">
      <c r="A724" s="260"/>
      <c r="B724" s="260"/>
      <c r="C724" s="260"/>
      <c r="D724" s="1739" t="s">
        <v>1186</v>
      </c>
      <c r="E724" s="1739"/>
      <c r="F724" s="1739"/>
      <c r="G724" s="57"/>
      <c r="H724" s="269"/>
      <c r="I724" s="269"/>
      <c r="J724" s="269"/>
      <c r="K724" s="269"/>
    </row>
    <row r="725" spans="1:11" s="674" customFormat="1">
      <c r="A725" s="260"/>
      <c r="B725" s="260"/>
      <c r="C725" s="260"/>
      <c r="D725" s="526"/>
      <c r="E725" s="7"/>
      <c r="F725" s="7"/>
      <c r="G725" s="57"/>
      <c r="H725" s="269"/>
      <c r="I725" s="269"/>
      <c r="J725" s="269"/>
      <c r="K725" s="269"/>
    </row>
    <row r="726" spans="1:11">
      <c r="A726" s="1732" t="s">
        <v>1143</v>
      </c>
      <c r="B726" s="1732"/>
      <c r="C726" s="1732"/>
      <c r="D726" s="1732"/>
      <c r="E726" s="1732"/>
      <c r="F726" s="1732"/>
      <c r="G726" s="1732"/>
      <c r="H726" s="269"/>
      <c r="I726" s="269"/>
      <c r="J726" s="269"/>
      <c r="K726" s="269"/>
    </row>
    <row r="727" spans="1:11">
      <c r="A727" s="260"/>
      <c r="B727" s="260"/>
      <c r="C727" s="260"/>
      <c r="D727" s="263"/>
      <c r="G727" s="271"/>
      <c r="H727" s="269"/>
      <c r="I727" s="269"/>
      <c r="J727" s="269"/>
      <c r="K727" s="269"/>
    </row>
    <row r="728" spans="1:11" ht="13.35" customHeight="1">
      <c r="C728" s="260"/>
      <c r="D728" s="1747" t="s">
        <v>1159</v>
      </c>
      <c r="E728" s="1747"/>
      <c r="F728" s="1747"/>
      <c r="G728" s="271"/>
      <c r="H728" s="269"/>
      <c r="I728" s="269"/>
      <c r="J728" s="269"/>
      <c r="K728" s="269"/>
    </row>
    <row r="729" spans="1:11">
      <c r="A729" s="260"/>
      <c r="B729" s="260"/>
      <c r="C729" s="260"/>
      <c r="D729" s="1734" t="s">
        <v>1160</v>
      </c>
      <c r="E729" s="1734"/>
      <c r="F729" s="1734"/>
      <c r="G729" s="271"/>
      <c r="H729" s="269"/>
      <c r="I729" s="269"/>
      <c r="J729" s="269"/>
      <c r="K729" s="269"/>
    </row>
    <row r="730" spans="1:11">
      <c r="A730" s="260"/>
      <c r="B730" s="260"/>
      <c r="C730" s="260"/>
      <c r="G730" s="271"/>
      <c r="H730" s="269"/>
      <c r="I730" s="269"/>
      <c r="J730" s="269"/>
      <c r="K730" s="269"/>
    </row>
    <row r="731" spans="1:11" s="39" customFormat="1" ht="14.4">
      <c r="A731" s="261"/>
      <c r="B731" s="671" t="s">
        <v>312</v>
      </c>
      <c r="C731" s="132"/>
      <c r="D731" s="1705" t="s">
        <v>1161</v>
      </c>
      <c r="E731" s="1705"/>
      <c r="F731" s="1705"/>
      <c r="G731" s="271"/>
      <c r="H731" s="272"/>
      <c r="I731" s="272"/>
      <c r="J731" s="272"/>
      <c r="K731" s="272"/>
    </row>
    <row r="732" spans="1:11" s="39" customFormat="1" ht="10.5" customHeight="1">
      <c r="A732" s="132"/>
      <c r="B732" s="668"/>
      <c r="C732" s="132"/>
      <c r="D732" s="1705"/>
      <c r="E732" s="1705"/>
      <c r="F732" s="1705"/>
      <c r="G732" s="271"/>
      <c r="H732" s="272"/>
      <c r="I732" s="272"/>
      <c r="J732" s="272"/>
      <c r="K732" s="272"/>
    </row>
    <row r="733" spans="1:11" s="39" customFormat="1">
      <c r="A733" s="132"/>
      <c r="B733" s="668"/>
      <c r="C733" s="132"/>
      <c r="D733" s="1705"/>
      <c r="E733" s="1705"/>
      <c r="F733" s="1705"/>
      <c r="G733" s="271"/>
      <c r="H733" s="272"/>
      <c r="I733" s="272"/>
      <c r="J733" s="272"/>
      <c r="K733" s="272"/>
    </row>
    <row r="734" spans="1:11">
      <c r="D734" s="1705"/>
      <c r="E734" s="1705"/>
      <c r="F734" s="1705"/>
      <c r="G734" s="271"/>
      <c r="H734" s="269"/>
      <c r="I734" s="269"/>
      <c r="J734" s="269"/>
      <c r="K734" s="269"/>
    </row>
    <row r="735" spans="1:11">
      <c r="A735" s="273"/>
      <c r="B735" s="273"/>
      <c r="C735" s="273"/>
      <c r="D735" s="1705"/>
      <c r="E735" s="1705"/>
      <c r="F735" s="1705"/>
      <c r="G735" s="275"/>
      <c r="H735" s="269"/>
      <c r="I735" s="269"/>
      <c r="J735" s="269"/>
      <c r="K735" s="269"/>
    </row>
    <row r="736" spans="1:11" ht="15.6" customHeight="1">
      <c r="A736" s="273"/>
      <c r="B736" s="273"/>
      <c r="C736" s="273"/>
      <c r="D736" s="1705"/>
      <c r="E736" s="1705"/>
      <c r="F736" s="1705"/>
      <c r="G736" s="275"/>
      <c r="H736" s="269"/>
      <c r="I736" s="269"/>
      <c r="J736" s="269"/>
      <c r="K736" s="269"/>
    </row>
    <row r="737" spans="1:11">
      <c r="A737" s="273"/>
      <c r="B737" s="273"/>
      <c r="C737" s="273"/>
      <c r="D737" s="374"/>
      <c r="E737" s="274"/>
      <c r="F737" s="274"/>
      <c r="G737" s="275"/>
      <c r="H737" s="269"/>
      <c r="I737" s="269"/>
      <c r="J737" s="269"/>
      <c r="K737" s="269"/>
    </row>
    <row r="738" spans="1:11" s="406" customFormat="1" ht="14.4">
      <c r="A738" s="404"/>
      <c r="B738" s="671" t="s">
        <v>312</v>
      </c>
      <c r="C738" s="405"/>
      <c r="D738" s="1707" t="s">
        <v>1162</v>
      </c>
      <c r="E738" s="1707"/>
      <c r="F738" s="1707"/>
      <c r="G738" s="311"/>
    </row>
    <row r="739" spans="1:11" s="406" customFormat="1">
      <c r="A739" s="405"/>
      <c r="B739" s="405"/>
      <c r="C739" s="405"/>
      <c r="D739" s="1707"/>
      <c r="E739" s="1707"/>
      <c r="F739" s="1707"/>
      <c r="G739" s="311"/>
    </row>
    <row r="740" spans="1:11" s="406" customFormat="1">
      <c r="A740" s="405"/>
      <c r="B740" s="405"/>
      <c r="C740" s="405"/>
      <c r="D740" s="1707"/>
      <c r="E740" s="1707"/>
      <c r="F740" s="1707"/>
      <c r="G740" s="311"/>
    </row>
    <row r="741" spans="1:11" s="406" customFormat="1">
      <c r="A741" s="405"/>
      <c r="B741" s="405"/>
      <c r="C741" s="405"/>
      <c r="D741" s="1707"/>
      <c r="E741" s="1707"/>
      <c r="F741" s="1707"/>
      <c r="G741" s="311"/>
    </row>
    <row r="742" spans="1:11" s="406" customFormat="1">
      <c r="A742" s="405"/>
      <c r="B742" s="405"/>
      <c r="C742" s="405"/>
      <c r="D742" s="374"/>
      <c r="E742" s="311"/>
      <c r="F742" s="311"/>
      <c r="G742" s="311"/>
    </row>
    <row r="743" spans="1:11" s="406" customFormat="1" ht="14.4">
      <c r="A743" s="261"/>
      <c r="B743" s="671" t="s">
        <v>312</v>
      </c>
      <c r="C743" s="405"/>
      <c r="D743" s="1748" t="s">
        <v>1163</v>
      </c>
      <c r="E743" s="1748"/>
      <c r="F743" s="1748"/>
      <c r="G743" s="311"/>
    </row>
    <row r="744" spans="1:11" s="406" customFormat="1">
      <c r="A744" s="405"/>
      <c r="B744" s="405"/>
      <c r="C744" s="405"/>
      <c r="D744" s="1748"/>
      <c r="E744" s="1748"/>
      <c r="F744" s="1748"/>
      <c r="G744" s="311"/>
    </row>
    <row r="745" spans="1:11" s="406" customFormat="1">
      <c r="A745" s="405"/>
      <c r="B745" s="405"/>
      <c r="C745" s="405"/>
      <c r="D745" s="1748"/>
      <c r="E745" s="1748"/>
      <c r="F745" s="1748"/>
      <c r="G745" s="311"/>
    </row>
    <row r="746" spans="1:11">
      <c r="A746" s="273"/>
      <c r="B746" s="273"/>
      <c r="C746" s="273"/>
      <c r="D746" s="374"/>
      <c r="E746" s="274"/>
      <c r="F746" s="274"/>
      <c r="G746" s="275"/>
      <c r="H746" s="269"/>
      <c r="I746" s="269"/>
      <c r="J746" s="269"/>
      <c r="K746" s="269"/>
    </row>
    <row r="747" spans="1:11" ht="14.4">
      <c r="A747" s="261"/>
      <c r="B747" s="671" t="s">
        <v>312</v>
      </c>
      <c r="C747" s="273"/>
      <c r="D747" s="1707" t="s">
        <v>1164</v>
      </c>
      <c r="E747" s="1707"/>
      <c r="F747" s="1707"/>
      <c r="G747" s="275"/>
      <c r="H747" s="269"/>
      <c r="I747" s="269"/>
      <c r="J747" s="269"/>
      <c r="K747" s="269"/>
    </row>
    <row r="748" spans="1:11">
      <c r="A748" s="273"/>
      <c r="B748" s="273"/>
      <c r="C748" s="273"/>
      <c r="D748" s="1707"/>
      <c r="E748" s="1707"/>
      <c r="F748" s="1707"/>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707" t="s">
        <v>1165</v>
      </c>
      <c r="E750" s="1707"/>
      <c r="F750" s="1707"/>
      <c r="G750" s="275"/>
      <c r="H750" s="269"/>
      <c r="I750" s="269"/>
      <c r="J750" s="269"/>
      <c r="K750" s="269"/>
    </row>
    <row r="751" spans="1:11" s="674" customFormat="1">
      <c r="A751" s="273"/>
      <c r="B751" s="273"/>
      <c r="C751" s="273"/>
      <c r="D751" s="1707"/>
      <c r="E751" s="1707"/>
      <c r="F751" s="1707"/>
      <c r="G751" s="275"/>
      <c r="H751" s="269"/>
      <c r="I751" s="269"/>
      <c r="J751" s="269"/>
      <c r="K751" s="269"/>
    </row>
    <row r="752" spans="1:11" s="674" customFormat="1">
      <c r="A752" s="273"/>
      <c r="B752" s="273"/>
      <c r="C752" s="273"/>
      <c r="D752" s="1707"/>
      <c r="E752" s="1707"/>
      <c r="F752" s="1707"/>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742" t="s">
        <v>1166</v>
      </c>
      <c r="B754" s="1742"/>
      <c r="C754" s="1742"/>
      <c r="D754" s="1742"/>
      <c r="E754" s="1742"/>
      <c r="F754" s="1742"/>
      <c r="G754" s="1742"/>
    </row>
    <row r="755" spans="1:11">
      <c r="A755" s="260"/>
      <c r="B755" s="260"/>
      <c r="C755" s="260"/>
      <c r="D755" s="276"/>
      <c r="F755" s="147"/>
      <c r="G755" s="271"/>
    </row>
    <row r="756" spans="1:11">
      <c r="A756" s="273"/>
      <c r="B756" s="273"/>
      <c r="C756" s="439"/>
      <c r="D756" s="1743" t="s">
        <v>1150</v>
      </c>
      <c r="E756" s="1743"/>
      <c r="F756" s="1743"/>
      <c r="G756" s="271"/>
    </row>
    <row r="757" spans="1:11">
      <c r="A757" s="496"/>
      <c r="B757" s="496"/>
      <c r="C757" s="495"/>
      <c r="D757" s="1744" t="s">
        <v>1167</v>
      </c>
      <c r="E757" s="1744"/>
      <c r="F757" s="1744"/>
      <c r="G757" s="271"/>
    </row>
    <row r="758" spans="1:11">
      <c r="A758" s="273"/>
      <c r="B758" s="273"/>
      <c r="C758" s="439"/>
      <c r="D758" s="685"/>
      <c r="E758" s="685"/>
      <c r="F758" s="685"/>
      <c r="G758" s="271"/>
    </row>
    <row r="759" spans="1:11" ht="14.4">
      <c r="A759" s="261"/>
      <c r="B759" s="671" t="s">
        <v>312</v>
      </c>
      <c r="C759" s="439"/>
      <c r="D759" s="1745" t="s">
        <v>1042</v>
      </c>
      <c r="E759" s="1745"/>
      <c r="F759" s="1745"/>
      <c r="G759" s="271"/>
    </row>
    <row r="760" spans="1:11">
      <c r="A760" s="273"/>
      <c r="B760" s="273"/>
      <c r="C760" s="439"/>
      <c r="D760" s="684"/>
      <c r="E760" s="1746" t="s">
        <v>1151</v>
      </c>
      <c r="F760" s="1746"/>
      <c r="G760" s="271"/>
    </row>
    <row r="761" spans="1:11">
      <c r="A761" s="267"/>
      <c r="B761" s="267"/>
      <c r="C761" s="267"/>
      <c r="D761" s="135"/>
      <c r="F761" s="57"/>
      <c r="G761" s="271"/>
    </row>
    <row r="762" spans="1:11">
      <c r="A762" s="1740" t="s">
        <v>464</v>
      </c>
      <c r="B762" s="1740"/>
      <c r="C762" s="1740"/>
      <c r="D762" s="1740"/>
      <c r="E762" s="1740"/>
      <c r="F762" s="1740"/>
      <c r="G762" s="1740"/>
    </row>
    <row r="763" spans="1:11">
      <c r="A763" s="255"/>
      <c r="B763" s="665"/>
      <c r="C763" s="266"/>
      <c r="D763" s="271"/>
      <c r="E763" s="271"/>
      <c r="F763" s="271"/>
      <c r="G763" s="271"/>
    </row>
    <row r="764" spans="1:11">
      <c r="A764" s="135"/>
      <c r="B764" s="1741" t="s">
        <v>1041</v>
      </c>
      <c r="C764" s="1741"/>
      <c r="D764" s="1741"/>
      <c r="E764" s="1741"/>
      <c r="F764" s="1741"/>
      <c r="G764" s="271"/>
    </row>
    <row r="765" spans="1:11">
      <c r="A765" s="23"/>
      <c r="B765" s="667"/>
      <c r="G765" s="271"/>
    </row>
    <row r="766" spans="1:11">
      <c r="A766" s="1740" t="s">
        <v>465</v>
      </c>
      <c r="B766" s="1740"/>
      <c r="C766" s="1740"/>
      <c r="D766" s="1740"/>
      <c r="E766" s="1740"/>
      <c r="F766" s="1740"/>
      <c r="G766" s="1740"/>
    </row>
    <row r="767" spans="1:11">
      <c r="A767" s="255"/>
      <c r="B767" s="665"/>
      <c r="C767" s="255"/>
      <c r="D767" s="263"/>
      <c r="G767" s="271"/>
    </row>
    <row r="768" spans="1:11">
      <c r="A768" s="135"/>
      <c r="B768" s="1737" t="s">
        <v>463</v>
      </c>
      <c r="C768" s="1737"/>
      <c r="D768" s="1737"/>
      <c r="E768" s="1737"/>
      <c r="F768" s="1737"/>
      <c r="G768" s="271"/>
    </row>
    <row r="769" spans="1:7" ht="14.4">
      <c r="A769" s="261"/>
      <c r="B769" s="261"/>
      <c r="D769" s="135"/>
      <c r="E769" s="135"/>
      <c r="F769" s="271"/>
      <c r="G769" s="271"/>
    </row>
    <row r="770" spans="1:7">
      <c r="A770" s="1740" t="s">
        <v>466</v>
      </c>
      <c r="B770" s="1740"/>
      <c r="C770" s="1740"/>
      <c r="D770" s="1740"/>
      <c r="E770" s="1740"/>
      <c r="F770" s="1740"/>
      <c r="G770" s="1740"/>
    </row>
    <row r="771" spans="1:7">
      <c r="C771" s="260"/>
      <c r="D771" s="259"/>
      <c r="E771" s="135"/>
      <c r="F771" s="271"/>
      <c r="G771" s="271"/>
    </row>
    <row r="772" spans="1:7">
      <c r="A772" s="135"/>
      <c r="B772" s="1737" t="s">
        <v>463</v>
      </c>
      <c r="C772" s="1737"/>
      <c r="D772" s="1737"/>
      <c r="E772" s="1737"/>
      <c r="F772" s="1737"/>
      <c r="G772" s="271"/>
    </row>
    <row r="773" spans="1:7">
      <c r="A773" s="135"/>
      <c r="B773" s="135"/>
      <c r="C773" s="266"/>
      <c r="D773" s="271"/>
      <c r="E773" s="271"/>
      <c r="F773" s="271"/>
      <c r="G773" s="271"/>
    </row>
    <row r="774" spans="1:7">
      <c r="A774" s="1740" t="s">
        <v>467</v>
      </c>
      <c r="B774" s="1740"/>
      <c r="C774" s="1740"/>
      <c r="D774" s="1740"/>
      <c r="E774" s="1740"/>
      <c r="F774" s="1740"/>
      <c r="G774" s="1740"/>
    </row>
    <row r="775" spans="1:7">
      <c r="A775" s="135"/>
      <c r="B775" s="135"/>
    </row>
    <row r="776" spans="1:7">
      <c r="A776" s="135"/>
      <c r="B776" s="1737" t="s">
        <v>463</v>
      </c>
      <c r="C776" s="1737"/>
      <c r="D776" s="1737"/>
      <c r="E776" s="1737"/>
      <c r="F776" s="1737"/>
    </row>
    <row r="777" spans="1:7">
      <c r="A777" s="266"/>
      <c r="B777" s="266"/>
      <c r="C777" s="266"/>
      <c r="D777" s="258"/>
      <c r="F777" s="271"/>
    </row>
    <row r="778" spans="1:7">
      <c r="A778" s="1740" t="s">
        <v>468</v>
      </c>
      <c r="B778" s="1740"/>
      <c r="C778" s="1740"/>
      <c r="D778" s="1740"/>
      <c r="E778" s="1740"/>
      <c r="F778" s="1740"/>
      <c r="G778" s="1740"/>
    </row>
    <row r="779" spans="1:7">
      <c r="A779" s="135"/>
      <c r="B779" s="135"/>
    </row>
    <row r="780" spans="1:7">
      <c r="A780" s="135"/>
      <c r="B780" s="1737" t="s">
        <v>463</v>
      </c>
      <c r="C780" s="1737"/>
      <c r="D780" s="1737"/>
      <c r="E780" s="1737"/>
      <c r="F780" s="1737"/>
    </row>
    <row r="781" spans="1:7">
      <c r="A781" s="266"/>
      <c r="B781" s="266"/>
      <c r="C781" s="266"/>
      <c r="D781" s="258"/>
      <c r="F781" s="271"/>
    </row>
    <row r="782" spans="1:7">
      <c r="A782" s="1740" t="s">
        <v>469</v>
      </c>
      <c r="B782" s="1740"/>
      <c r="C782" s="1740"/>
      <c r="D782" s="1740"/>
      <c r="E782" s="1740"/>
      <c r="F782" s="1740"/>
      <c r="G782" s="1740"/>
    </row>
    <row r="783" spans="1:7">
      <c r="A783" s="135"/>
      <c r="B783" s="135"/>
    </row>
    <row r="784" spans="1:7">
      <c r="A784" s="135"/>
      <c r="B784" s="1737" t="s">
        <v>463</v>
      </c>
      <c r="C784" s="1737"/>
      <c r="D784" s="1737"/>
      <c r="E784" s="1737"/>
      <c r="F784" s="1737"/>
    </row>
    <row r="785" spans="1:7">
      <c r="A785" s="265"/>
      <c r="B785" s="265"/>
      <c r="C785" s="265"/>
      <c r="D785" s="277"/>
      <c r="E785" s="57"/>
      <c r="F785" s="57"/>
      <c r="G785" s="57"/>
    </row>
    <row r="786" spans="1:7">
      <c r="A786" s="1740" t="s">
        <v>191</v>
      </c>
      <c r="B786" s="1740"/>
      <c r="C786" s="1740"/>
      <c r="D786" s="1740"/>
      <c r="E786" s="1740"/>
      <c r="F786" s="1740"/>
      <c r="G786" s="1740"/>
    </row>
    <row r="787" spans="1:7">
      <c r="A787" s="135"/>
      <c r="B787" s="135"/>
    </row>
    <row r="788" spans="1:7">
      <c r="A788" s="135"/>
      <c r="B788" s="1737" t="s">
        <v>463</v>
      </c>
      <c r="C788" s="1737"/>
      <c r="D788" s="1737"/>
      <c r="E788" s="1737"/>
      <c r="F788" s="1737"/>
    </row>
    <row r="789" spans="1:7">
      <c r="A789" s="135"/>
      <c r="B789" s="135"/>
      <c r="D789" s="258"/>
    </row>
    <row r="790" spans="1:7">
      <c r="A790" s="1740" t="s">
        <v>919</v>
      </c>
      <c r="B790" s="1740"/>
      <c r="C790" s="1740"/>
      <c r="D790" s="1740"/>
      <c r="E790" s="1740"/>
      <c r="F790" s="1740"/>
      <c r="G790" s="1740"/>
    </row>
    <row r="791" spans="1:7">
      <c r="A791" s="135"/>
      <c r="B791" s="135"/>
    </row>
    <row r="792" spans="1:7">
      <c r="A792" s="135"/>
      <c r="B792" s="1737" t="s">
        <v>463</v>
      </c>
      <c r="C792" s="1737"/>
      <c r="D792" s="1737"/>
      <c r="E792" s="1737"/>
      <c r="F792" s="1737"/>
      <c r="G792" s="12"/>
    </row>
    <row r="793" spans="1:7">
      <c r="A793" s="255"/>
      <c r="B793" s="665"/>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6" zoomScaleNormal="100" zoomScaleSheetLayoutView="100" workbookViewId="0">
      <selection activeCell="J22" sqref="J22"/>
    </sheetView>
  </sheetViews>
  <sheetFormatPr defaultColWidth="0" defaultRowHeight="12.6" customHeight="1" zeroHeight="1"/>
  <cols>
    <col min="1" max="10" width="10.6640625" style="714" customWidth="1"/>
    <col min="11" max="16384" width="8.88671875" style="714" hidden="1"/>
  </cols>
  <sheetData>
    <row r="1" spans="1:10" ht="14.25" customHeight="1"/>
    <row r="2" spans="1:10" ht="15.6">
      <c r="A2" s="1787" t="s">
        <v>2184</v>
      </c>
      <c r="B2" s="1788"/>
      <c r="C2" s="1788"/>
      <c r="D2" s="1788"/>
      <c r="E2" s="1788"/>
      <c r="F2" s="1788"/>
      <c r="G2" s="1788"/>
      <c r="H2" s="1788"/>
      <c r="I2" s="1788"/>
      <c r="J2" s="1788"/>
    </row>
    <row r="3" spans="1:10" ht="15">
      <c r="A3" s="1792" t="s">
        <v>1444</v>
      </c>
      <c r="B3" s="1793"/>
      <c r="C3" s="1793"/>
      <c r="D3" s="1793"/>
      <c r="E3" s="1793"/>
      <c r="F3" s="1793"/>
      <c r="G3" s="1793"/>
      <c r="H3" s="1793"/>
      <c r="I3" s="1793"/>
      <c r="J3" s="1793"/>
    </row>
    <row r="4" spans="1:10" ht="13.2"/>
    <row r="5" spans="1:10" ht="12.75" customHeight="1">
      <c r="A5" s="1789" t="s">
        <v>2618</v>
      </c>
      <c r="B5" s="1789"/>
      <c r="C5" s="1789"/>
      <c r="D5" s="1789"/>
      <c r="E5" s="1789"/>
      <c r="F5" s="1789"/>
      <c r="G5" s="1789"/>
      <c r="H5" s="1789"/>
      <c r="I5" s="1789"/>
      <c r="J5" s="1789"/>
    </row>
    <row r="6" spans="1:10" ht="13.2">
      <c r="A6" s="1789"/>
      <c r="B6" s="1789"/>
      <c r="C6" s="1789"/>
      <c r="D6" s="1789"/>
      <c r="E6" s="1789"/>
      <c r="F6" s="1789"/>
      <c r="G6" s="1789"/>
      <c r="H6" s="1789"/>
      <c r="I6" s="1789"/>
      <c r="J6" s="1789"/>
    </row>
    <row r="7" spans="1:10" ht="30" customHeight="1">
      <c r="A7" s="1789"/>
      <c r="B7" s="1789"/>
      <c r="C7" s="1789"/>
      <c r="D7" s="1789"/>
      <c r="E7" s="1789"/>
      <c r="F7" s="1789"/>
      <c r="G7" s="1789"/>
      <c r="H7" s="1789"/>
      <c r="I7" s="1789"/>
      <c r="J7" s="1789"/>
    </row>
    <row r="8" spans="1:10" ht="13.2">
      <c r="A8" s="764"/>
      <c r="B8" s="764"/>
      <c r="C8" s="764"/>
      <c r="D8" s="764"/>
      <c r="E8" s="764"/>
      <c r="F8" s="764"/>
      <c r="G8" s="764"/>
      <c r="H8" s="764"/>
      <c r="I8" s="764"/>
      <c r="J8" s="764"/>
    </row>
    <row r="9" spans="1:10" ht="12.75" customHeight="1">
      <c r="A9" s="1110" t="s">
        <v>2187</v>
      </c>
      <c r="B9" s="1109"/>
      <c r="C9" s="1109"/>
      <c r="D9" s="1109"/>
      <c r="E9" s="1109"/>
      <c r="F9" s="1109"/>
      <c r="G9" s="1109"/>
      <c r="H9" s="1109"/>
      <c r="I9" s="1109"/>
      <c r="J9" s="1109"/>
    </row>
    <row r="10" spans="1:10" ht="13.2"/>
    <row r="11" spans="1:10" ht="12.75" customHeight="1">
      <c r="A11" s="1794" t="s">
        <v>2189</v>
      </c>
      <c r="B11" s="1794"/>
      <c r="C11" s="1794"/>
      <c r="D11" s="1794"/>
      <c r="E11" s="1794"/>
      <c r="F11" s="1794"/>
      <c r="G11" s="1794"/>
      <c r="H11" s="1794"/>
      <c r="I11" s="1794"/>
      <c r="J11" s="1794"/>
    </row>
    <row r="12" spans="1:10" ht="13.2">
      <c r="A12" s="1794"/>
      <c r="B12" s="1794"/>
      <c r="C12" s="1794"/>
      <c r="D12" s="1794"/>
      <c r="E12" s="1794"/>
      <c r="F12" s="1794"/>
      <c r="G12" s="1794"/>
      <c r="H12" s="1794"/>
      <c r="I12" s="1794"/>
      <c r="J12" s="1794"/>
    </row>
    <row r="13" spans="1:10" s="1077" customFormat="1" ht="13.2">
      <c r="A13" s="1794"/>
      <c r="B13" s="1794"/>
      <c r="C13" s="1794"/>
      <c r="D13" s="1794"/>
      <c r="E13" s="1794"/>
      <c r="F13" s="1794"/>
      <c r="G13" s="1794"/>
      <c r="H13" s="1794"/>
      <c r="I13" s="1794"/>
      <c r="J13" s="1794"/>
    </row>
    <row r="14" spans="1:10" ht="13.2">
      <c r="A14" s="1795"/>
      <c r="B14" s="1795"/>
      <c r="C14" s="1795"/>
      <c r="D14" s="1795"/>
      <c r="E14" s="1795"/>
      <c r="F14" s="1795"/>
      <c r="G14" s="1795"/>
      <c r="H14" s="1795"/>
      <c r="I14" s="1795"/>
      <c r="J14" s="1795"/>
    </row>
    <row r="15" spans="1:10" ht="13.2">
      <c r="A15" s="1795"/>
      <c r="B15" s="1795"/>
      <c r="C15" s="1795"/>
      <c r="D15" s="1795"/>
      <c r="E15" s="1795"/>
      <c r="F15" s="1795"/>
      <c r="G15" s="1795"/>
      <c r="H15" s="1795"/>
      <c r="I15" s="1795"/>
      <c r="J15" s="1795"/>
    </row>
    <row r="16" spans="1:10" ht="13.2">
      <c r="A16" s="1795"/>
      <c r="B16" s="1795"/>
      <c r="C16" s="1795"/>
      <c r="D16" s="1795"/>
      <c r="E16" s="1795"/>
      <c r="F16" s="1795"/>
      <c r="G16" s="1795"/>
      <c r="H16" s="1795"/>
      <c r="I16" s="1795"/>
      <c r="J16" s="1795"/>
    </row>
    <row r="17" spans="1:10" s="1077" customFormat="1" ht="13.2">
      <c r="A17" s="1112"/>
      <c r="B17" s="1112"/>
      <c r="C17" s="1112"/>
      <c r="D17" s="1112"/>
      <c r="E17" s="1112"/>
      <c r="F17" s="1112"/>
      <c r="G17" s="1112"/>
      <c r="H17" s="1112"/>
      <c r="I17" s="1112"/>
      <c r="J17" s="1112"/>
    </row>
    <row r="18" spans="1:10" ht="13.2">
      <c r="A18" s="765" t="s">
        <v>2188</v>
      </c>
      <c r="B18" s="764"/>
      <c r="C18" s="764"/>
      <c r="D18" s="764"/>
      <c r="E18" s="764"/>
      <c r="F18" s="764"/>
      <c r="G18" s="764"/>
      <c r="H18" s="764"/>
      <c r="I18" s="764"/>
      <c r="J18" s="764"/>
    </row>
    <row r="19" spans="1:10" ht="13.2">
      <c r="A19" s="766" t="s">
        <v>255</v>
      </c>
      <c r="B19" s="766"/>
      <c r="C19" s="766"/>
      <c r="D19" s="766"/>
      <c r="E19" s="766"/>
      <c r="F19" s="766"/>
      <c r="G19" s="766"/>
      <c r="H19" s="766"/>
      <c r="I19" s="766"/>
      <c r="J19" s="766"/>
    </row>
    <row r="20" spans="1:10" ht="13.2">
      <c r="A20" s="1796" t="s">
        <v>1350</v>
      </c>
      <c r="B20" s="1793"/>
      <c r="C20" s="1793"/>
      <c r="D20" s="1793"/>
      <c r="E20" s="1793"/>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789" t="s">
        <v>1351</v>
      </c>
      <c r="B57" s="1790"/>
      <c r="C57" s="1790"/>
      <c r="D57" s="1790"/>
      <c r="E57" s="1790"/>
      <c r="F57" s="1790"/>
      <c r="G57" s="1790"/>
      <c r="H57" s="1790"/>
      <c r="I57" s="1790"/>
      <c r="J57" s="1790"/>
    </row>
    <row r="58" spans="1:10" ht="13.2">
      <c r="A58" s="1790"/>
      <c r="B58" s="1790"/>
      <c r="C58" s="1790"/>
      <c r="D58" s="1790"/>
      <c r="E58" s="1790"/>
      <c r="F58" s="1790"/>
      <c r="G58" s="1790"/>
      <c r="H58" s="1790"/>
      <c r="I58" s="1790"/>
      <c r="J58" s="1790"/>
    </row>
    <row r="59" spans="1:10" ht="13.2">
      <c r="A59" s="1790"/>
      <c r="B59" s="1790"/>
      <c r="C59" s="1790"/>
      <c r="D59" s="1790"/>
      <c r="E59" s="1790"/>
      <c r="F59" s="1790"/>
      <c r="G59" s="1790"/>
      <c r="H59" s="1790"/>
      <c r="I59" s="1790"/>
      <c r="J59" s="1790"/>
    </row>
    <row r="60" spans="1:10" ht="13.2"/>
    <row r="61" spans="1:10" ht="13.2">
      <c r="A61" s="664" t="s">
        <v>1350</v>
      </c>
    </row>
    <row r="62" spans="1:10" ht="13.2"/>
    <row r="63" spans="1:10" ht="13.2"/>
    <row r="64" spans="1:10" ht="13.2"/>
    <row r="65" spans="1:9" ht="13.2"/>
    <row r="66" spans="1:9" ht="13.2"/>
    <row r="67" spans="1:9" ht="13.2"/>
    <row r="68" spans="1:9" ht="13.2"/>
    <row r="69" spans="1:9" ht="13.2"/>
    <row r="70" spans="1:9" ht="13.2"/>
    <row r="71" spans="1:9" ht="13.2"/>
    <row r="72" spans="1:9" ht="13.2">
      <c r="A72" s="1791" t="s">
        <v>2185</v>
      </c>
      <c r="B72" s="1791"/>
      <c r="C72" s="1791"/>
      <c r="D72" s="1791"/>
      <c r="E72" s="1791"/>
      <c r="F72" s="1791"/>
      <c r="G72" s="1791"/>
      <c r="H72" s="1791"/>
      <c r="I72" s="1791"/>
    </row>
    <row r="73" spans="1:9" ht="13.2">
      <c r="A73" s="1713" t="s">
        <v>2616</v>
      </c>
      <c r="B73" s="1713"/>
      <c r="C73" s="1713"/>
      <c r="D73" s="1713"/>
      <c r="E73" s="1713"/>
    </row>
    <row r="74" spans="1:9" ht="13.2">
      <c r="A74" s="1713" t="s">
        <v>2617</v>
      </c>
      <c r="B74" s="1713"/>
      <c r="C74" s="1713"/>
      <c r="D74" s="1713"/>
      <c r="E74" s="1713"/>
    </row>
    <row r="75" spans="1:9" ht="13.2">
      <c r="A75" s="1713" t="s">
        <v>2186</v>
      </c>
      <c r="B75" s="1713"/>
      <c r="C75" s="1713"/>
      <c r="D75" s="1713"/>
      <c r="E75" s="1713"/>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UmoeLVweBNhKN+cb5QUj9WV7vJGx0bBTLDaxRToB+HoWhgmEg75oe+Jyp85Tei2mncMYxrcI2h9Y0YBLrsH4CQ==" saltValue="d/MYepJ0YiRJBSs44WMGs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918" zoomScaleNormal="100" zoomScaleSheetLayoutView="100" workbookViewId="0">
      <selection activeCell="D930" sqref="D930:F936"/>
    </sheetView>
  </sheetViews>
  <sheetFormatPr defaultColWidth="0" defaultRowHeight="13.2" zeroHeight="1"/>
  <cols>
    <col min="1" max="1" width="3.44140625" style="780" customWidth="1"/>
    <col min="2" max="2" width="13.44140625" style="780" customWidth="1"/>
    <col min="3" max="3" width="2.44140625" style="780" customWidth="1"/>
    <col min="4" max="5" width="3.44140625" style="781" customWidth="1"/>
    <col min="6" max="6" width="65.44140625" style="781" customWidth="1"/>
    <col min="7" max="7" width="1.44140625" style="781" customWidth="1"/>
    <col min="8" max="8" width="3.44140625" style="782" customWidth="1"/>
    <col min="9" max="9" width="24.44140625" style="1082" customWidth="1"/>
    <col min="10" max="16" width="0" style="782" hidden="1" customWidth="1"/>
    <col min="17" max="16384" width="8.88671875" style="782" hidden="1"/>
  </cols>
  <sheetData>
    <row r="1" spans="1:13"/>
    <row r="2" spans="1:13">
      <c r="A2" s="1797" t="s">
        <v>2619</v>
      </c>
      <c r="B2" s="1797"/>
      <c r="C2" s="1797"/>
      <c r="D2" s="1797"/>
      <c r="E2" s="1797"/>
      <c r="F2" s="1797"/>
      <c r="G2" s="1797"/>
      <c r="H2" s="1797"/>
      <c r="I2" s="1797"/>
    </row>
    <row r="3" spans="1:13">
      <c r="A3" s="1798" t="s">
        <v>2052</v>
      </c>
      <c r="B3" s="1798"/>
      <c r="C3" s="1798"/>
      <c r="D3" s="1798"/>
      <c r="E3" s="1798"/>
      <c r="F3" s="1798"/>
      <c r="G3" s="1798"/>
      <c r="H3" s="1798"/>
      <c r="I3" s="1798"/>
    </row>
    <row r="4" spans="1:13">
      <c r="A4" s="1825"/>
      <c r="B4" s="1825"/>
      <c r="C4" s="1826"/>
      <c r="D4" s="1826"/>
      <c r="E4" s="1826"/>
      <c r="F4" s="1826"/>
      <c r="G4" s="1826"/>
      <c r="I4" s="635"/>
    </row>
    <row r="5" spans="1:13" s="783" customFormat="1">
      <c r="A5" s="1825"/>
      <c r="B5" s="1825"/>
      <c r="C5" s="1829"/>
      <c r="D5" s="1829"/>
      <c r="E5" s="1829"/>
      <c r="F5" s="1829"/>
      <c r="G5" s="1829"/>
      <c r="I5" s="1114"/>
    </row>
    <row r="6" spans="1:13" s="783" customFormat="1">
      <c r="A6" s="1821" t="s">
        <v>1220</v>
      </c>
      <c r="B6" s="1821"/>
      <c r="C6" s="1822"/>
      <c r="D6" s="1822"/>
      <c r="E6" s="1822"/>
      <c r="F6" s="1822"/>
      <c r="G6" s="1822"/>
      <c r="I6" s="1113" t="s">
        <v>2196</v>
      </c>
    </row>
    <row r="7" spans="1:13" s="783" customFormat="1">
      <c r="A7" s="1821" t="s">
        <v>1221</v>
      </c>
      <c r="B7" s="1821"/>
      <c r="C7" s="1822"/>
      <c r="D7" s="1822"/>
      <c r="E7" s="1822"/>
      <c r="F7" s="1822"/>
      <c r="G7" s="1822"/>
      <c r="I7" s="1113" t="s">
        <v>2197</v>
      </c>
    </row>
    <row r="8" spans="1:13">
      <c r="A8" s="784"/>
      <c r="B8" s="784"/>
      <c r="C8" s="785"/>
      <c r="D8" s="785"/>
      <c r="E8" s="785"/>
      <c r="F8" s="785"/>
    </row>
    <row r="9" spans="1:13">
      <c r="A9" s="1761" t="s">
        <v>1223</v>
      </c>
      <c r="B9" s="1761"/>
      <c r="C9" s="1761"/>
      <c r="D9" s="1761"/>
      <c r="E9" s="1761"/>
      <c r="F9" s="1761"/>
      <c r="G9" s="1761"/>
      <c r="H9" s="1130"/>
      <c r="I9" s="1131"/>
    </row>
    <row r="10" spans="1:13">
      <c r="A10" s="785"/>
      <c r="B10" s="785"/>
      <c r="E10" s="786"/>
    </row>
    <row r="11" spans="1:13" ht="13.65" customHeight="1">
      <c r="C11" s="785"/>
      <c r="D11" s="1823" t="s">
        <v>1222</v>
      </c>
      <c r="E11" s="1823"/>
      <c r="F11" s="1823"/>
    </row>
    <row r="12" spans="1:13">
      <c r="C12" s="785"/>
      <c r="D12" s="1823"/>
      <c r="E12" s="1823"/>
      <c r="F12" s="1823"/>
    </row>
    <row r="13" spans="1:13">
      <c r="A13" s="787"/>
      <c r="B13" s="787"/>
      <c r="C13" s="787"/>
      <c r="D13" s="1771" t="s">
        <v>1205</v>
      </c>
      <c r="E13" s="1771"/>
      <c r="F13" s="1771"/>
      <c r="M13" s="1042"/>
    </row>
    <row r="14" spans="1:13">
      <c r="A14" s="787"/>
      <c r="B14" s="787"/>
      <c r="C14" s="787"/>
      <c r="D14" s="788"/>
      <c r="L14" s="1185"/>
    </row>
    <row r="15" spans="1:13" ht="14.4">
      <c r="A15" s="789"/>
      <c r="B15" s="790" t="s">
        <v>2760</v>
      </c>
      <c r="C15" s="791"/>
      <c r="D15" s="1766" t="s">
        <v>2365</v>
      </c>
      <c r="E15" s="1766"/>
      <c r="F15" s="1766"/>
      <c r="I15" s="1082" t="s">
        <v>2198</v>
      </c>
    </row>
    <row r="16" spans="1:13">
      <c r="A16" s="787"/>
      <c r="B16" s="787"/>
      <c r="C16" s="791"/>
      <c r="D16" s="1766"/>
      <c r="E16" s="1766"/>
      <c r="F16" s="1766"/>
    </row>
    <row r="17" spans="1:9">
      <c r="A17" s="787"/>
      <c r="B17" s="787"/>
      <c r="C17" s="791"/>
      <c r="D17" s="1766"/>
      <c r="E17" s="1766"/>
      <c r="F17" s="1766"/>
    </row>
    <row r="18" spans="1:9" s="1080" customFormat="1">
      <c r="A18" s="787"/>
      <c r="B18" s="787"/>
      <c r="C18" s="791"/>
      <c r="D18" s="1184"/>
      <c r="E18" s="1185" t="s">
        <v>2363</v>
      </c>
      <c r="F18" s="1184"/>
      <c r="G18" s="1079"/>
      <c r="I18" s="1082"/>
    </row>
    <row r="19" spans="1:9">
      <c r="A19" s="787"/>
      <c r="B19" s="787"/>
      <c r="C19" s="787"/>
    </row>
    <row r="20" spans="1:9" ht="14.4">
      <c r="A20" s="789"/>
      <c r="B20" s="790" t="s">
        <v>2760</v>
      </c>
      <c r="D20" s="1766" t="s">
        <v>2366</v>
      </c>
      <c r="E20" s="1766"/>
      <c r="F20" s="1766"/>
      <c r="I20" s="1082" t="s">
        <v>2199</v>
      </c>
    </row>
    <row r="21" spans="1:9" s="1080" customFormat="1" ht="14.4">
      <c r="A21" s="789"/>
      <c r="B21" s="780"/>
      <c r="C21" s="780"/>
      <c r="D21" s="1766"/>
      <c r="E21" s="1766"/>
      <c r="F21" s="1766"/>
      <c r="G21" s="1079"/>
      <c r="I21" s="1082"/>
    </row>
    <row r="22" spans="1:9" s="1080" customFormat="1" ht="14.4">
      <c r="A22" s="789"/>
      <c r="B22" s="780"/>
      <c r="C22" s="780"/>
      <c r="D22" s="1183"/>
      <c r="E22" s="1042" t="s">
        <v>2362</v>
      </c>
      <c r="F22" s="1183"/>
      <c r="G22" s="1079"/>
      <c r="I22" s="1082"/>
    </row>
    <row r="23" spans="1:9" ht="14.4">
      <c r="A23" s="789"/>
      <c r="B23" s="789"/>
      <c r="D23" s="792"/>
    </row>
    <row r="24" spans="1:9" ht="14.4">
      <c r="A24" s="789"/>
      <c r="B24" s="790" t="s">
        <v>2761</v>
      </c>
      <c r="D24" s="1766" t="s">
        <v>1208</v>
      </c>
      <c r="E24" s="1766"/>
      <c r="F24" s="1766"/>
      <c r="I24" s="1082" t="s">
        <v>2199</v>
      </c>
    </row>
    <row r="25" spans="1:9" ht="14.4">
      <c r="A25" s="789"/>
      <c r="B25" s="789"/>
      <c r="D25" s="1766"/>
      <c r="E25" s="1766"/>
      <c r="F25" s="1766"/>
    </row>
    <row r="26" spans="1:9"/>
    <row r="27" spans="1:9" ht="14.4">
      <c r="A27" s="789"/>
      <c r="B27" s="790" t="s">
        <v>2761</v>
      </c>
      <c r="D27" s="1810" t="s">
        <v>2620</v>
      </c>
      <c r="E27" s="1810"/>
      <c r="F27" s="1810"/>
      <c r="I27" s="1082" t="s">
        <v>2202</v>
      </c>
    </row>
    <row r="28" spans="1:9">
      <c r="D28" s="1810"/>
      <c r="E28" s="1810"/>
      <c r="F28" s="1810"/>
    </row>
    <row r="29" spans="1:9">
      <c r="D29" s="1810"/>
      <c r="E29" s="1810"/>
      <c r="F29" s="1810"/>
    </row>
    <row r="30" spans="1:9">
      <c r="D30" s="1810"/>
      <c r="E30" s="1810"/>
      <c r="F30" s="1810"/>
    </row>
    <row r="31" spans="1:9">
      <c r="D31" s="1810"/>
      <c r="E31" s="1810"/>
      <c r="F31" s="1810"/>
    </row>
    <row r="32" spans="1:9" s="783" customFormat="1">
      <c r="A32" s="793"/>
      <c r="B32" s="793"/>
      <c r="C32" s="793"/>
      <c r="D32" s="725"/>
      <c r="E32" s="794"/>
      <c r="F32" s="794"/>
      <c r="G32" s="794"/>
      <c r="I32" s="1114"/>
    </row>
    <row r="33" spans="1:9" s="783" customFormat="1">
      <c r="A33" s="793"/>
      <c r="B33" s="790" t="s">
        <v>2761</v>
      </c>
      <c r="C33" s="793"/>
      <c r="D33" s="1723" t="s">
        <v>2621</v>
      </c>
      <c r="E33" s="1723"/>
      <c r="F33" s="1723"/>
      <c r="G33" s="794"/>
      <c r="I33" s="1114" t="s">
        <v>2198</v>
      </c>
    </row>
    <row r="34" spans="1:9" s="783" customFormat="1">
      <c r="A34" s="793"/>
      <c r="B34" s="793"/>
      <c r="C34" s="793"/>
      <c r="D34" s="1723"/>
      <c r="E34" s="1723"/>
      <c r="F34" s="1723"/>
      <c r="G34" s="794"/>
      <c r="I34" s="1114"/>
    </row>
    <row r="35" spans="1:9" ht="14.4">
      <c r="A35" s="789"/>
      <c r="B35" s="789"/>
      <c r="D35" s="795"/>
    </row>
    <row r="36" spans="1:9" ht="14.4" customHeight="1">
      <c r="A36" s="789"/>
      <c r="B36" s="790" t="s">
        <v>2761</v>
      </c>
      <c r="D36" s="1723" t="s">
        <v>1376</v>
      </c>
      <c r="E36" s="1723"/>
      <c r="F36" s="1723"/>
      <c r="I36" s="1114" t="s">
        <v>2269</v>
      </c>
    </row>
    <row r="37" spans="1:9" ht="14.4">
      <c r="A37" s="789"/>
      <c r="B37" s="789"/>
      <c r="D37" s="1723"/>
      <c r="E37" s="1723"/>
      <c r="F37" s="1723"/>
    </row>
    <row r="38" spans="1:9" ht="14.4">
      <c r="A38" s="789"/>
      <c r="B38" s="789"/>
      <c r="D38" s="1723"/>
      <c r="E38" s="1723"/>
      <c r="F38" s="1723"/>
    </row>
    <row r="39" spans="1:9" ht="14.4">
      <c r="A39" s="789"/>
      <c r="B39" s="789"/>
      <c r="D39" s="1723"/>
      <c r="E39" s="1723"/>
      <c r="F39" s="1723"/>
    </row>
    <row r="40" spans="1:9" ht="14.4">
      <c r="A40" s="789"/>
      <c r="B40" s="789"/>
      <c r="D40" s="782"/>
    </row>
    <row r="41" spans="1:9" ht="14.4">
      <c r="A41" s="789"/>
      <c r="B41" s="790" t="s">
        <v>2761</v>
      </c>
      <c r="D41" s="1723" t="s">
        <v>1212</v>
      </c>
      <c r="E41" s="1723"/>
      <c r="F41" s="1723"/>
    </row>
    <row r="42" spans="1:9" ht="14.4">
      <c r="A42" s="789"/>
      <c r="B42" s="789"/>
      <c r="D42" s="1723"/>
      <c r="E42" s="1723"/>
      <c r="F42" s="1723"/>
    </row>
    <row r="43" spans="1:9" ht="14.4">
      <c r="A43" s="789"/>
      <c r="B43" s="789"/>
      <c r="D43" s="1723"/>
      <c r="E43" s="1723"/>
      <c r="F43" s="1723"/>
    </row>
    <row r="44" spans="1:9" ht="14.4">
      <c r="A44" s="789"/>
      <c r="B44" s="789"/>
      <c r="D44" s="1723"/>
      <c r="E44" s="1723"/>
      <c r="F44" s="1723"/>
    </row>
    <row r="45" spans="1:9" ht="14.4">
      <c r="A45" s="789"/>
      <c r="B45" s="789"/>
      <c r="D45" s="1723"/>
      <c r="E45" s="1723"/>
      <c r="F45" s="1723"/>
    </row>
    <row r="46" spans="1:9" ht="14.4">
      <c r="A46" s="789"/>
      <c r="B46" s="789"/>
      <c r="D46" s="773"/>
      <c r="E46" s="773"/>
      <c r="F46" s="773"/>
    </row>
    <row r="47" spans="1:9" ht="14.4">
      <c r="A47" s="789"/>
      <c r="B47" s="790" t="s">
        <v>2761</v>
      </c>
      <c r="D47" s="1723" t="s">
        <v>1213</v>
      </c>
      <c r="E47" s="1723"/>
      <c r="F47" s="1723"/>
      <c r="I47" s="1114" t="s">
        <v>2269</v>
      </c>
    </row>
    <row r="48" spans="1:9" ht="14.4">
      <c r="A48" s="789"/>
      <c r="B48" s="789"/>
      <c r="D48" s="1723"/>
      <c r="E48" s="1723"/>
      <c r="F48" s="1723"/>
    </row>
    <row r="49" spans="1:9" ht="14.4">
      <c r="A49" s="789"/>
      <c r="B49" s="789"/>
      <c r="D49" s="1723"/>
      <c r="E49" s="1723"/>
      <c r="F49" s="1723"/>
    </row>
    <row r="50" spans="1:9" ht="23.25" customHeight="1">
      <c r="A50" s="789"/>
      <c r="B50" s="789"/>
      <c r="D50" s="1723"/>
      <c r="E50" s="1723"/>
      <c r="F50" s="1723"/>
    </row>
    <row r="51" spans="1:9" ht="14.4">
      <c r="A51" s="789"/>
      <c r="B51" s="789"/>
      <c r="D51" s="777"/>
    </row>
    <row r="52" spans="1:9" ht="14.4" customHeight="1">
      <c r="A52" s="789"/>
      <c r="B52" s="790" t="s">
        <v>2761</v>
      </c>
      <c r="D52" s="1723" t="s">
        <v>1214</v>
      </c>
      <c r="E52" s="1723"/>
      <c r="F52" s="1723"/>
      <c r="I52" s="1114" t="s">
        <v>2269</v>
      </c>
    </row>
    <row r="53" spans="1:9" ht="14.4">
      <c r="A53" s="789"/>
      <c r="B53" s="789"/>
      <c r="D53" s="1723"/>
      <c r="E53" s="1723"/>
      <c r="F53" s="1723"/>
    </row>
    <row r="54" spans="1:9" ht="14.4">
      <c r="A54" s="789"/>
      <c r="B54" s="789"/>
      <c r="D54" s="1723"/>
      <c r="E54" s="1723"/>
      <c r="F54" s="1723"/>
    </row>
    <row r="55" spans="1:9" s="611" customFormat="1" ht="14.4">
      <c r="A55" s="789"/>
      <c r="B55" s="789"/>
      <c r="C55" s="796"/>
      <c r="D55" s="794"/>
      <c r="E55" s="685"/>
      <c r="F55" s="685"/>
      <c r="G55" s="685"/>
      <c r="I55" s="635"/>
    </row>
    <row r="56" spans="1:9" s="611" customFormat="1" ht="14.4">
      <c r="A56" s="797"/>
      <c r="B56" s="790" t="s">
        <v>2760</v>
      </c>
      <c r="C56" s="798"/>
      <c r="D56" s="1824" t="s">
        <v>1215</v>
      </c>
      <c r="E56" s="1824"/>
      <c r="F56" s="1824"/>
      <c r="G56" s="685"/>
      <c r="I56" s="1082"/>
    </row>
    <row r="57" spans="1:9" s="611" customFormat="1" ht="14.4">
      <c r="A57" s="797"/>
      <c r="B57" s="797"/>
      <c r="C57" s="798"/>
      <c r="D57" s="1824"/>
      <c r="E57" s="1824"/>
      <c r="F57" s="1824"/>
      <c r="G57" s="685"/>
      <c r="I57" s="635"/>
    </row>
    <row r="58" spans="1:9" s="611" customFormat="1" ht="14.4">
      <c r="A58" s="797"/>
      <c r="B58" s="797"/>
      <c r="C58" s="1084"/>
      <c r="D58" s="1196" t="s">
        <v>2364</v>
      </c>
      <c r="E58" s="1182"/>
      <c r="F58" s="1182"/>
      <c r="G58" s="685"/>
      <c r="I58" s="635"/>
    </row>
    <row r="59" spans="1:9" s="611" customFormat="1" ht="14.4">
      <c r="A59" s="797"/>
      <c r="B59" s="797"/>
      <c r="C59" s="1084"/>
      <c r="D59" s="1182"/>
      <c r="E59" s="1185" t="s">
        <v>2363</v>
      </c>
      <c r="F59" s="1182"/>
      <c r="G59" s="685"/>
      <c r="I59" s="635"/>
    </row>
    <row r="60" spans="1:9" s="783" customFormat="1">
      <c r="A60" s="793"/>
      <c r="B60" s="793"/>
      <c r="C60" s="793"/>
      <c r="D60" s="725"/>
      <c r="E60" s="794"/>
      <c r="F60" s="794"/>
      <c r="G60" s="794"/>
      <c r="I60" s="1114"/>
    </row>
    <row r="61" spans="1:9" ht="14.4">
      <c r="A61" s="789"/>
      <c r="B61" s="790" t="s">
        <v>2760</v>
      </c>
      <c r="D61" s="1723" t="s">
        <v>1216</v>
      </c>
      <c r="E61" s="1723"/>
      <c r="F61" s="1723"/>
      <c r="I61" s="1082" t="s">
        <v>2200</v>
      </c>
    </row>
    <row r="62" spans="1:9">
      <c r="D62" s="1723"/>
      <c r="E62" s="1723"/>
      <c r="F62" s="1723"/>
    </row>
    <row r="63" spans="1:9">
      <c r="D63" s="1723"/>
      <c r="E63" s="1723"/>
      <c r="F63" s="1723"/>
    </row>
    <row r="64" spans="1:9">
      <c r="D64" s="685"/>
    </row>
    <row r="65" spans="1:9" ht="14.4">
      <c r="A65" s="789"/>
      <c r="B65" s="790" t="s">
        <v>2761</v>
      </c>
      <c r="D65" s="1723" t="s">
        <v>1217</v>
      </c>
      <c r="E65" s="1723"/>
      <c r="F65" s="1723"/>
      <c r="I65" s="1082" t="s">
        <v>2201</v>
      </c>
    </row>
    <row r="66" spans="1:9">
      <c r="D66" s="1723"/>
      <c r="E66" s="1723"/>
      <c r="F66" s="1723"/>
    </row>
    <row r="67" spans="1:9"/>
    <row r="68" spans="1:9" ht="14.4">
      <c r="A68" s="789"/>
      <c r="B68" s="790" t="s">
        <v>2761</v>
      </c>
      <c r="D68" s="1723" t="s">
        <v>1218</v>
      </c>
      <c r="E68" s="1723"/>
      <c r="F68" s="1723"/>
    </row>
    <row r="69" spans="1:9">
      <c r="D69" s="1723"/>
      <c r="E69" s="1723"/>
      <c r="F69" s="1723"/>
      <c r="I69" s="1082" t="s">
        <v>2202</v>
      </c>
    </row>
    <row r="70" spans="1:9">
      <c r="D70" s="1723"/>
      <c r="E70" s="1723"/>
      <c r="F70" s="1723"/>
    </row>
    <row r="71" spans="1:9">
      <c r="D71" s="782"/>
    </row>
    <row r="72" spans="1:9" ht="14.4">
      <c r="A72" s="789"/>
      <c r="B72" s="790" t="s">
        <v>2761</v>
      </c>
      <c r="D72" s="1766" t="s">
        <v>1219</v>
      </c>
      <c r="E72" s="1766"/>
      <c r="F72" s="1766"/>
      <c r="I72" s="1082" t="s">
        <v>2202</v>
      </c>
    </row>
    <row r="73" spans="1:9">
      <c r="D73" s="1766"/>
      <c r="E73" s="1766"/>
      <c r="F73" s="1766"/>
    </row>
    <row r="74" spans="1:9" ht="14.4">
      <c r="A74" s="789"/>
      <c r="B74" s="789"/>
      <c r="D74" s="792"/>
    </row>
    <row r="75" spans="1:9">
      <c r="A75" s="1731" t="s">
        <v>1126</v>
      </c>
      <c r="B75" s="1731"/>
      <c r="C75" s="1731"/>
      <c r="D75" s="1731"/>
      <c r="E75" s="1731"/>
      <c r="F75" s="1731"/>
      <c r="G75" s="1731"/>
      <c r="H75" s="1130"/>
      <c r="I75" s="1131"/>
    </row>
    <row r="76" spans="1:9"/>
    <row r="77" spans="1:9">
      <c r="C77" s="799"/>
      <c r="D77" s="1803" t="s">
        <v>1224</v>
      </c>
      <c r="E77" s="1803"/>
      <c r="F77" s="1803"/>
    </row>
    <row r="78" spans="1:9">
      <c r="A78" s="792"/>
      <c r="B78" s="792"/>
      <c r="D78" s="1766" t="s">
        <v>1251</v>
      </c>
      <c r="E78" s="1766"/>
      <c r="F78" s="1766"/>
    </row>
    <row r="79" spans="1:9">
      <c r="A79" s="792"/>
      <c r="B79" s="792"/>
    </row>
    <row r="80" spans="1:9" ht="13.65" customHeight="1">
      <c r="A80" s="789"/>
      <c r="B80" s="790" t="s">
        <v>2760</v>
      </c>
      <c r="D80" s="1766" t="s">
        <v>1419</v>
      </c>
      <c r="E80" s="1766"/>
      <c r="F80" s="1766"/>
      <c r="I80" s="1082" t="s">
        <v>2203</v>
      </c>
    </row>
    <row r="81" spans="1:9" ht="14.4">
      <c r="A81" s="789"/>
      <c r="B81" s="789"/>
      <c r="D81" s="1766"/>
      <c r="E81" s="1766"/>
      <c r="F81" s="1766"/>
    </row>
    <row r="82" spans="1:9" ht="14.4">
      <c r="A82" s="789"/>
      <c r="B82" s="789"/>
      <c r="D82" s="1766"/>
      <c r="E82" s="1766"/>
      <c r="F82" s="1766"/>
    </row>
    <row r="83" spans="1:9" ht="14.4">
      <c r="A83" s="789"/>
      <c r="B83" s="789"/>
      <c r="D83" s="1766"/>
      <c r="E83" s="1766"/>
      <c r="F83" s="1766"/>
    </row>
    <row r="84" spans="1:9" ht="14.4">
      <c r="A84" s="789"/>
      <c r="B84" s="789"/>
      <c r="D84" s="1766"/>
      <c r="E84" s="1766"/>
      <c r="F84" s="1766"/>
    </row>
    <row r="85" spans="1:9" ht="14.4">
      <c r="A85" s="789"/>
      <c r="B85" s="789"/>
      <c r="D85" s="1766"/>
      <c r="E85" s="1766"/>
      <c r="F85" s="1766"/>
    </row>
    <row r="86" spans="1:9" ht="14.4">
      <c r="A86" s="789"/>
      <c r="B86" s="789"/>
      <c r="D86" s="1766"/>
      <c r="E86" s="1766"/>
      <c r="F86" s="1766"/>
    </row>
    <row r="87" spans="1:9" ht="14.4">
      <c r="A87" s="789"/>
      <c r="B87" s="789"/>
      <c r="D87" s="1766"/>
      <c r="E87" s="1766"/>
      <c r="F87" s="1766"/>
    </row>
    <row r="88" spans="1:9" ht="14.4">
      <c r="A88" s="789"/>
      <c r="B88" s="789"/>
      <c r="D88" s="870"/>
      <c r="E88" s="870"/>
      <c r="F88" s="870"/>
    </row>
    <row r="89" spans="1:9" ht="15" customHeight="1">
      <c r="A89" s="789"/>
      <c r="B89" s="790" t="s">
        <v>2760</v>
      </c>
      <c r="D89" s="1766" t="s">
        <v>2053</v>
      </c>
      <c r="E89" s="1766"/>
      <c r="F89" s="1766"/>
      <c r="I89" s="1082" t="s">
        <v>2204</v>
      </c>
    </row>
    <row r="90" spans="1:9" ht="14.4">
      <c r="A90" s="789"/>
      <c r="B90" s="789"/>
      <c r="D90" s="1766"/>
      <c r="E90" s="1766"/>
      <c r="F90" s="1766"/>
    </row>
    <row r="91" spans="1:9" ht="14.4">
      <c r="A91" s="789"/>
      <c r="B91" s="789"/>
      <c r="D91" s="1025"/>
      <c r="E91" s="1025"/>
      <c r="F91" s="1025"/>
    </row>
    <row r="92" spans="1:9" ht="14.4">
      <c r="A92" s="789"/>
      <c r="B92" s="790" t="s">
        <v>2760</v>
      </c>
      <c r="D92" s="1766" t="s">
        <v>2056</v>
      </c>
      <c r="E92" s="1766"/>
      <c r="F92" s="1766"/>
      <c r="I92" s="1082" t="s">
        <v>2205</v>
      </c>
    </row>
    <row r="93" spans="1:9" ht="14.4">
      <c r="A93" s="789"/>
      <c r="B93" s="789"/>
      <c r="D93" s="1766"/>
      <c r="E93" s="1766"/>
      <c r="F93" s="1766"/>
    </row>
    <row r="94" spans="1:9" ht="14.4">
      <c r="A94" s="789"/>
      <c r="B94" s="789"/>
      <c r="D94" s="1766"/>
      <c r="E94" s="1766"/>
      <c r="F94" s="1766"/>
    </row>
    <row r="95" spans="1:9" ht="14.4">
      <c r="A95" s="789"/>
      <c r="B95" s="789"/>
      <c r="D95" s="1025"/>
      <c r="E95" s="1025"/>
      <c r="F95" s="1025"/>
    </row>
    <row r="96" spans="1:9" ht="14.4">
      <c r="A96" s="789"/>
      <c r="B96" s="790" t="s">
        <v>2760</v>
      </c>
      <c r="D96" s="1766" t="s">
        <v>2055</v>
      </c>
      <c r="E96" s="1766"/>
      <c r="F96" s="1766"/>
      <c r="I96" s="1082" t="s">
        <v>2250</v>
      </c>
    </row>
    <row r="97" spans="1:9" s="1041" customFormat="1" ht="14.4">
      <c r="A97" s="1039"/>
      <c r="B97" s="1039"/>
      <c r="C97" s="1040"/>
      <c r="D97" s="1766"/>
      <c r="E97" s="1766"/>
      <c r="F97" s="1766"/>
      <c r="I97" s="1115"/>
    </row>
    <row r="98" spans="1:9" ht="14.4">
      <c r="A98" s="789"/>
      <c r="B98" s="789"/>
      <c r="D98" s="1031"/>
      <c r="E98" s="1185" t="s">
        <v>2367</v>
      </c>
      <c r="F98" s="1025"/>
    </row>
    <row r="99" spans="1:9" ht="14.4">
      <c r="A99" s="789"/>
      <c r="B99" s="789"/>
      <c r="D99" s="870"/>
      <c r="E99" s="870"/>
      <c r="F99" s="870"/>
    </row>
    <row r="100" spans="1:9" ht="14.4">
      <c r="A100" s="789"/>
      <c r="B100" s="790" t="s">
        <v>2761</v>
      </c>
      <c r="D100" s="1766" t="s">
        <v>2054</v>
      </c>
      <c r="E100" s="1766"/>
      <c r="F100" s="1766"/>
      <c r="I100" s="1082" t="s">
        <v>2206</v>
      </c>
    </row>
    <row r="101" spans="1:9" ht="14.4">
      <c r="A101" s="789"/>
      <c r="B101" s="789"/>
      <c r="D101" s="1766"/>
      <c r="E101" s="1766"/>
      <c r="F101" s="1766"/>
    </row>
    <row r="102" spans="1:9" ht="14.4">
      <c r="A102" s="789"/>
      <c r="B102" s="789"/>
      <c r="D102" s="1025"/>
      <c r="E102" s="1025"/>
      <c r="F102" s="1025"/>
    </row>
    <row r="103" spans="1:9" ht="14.4" customHeight="1">
      <c r="A103" s="789"/>
      <c r="B103" s="790" t="s">
        <v>2761</v>
      </c>
      <c r="D103" s="1766" t="s">
        <v>1355</v>
      </c>
      <c r="E103" s="1766"/>
      <c r="F103" s="1766"/>
      <c r="G103" s="782"/>
      <c r="I103" s="1082" t="s">
        <v>2207</v>
      </c>
    </row>
    <row r="104" spans="1:9" ht="14.4">
      <c r="A104" s="789"/>
      <c r="B104" s="789"/>
      <c r="D104" s="1766"/>
      <c r="E104" s="1766"/>
      <c r="F104" s="1766"/>
      <c r="G104" s="782"/>
    </row>
    <row r="105" spans="1:9" ht="14.4">
      <c r="A105" s="789"/>
      <c r="B105" s="789"/>
      <c r="D105" s="1766"/>
      <c r="E105" s="1766"/>
      <c r="F105" s="1766"/>
      <c r="G105" s="782"/>
    </row>
    <row r="106" spans="1:9" ht="14.4">
      <c r="A106" s="789"/>
      <c r="B106" s="789"/>
      <c r="D106" s="1766"/>
      <c r="E106" s="1766"/>
      <c r="F106" s="1766"/>
      <c r="G106" s="782"/>
    </row>
    <row r="107" spans="1:9" ht="14.4">
      <c r="A107" s="789"/>
      <c r="B107" s="789"/>
      <c r="D107" s="1766"/>
      <c r="E107" s="1766"/>
      <c r="F107" s="1766"/>
      <c r="G107" s="782"/>
    </row>
    <row r="108" spans="1:9" ht="14.4">
      <c r="A108" s="789"/>
      <c r="B108" s="789"/>
      <c r="D108" s="1766"/>
      <c r="E108" s="1766"/>
      <c r="F108" s="1766"/>
      <c r="G108" s="782"/>
    </row>
    <row r="109" spans="1:9" ht="14.4">
      <c r="A109" s="789"/>
      <c r="B109" s="789"/>
      <c r="D109" s="1766"/>
      <c r="E109" s="1766"/>
      <c r="F109" s="1766"/>
      <c r="G109" s="782"/>
    </row>
    <row r="110" spans="1:9" ht="14.4">
      <c r="A110" s="789"/>
      <c r="B110" s="789"/>
      <c r="D110" s="1766"/>
      <c r="E110" s="1766"/>
      <c r="F110" s="1766"/>
      <c r="G110" s="782"/>
    </row>
    <row r="111" spans="1:9" ht="14.4">
      <c r="A111" s="789"/>
      <c r="B111" s="789"/>
      <c r="D111" s="1766"/>
      <c r="E111" s="1766"/>
      <c r="F111" s="1766"/>
      <c r="G111" s="782"/>
    </row>
    <row r="112" spans="1:9" ht="14.4">
      <c r="A112" s="789"/>
      <c r="B112" s="789"/>
      <c r="D112" s="1766"/>
      <c r="E112" s="1766"/>
      <c r="F112" s="1766"/>
      <c r="G112" s="782"/>
    </row>
    <row r="113" spans="1:11" ht="14.4">
      <c r="A113" s="789"/>
      <c r="B113" s="789"/>
      <c r="D113" s="1766"/>
      <c r="E113" s="1766"/>
      <c r="F113" s="1766"/>
      <c r="G113" s="782"/>
    </row>
    <row r="114" spans="1:11" ht="14.4">
      <c r="A114" s="789"/>
      <c r="B114" s="789"/>
      <c r="D114" s="1766"/>
      <c r="E114" s="1766"/>
      <c r="F114" s="1766"/>
      <c r="G114" s="782"/>
    </row>
    <row r="115" spans="1:11" ht="14.4">
      <c r="A115" s="789"/>
      <c r="B115" s="789"/>
      <c r="D115" s="1766"/>
      <c r="E115" s="1766"/>
      <c r="F115" s="1766"/>
      <c r="G115" s="782"/>
    </row>
    <row r="116" spans="1:11" ht="14.4">
      <c r="A116" s="789"/>
      <c r="B116" s="789"/>
      <c r="D116" s="1766"/>
      <c r="E116" s="1766"/>
      <c r="F116" s="1766"/>
    </row>
    <row r="117" spans="1:11" ht="14.4">
      <c r="A117" s="789"/>
      <c r="B117" s="789"/>
      <c r="D117" s="1766"/>
      <c r="E117" s="1766"/>
      <c r="F117" s="1766"/>
    </row>
    <row r="118" spans="1:11" ht="14.4">
      <c r="A118" s="789"/>
      <c r="B118" s="789"/>
      <c r="D118" s="896"/>
      <c r="E118" s="896"/>
      <c r="F118" s="896"/>
    </row>
    <row r="119" spans="1:11" ht="14.25" customHeight="1">
      <c r="A119" s="789"/>
      <c r="B119" s="790" t="s">
        <v>2761</v>
      </c>
      <c r="D119" s="1764" t="s">
        <v>1226</v>
      </c>
      <c r="E119" s="1764"/>
      <c r="F119" s="1764"/>
    </row>
    <row r="120" spans="1:11" ht="14.4">
      <c r="A120" s="789"/>
      <c r="B120" s="789"/>
      <c r="D120" s="1764"/>
      <c r="E120" s="1764"/>
      <c r="F120" s="1764"/>
    </row>
    <row r="121" spans="1:11" ht="14.4">
      <c r="A121" s="789"/>
      <c r="B121" s="789"/>
      <c r="D121" s="1764"/>
      <c r="E121" s="1764"/>
      <c r="F121" s="1764"/>
    </row>
    <row r="122" spans="1:11" ht="14.4">
      <c r="A122" s="789"/>
      <c r="B122" s="789"/>
      <c r="D122" s="1764"/>
      <c r="E122" s="1764"/>
      <c r="F122" s="1764"/>
    </row>
    <row r="123" spans="1:11" ht="14.4">
      <c r="A123" s="789"/>
      <c r="B123" s="789"/>
      <c r="D123" s="1764"/>
      <c r="E123" s="1764"/>
      <c r="F123" s="1764"/>
    </row>
    <row r="124" spans="1:11" ht="14.4">
      <c r="A124" s="789"/>
      <c r="B124" s="789"/>
      <c r="D124" s="1764"/>
      <c r="E124" s="1764"/>
      <c r="F124" s="1764"/>
    </row>
    <row r="125" spans="1:11" ht="14.4">
      <c r="A125" s="789"/>
      <c r="B125" s="789"/>
      <c r="D125" s="1764"/>
      <c r="E125" s="1764"/>
      <c r="F125" s="1764"/>
    </row>
    <row r="126" spans="1:11" ht="14.4">
      <c r="A126" s="789"/>
      <c r="B126" s="789"/>
      <c r="D126" s="1764"/>
      <c r="E126" s="1764"/>
      <c r="F126" s="1764"/>
    </row>
    <row r="127" spans="1:11">
      <c r="C127" s="714"/>
      <c r="D127" s="897"/>
      <c r="E127" s="897"/>
      <c r="F127" s="897"/>
      <c r="G127" s="714"/>
      <c r="H127" s="714"/>
      <c r="I127" s="615"/>
      <c r="J127" s="714"/>
      <c r="K127" s="714"/>
    </row>
    <row r="128" spans="1:11" ht="14.4">
      <c r="A128" s="789"/>
      <c r="B128" s="790" t="s">
        <v>2760</v>
      </c>
      <c r="C128" s="714"/>
      <c r="D128" s="1764" t="s">
        <v>2622</v>
      </c>
      <c r="E128" s="1764"/>
      <c r="F128" s="1764"/>
      <c r="G128" s="714"/>
      <c r="H128" s="714"/>
      <c r="I128" s="615" t="s">
        <v>2208</v>
      </c>
      <c r="J128" s="714"/>
      <c r="K128" s="714"/>
    </row>
    <row r="129" spans="1:11" ht="14.4">
      <c r="A129" s="789"/>
      <c r="B129" s="789"/>
      <c r="C129" s="714"/>
      <c r="D129" s="1764"/>
      <c r="E129" s="1764"/>
      <c r="F129" s="1764"/>
      <c r="G129" s="714"/>
      <c r="H129" s="714"/>
      <c r="I129" s="615"/>
      <c r="J129" s="714"/>
      <c r="K129" s="714"/>
    </row>
    <row r="130" spans="1:11"/>
    <row r="131" spans="1:11" ht="14.4">
      <c r="A131" s="789"/>
      <c r="B131" s="790" t="s">
        <v>2760</v>
      </c>
      <c r="C131" s="796"/>
      <c r="D131" s="1766" t="s">
        <v>1229</v>
      </c>
      <c r="E131" s="1766"/>
      <c r="F131" s="1766"/>
      <c r="I131" s="615" t="s">
        <v>2208</v>
      </c>
    </row>
    <row r="132" spans="1:11">
      <c r="C132" s="796"/>
      <c r="D132" s="1766"/>
      <c r="E132" s="1766"/>
      <c r="F132" s="1766"/>
    </row>
    <row r="133" spans="1:11">
      <c r="C133" s="796"/>
      <c r="D133" s="1766"/>
      <c r="E133" s="1766"/>
      <c r="F133" s="1766"/>
    </row>
    <row r="134" spans="1:11">
      <c r="C134" s="796"/>
      <c r="D134" s="1766"/>
      <c r="E134" s="1766"/>
      <c r="F134" s="1766"/>
    </row>
    <row r="135" spans="1:11">
      <c r="C135" s="796"/>
      <c r="D135" s="1766"/>
      <c r="E135" s="1766"/>
      <c r="F135" s="1766"/>
    </row>
    <row r="136" spans="1:11">
      <c r="C136" s="796"/>
      <c r="D136" s="664"/>
      <c r="E136" s="664"/>
      <c r="F136" s="664"/>
    </row>
    <row r="137" spans="1:11" s="714" customFormat="1" ht="14.4">
      <c r="A137" s="789"/>
      <c r="B137" s="790" t="s">
        <v>2760</v>
      </c>
      <c r="C137" s="796"/>
      <c r="D137" s="1723" t="s">
        <v>1230</v>
      </c>
      <c r="E137" s="1723"/>
      <c r="F137" s="1723"/>
      <c r="G137" s="664"/>
      <c r="I137" s="615" t="s">
        <v>2209</v>
      </c>
    </row>
    <row r="138" spans="1:11" s="804" customFormat="1" ht="13.65" customHeight="1">
      <c r="A138" s="801"/>
      <c r="B138" s="801"/>
      <c r="C138" s="802"/>
      <c r="D138" s="1723"/>
      <c r="E138" s="1723"/>
      <c r="F138" s="1723"/>
      <c r="G138" s="803"/>
      <c r="I138" s="1116"/>
    </row>
    <row r="139" spans="1:11" s="714" customFormat="1" ht="13.65" customHeight="1">
      <c r="A139" s="780"/>
      <c r="B139" s="780"/>
      <c r="C139" s="796"/>
      <c r="D139" s="1723"/>
      <c r="E139" s="1723"/>
      <c r="F139" s="1723"/>
      <c r="G139" s="664"/>
      <c r="I139" s="615"/>
    </row>
    <row r="140" spans="1:11" s="714" customFormat="1" ht="13.65" customHeight="1">
      <c r="A140" s="780"/>
      <c r="B140" s="780"/>
      <c r="C140" s="796"/>
      <c r="D140" s="1723"/>
      <c r="E140" s="1723"/>
      <c r="F140" s="1723"/>
      <c r="G140" s="664"/>
      <c r="I140" s="615"/>
    </row>
    <row r="141" spans="1:11" s="714" customFormat="1" ht="13.65" customHeight="1">
      <c r="A141" s="780"/>
      <c r="B141" s="780"/>
      <c r="C141" s="796"/>
      <c r="D141" s="1723"/>
      <c r="E141" s="1723"/>
      <c r="F141" s="1723"/>
      <c r="G141" s="664"/>
      <c r="I141" s="615"/>
    </row>
    <row r="142" spans="1:11" s="714" customFormat="1" ht="13.65" customHeight="1">
      <c r="A142" s="805"/>
      <c r="B142" s="805"/>
      <c r="C142" s="796"/>
      <c r="D142" s="1723"/>
      <c r="E142" s="1723"/>
      <c r="F142" s="1723"/>
      <c r="G142" s="664"/>
      <c r="I142" s="615"/>
    </row>
    <row r="143" spans="1:11" s="611" customFormat="1" ht="13.65" customHeight="1">
      <c r="A143" s="793"/>
      <c r="B143" s="793"/>
      <c r="C143" s="798"/>
      <c r="D143" s="1723"/>
      <c r="E143" s="1723"/>
      <c r="F143" s="1723"/>
      <c r="G143" s="685"/>
      <c r="I143" s="635"/>
    </row>
    <row r="144" spans="1:11" s="611" customFormat="1" ht="13.65" customHeight="1">
      <c r="A144" s="793"/>
      <c r="B144" s="793"/>
      <c r="C144" s="798"/>
      <c r="D144" s="1723"/>
      <c r="E144" s="1723"/>
      <c r="F144" s="1723"/>
      <c r="G144" s="685"/>
      <c r="I144" s="635"/>
    </row>
    <row r="145" spans="1:9" s="611" customFormat="1" ht="13.65" customHeight="1">
      <c r="A145" s="793"/>
      <c r="B145" s="793"/>
      <c r="C145" s="1084"/>
      <c r="D145" s="1723"/>
      <c r="E145" s="1723"/>
      <c r="F145" s="1723"/>
      <c r="G145" s="685"/>
      <c r="I145" s="635"/>
    </row>
    <row r="146" spans="1:9" s="714" customFormat="1" ht="13.65" customHeight="1">
      <c r="A146" s="780"/>
      <c r="B146" s="780"/>
      <c r="C146" s="796"/>
      <c r="D146" s="1723"/>
      <c r="E146" s="1723"/>
      <c r="F146" s="1723"/>
      <c r="G146" s="664"/>
      <c r="I146" s="615"/>
    </row>
    <row r="147" spans="1:9" s="714" customFormat="1" ht="13.65" customHeight="1">
      <c r="A147" s="780"/>
      <c r="B147" s="780"/>
      <c r="C147" s="796"/>
      <c r="D147" s="1723"/>
      <c r="E147" s="1723"/>
      <c r="F147" s="1723"/>
      <c r="G147" s="664"/>
      <c r="I147" s="615"/>
    </row>
    <row r="148" spans="1:9" s="714" customFormat="1" ht="13.65" customHeight="1">
      <c r="A148" s="780"/>
      <c r="B148" s="780"/>
      <c r="C148" s="796"/>
      <c r="D148" s="1723"/>
      <c r="E148" s="1723"/>
      <c r="F148" s="1723"/>
      <c r="G148" s="664"/>
      <c r="I148" s="615"/>
    </row>
    <row r="149" spans="1:9" s="714" customFormat="1" ht="13.65" customHeight="1">
      <c r="A149" s="780"/>
      <c r="B149" s="780"/>
      <c r="C149" s="796"/>
      <c r="D149" s="1723"/>
      <c r="E149" s="1723"/>
      <c r="F149" s="1723"/>
      <c r="G149" s="664"/>
      <c r="I149" s="615"/>
    </row>
    <row r="150" spans="1:9" s="714" customFormat="1" ht="13.65" customHeight="1">
      <c r="A150" s="780"/>
      <c r="B150" s="780"/>
      <c r="C150" s="796"/>
      <c r="D150" s="788"/>
      <c r="E150" s="777"/>
      <c r="F150" s="777"/>
      <c r="G150" s="664"/>
      <c r="I150" s="615"/>
    </row>
    <row r="151" spans="1:9" s="714" customFormat="1" ht="13.65" customHeight="1">
      <c r="A151" s="780"/>
      <c r="B151" s="790" t="s">
        <v>2760</v>
      </c>
      <c r="C151" s="796"/>
      <c r="D151" s="1807" t="s">
        <v>1338</v>
      </c>
      <c r="E151" s="1807"/>
      <c r="F151" s="1807"/>
      <c r="G151" s="664"/>
      <c r="I151" s="615" t="s">
        <v>2210</v>
      </c>
    </row>
    <row r="152" spans="1:9" s="714" customFormat="1" ht="13.65" customHeight="1">
      <c r="A152" s="780"/>
      <c r="B152" s="780"/>
      <c r="C152" s="796"/>
      <c r="D152" s="1807"/>
      <c r="E152" s="1807"/>
      <c r="F152" s="1807"/>
      <c r="G152" s="664"/>
      <c r="I152" s="615"/>
    </row>
    <row r="153" spans="1:9" s="714" customFormat="1" ht="13.65" customHeight="1">
      <c r="A153" s="780"/>
      <c r="B153" s="780"/>
      <c r="C153" s="796"/>
      <c r="D153" s="1807"/>
      <c r="E153" s="1807"/>
      <c r="F153" s="1807"/>
      <c r="G153" s="664"/>
      <c r="I153" s="615"/>
    </row>
    <row r="154" spans="1:9" s="714" customFormat="1" ht="13.65" customHeight="1">
      <c r="A154" s="780"/>
      <c r="B154" s="780"/>
      <c r="C154" s="796"/>
      <c r="D154" s="1807"/>
      <c r="E154" s="1807"/>
      <c r="F154" s="1807"/>
      <c r="G154" s="664"/>
      <c r="I154" s="615"/>
    </row>
    <row r="155" spans="1:9" s="714" customFormat="1" ht="13.65" customHeight="1">
      <c r="A155" s="780"/>
      <c r="B155" s="780"/>
      <c r="C155" s="796"/>
      <c r="D155" s="1807"/>
      <c r="E155" s="1807"/>
      <c r="F155" s="1807"/>
      <c r="G155" s="664"/>
      <c r="I155" s="615"/>
    </row>
    <row r="156" spans="1:9" s="714" customFormat="1" ht="13.65" customHeight="1">
      <c r="A156" s="780"/>
      <c r="B156" s="780"/>
      <c r="C156" s="796"/>
      <c r="D156" s="1807"/>
      <c r="E156" s="1807"/>
      <c r="F156" s="1807"/>
      <c r="G156" s="664"/>
      <c r="I156" s="615"/>
    </row>
    <row r="157" spans="1:9" s="714" customFormat="1" ht="13.65" customHeight="1">
      <c r="A157" s="780"/>
      <c r="B157" s="780"/>
      <c r="C157" s="796"/>
      <c r="D157" s="1807"/>
      <c r="E157" s="1807"/>
      <c r="F157" s="1807"/>
      <c r="G157" s="664"/>
      <c r="I157" s="615"/>
    </row>
    <row r="158" spans="1:9" s="714" customFormat="1" ht="13.65" customHeight="1">
      <c r="A158" s="780"/>
      <c r="B158" s="780"/>
      <c r="C158" s="796"/>
      <c r="D158" s="1807"/>
      <c r="E158" s="1807"/>
      <c r="F158" s="1807"/>
      <c r="G158" s="664"/>
      <c r="I158" s="615"/>
    </row>
    <row r="159" spans="1:9" s="714" customFormat="1" ht="13.65" customHeight="1">
      <c r="A159" s="780"/>
      <c r="B159" s="780"/>
      <c r="C159" s="796"/>
      <c r="D159" s="1807"/>
      <c r="E159" s="1807"/>
      <c r="F159" s="1807"/>
      <c r="G159" s="664"/>
      <c r="I159" s="615"/>
    </row>
    <row r="160" spans="1:9" s="714" customFormat="1" ht="13.65" customHeight="1">
      <c r="A160" s="780"/>
      <c r="B160" s="780"/>
      <c r="C160" s="796"/>
      <c r="D160" s="1807"/>
      <c r="E160" s="1807"/>
      <c r="F160" s="1807"/>
      <c r="G160" s="664"/>
      <c r="I160" s="615"/>
    </row>
    <row r="161" spans="1:9" s="714" customFormat="1" ht="13.65" customHeight="1">
      <c r="A161" s="780"/>
      <c r="B161" s="780"/>
      <c r="C161" s="796"/>
      <c r="D161" s="1807"/>
      <c r="E161" s="1807"/>
      <c r="F161" s="1807"/>
      <c r="G161" s="664"/>
      <c r="I161" s="615"/>
    </row>
    <row r="162" spans="1:9" s="714" customFormat="1" ht="13.65" customHeight="1">
      <c r="A162" s="780"/>
      <c r="B162" s="780"/>
      <c r="C162" s="796"/>
      <c r="D162" s="1807"/>
      <c r="E162" s="1807"/>
      <c r="F162" s="1807"/>
      <c r="G162" s="664"/>
      <c r="I162" s="615"/>
    </row>
    <row r="163" spans="1:9" s="714" customFormat="1" ht="13.65" customHeight="1">
      <c r="A163" s="780"/>
      <c r="B163" s="780"/>
      <c r="C163" s="796"/>
      <c r="D163" s="1807"/>
      <c r="E163" s="1807"/>
      <c r="F163" s="1807"/>
      <c r="G163" s="664"/>
      <c r="I163" s="615"/>
    </row>
    <row r="164" spans="1:9" s="714" customFormat="1" ht="13.65" customHeight="1">
      <c r="A164" s="780"/>
      <c r="B164" s="780"/>
      <c r="C164" s="796"/>
      <c r="D164" s="1807"/>
      <c r="E164" s="1807"/>
      <c r="F164" s="1807"/>
      <c r="G164" s="664"/>
      <c r="I164" s="615"/>
    </row>
    <row r="165" spans="1:9" s="714" customFormat="1" ht="13.65" customHeight="1">
      <c r="A165" s="780"/>
      <c r="B165" s="780"/>
      <c r="C165" s="796"/>
      <c r="D165" s="1807"/>
      <c r="E165" s="1807"/>
      <c r="F165" s="1807"/>
      <c r="G165" s="664"/>
      <c r="I165" s="615"/>
    </row>
    <row r="166" spans="1:9" s="714" customFormat="1" ht="13.65" customHeight="1">
      <c r="A166" s="780"/>
      <c r="B166" s="780"/>
      <c r="C166" s="796"/>
      <c r="D166" s="1807"/>
      <c r="E166" s="1807"/>
      <c r="F166" s="1807"/>
      <c r="G166" s="664"/>
      <c r="I166" s="615"/>
    </row>
    <row r="167" spans="1:9" s="714" customFormat="1" ht="13.65" customHeight="1">
      <c r="A167" s="780"/>
      <c r="B167" s="780"/>
      <c r="C167" s="796"/>
      <c r="D167" s="1807"/>
      <c r="E167" s="1807"/>
      <c r="F167" s="1807"/>
      <c r="G167" s="664"/>
      <c r="I167" s="615"/>
    </row>
    <row r="168" spans="1:9" s="714" customFormat="1" ht="13.65" customHeight="1">
      <c r="A168" s="780"/>
      <c r="B168" s="780"/>
      <c r="C168" s="796"/>
      <c r="D168" s="1807"/>
      <c r="E168" s="1807"/>
      <c r="F168" s="1807"/>
      <c r="G168" s="664"/>
      <c r="I168" s="615"/>
    </row>
    <row r="169" spans="1:9" s="714" customFormat="1" ht="13.65" customHeight="1">
      <c r="A169" s="780"/>
      <c r="B169" s="780"/>
      <c r="C169" s="796"/>
      <c r="D169" s="1828" t="s">
        <v>2647</v>
      </c>
      <c r="E169" s="1828"/>
      <c r="F169" s="1828"/>
      <c r="G169" s="848"/>
      <c r="I169" s="615"/>
    </row>
    <row r="170" spans="1:9" s="714" customFormat="1" ht="13.65" customHeight="1">
      <c r="A170" s="780"/>
      <c r="B170" s="780"/>
      <c r="C170" s="796"/>
      <c r="D170" s="1827"/>
      <c r="E170" s="1827"/>
      <c r="F170" s="1827"/>
      <c r="G170" s="1827"/>
      <c r="I170" s="615"/>
    </row>
    <row r="171" spans="1:9" s="714" customFormat="1" ht="14.4" customHeight="1">
      <c r="A171" s="805"/>
      <c r="B171" s="790" t="s">
        <v>2760</v>
      </c>
      <c r="C171" s="806"/>
      <c r="D171" s="1765" t="s">
        <v>1386</v>
      </c>
      <c r="E171" s="1765"/>
      <c r="F171" s="1765"/>
      <c r="G171" s="807"/>
      <c r="I171" s="615" t="s">
        <v>2205</v>
      </c>
    </row>
    <row r="172" spans="1:9" s="714" customFormat="1" ht="14.4" customHeight="1">
      <c r="A172" s="805"/>
      <c r="B172" s="805"/>
      <c r="C172" s="806"/>
      <c r="D172" s="1765"/>
      <c r="E172" s="1765"/>
      <c r="F172" s="1765"/>
      <c r="G172" s="807"/>
      <c r="I172" s="615"/>
    </row>
    <row r="173" spans="1:9" s="714" customFormat="1" ht="13.65" customHeight="1">
      <c r="A173" s="805"/>
      <c r="B173" s="805"/>
      <c r="C173" s="806"/>
      <c r="D173" s="1765"/>
      <c r="E173" s="1765"/>
      <c r="F173" s="1765"/>
      <c r="G173" s="807"/>
      <c r="I173" s="615"/>
    </row>
    <row r="174" spans="1:9" s="714" customFormat="1" ht="13.65" customHeight="1">
      <c r="A174" s="805"/>
      <c r="B174" s="805"/>
      <c r="C174" s="806"/>
      <c r="D174" s="788"/>
      <c r="E174" s="806"/>
      <c r="F174" s="806"/>
      <c r="G174" s="807"/>
      <c r="I174" s="615"/>
    </row>
    <row r="175" spans="1:9" s="714" customFormat="1" ht="13.65" customHeight="1">
      <c r="A175" s="805"/>
      <c r="B175" s="790" t="s">
        <v>2761</v>
      </c>
      <c r="C175" s="806"/>
      <c r="D175" s="1708" t="s">
        <v>1232</v>
      </c>
      <c r="E175" s="1708"/>
      <c r="F175" s="1708"/>
      <c r="G175" s="807"/>
      <c r="I175" s="615" t="s">
        <v>2211</v>
      </c>
    </row>
    <row r="176" spans="1:9" s="714" customFormat="1" ht="13.65" customHeight="1">
      <c r="A176" s="805"/>
      <c r="B176" s="805"/>
      <c r="C176" s="806"/>
      <c r="D176" s="1708"/>
      <c r="E176" s="1708"/>
      <c r="F176" s="1708"/>
      <c r="G176" s="807"/>
      <c r="I176" s="615"/>
    </row>
    <row r="177" spans="1:9" s="714" customFormat="1" ht="13.65" customHeight="1">
      <c r="A177" s="805"/>
      <c r="B177" s="805"/>
      <c r="C177" s="806"/>
      <c r="D177" s="1708"/>
      <c r="E177" s="1708"/>
      <c r="F177" s="1708"/>
      <c r="G177" s="807"/>
      <c r="I177" s="615"/>
    </row>
    <row r="178" spans="1:9" s="714" customFormat="1" ht="13.65" customHeight="1">
      <c r="A178" s="805"/>
      <c r="B178" s="805"/>
      <c r="C178" s="806"/>
      <c r="D178" s="1708"/>
      <c r="E178" s="1708"/>
      <c r="F178" s="1708"/>
      <c r="G178" s="807"/>
      <c r="I178" s="615"/>
    </row>
    <row r="179" spans="1:9" s="714" customFormat="1" ht="13.65" customHeight="1">
      <c r="A179" s="780"/>
      <c r="B179" s="780"/>
      <c r="C179" s="796"/>
      <c r="D179" s="777"/>
      <c r="E179" s="777"/>
      <c r="F179" s="777"/>
      <c r="G179" s="664"/>
      <c r="I179" s="615"/>
    </row>
    <row r="180" spans="1:9" s="714" customFormat="1" ht="13.65" customHeight="1">
      <c r="A180" s="780"/>
      <c r="B180" s="790" t="s">
        <v>2761</v>
      </c>
      <c r="C180" s="796"/>
      <c r="D180" s="1753" t="s">
        <v>2623</v>
      </c>
      <c r="E180" s="1753"/>
      <c r="F180" s="1753"/>
      <c r="G180" s="664"/>
      <c r="I180" s="615" t="s">
        <v>2212</v>
      </c>
    </row>
    <row r="181" spans="1:9" s="714" customFormat="1" ht="13.65" customHeight="1">
      <c r="A181" s="780"/>
      <c r="B181" s="780"/>
      <c r="C181" s="796"/>
      <c r="D181" s="1753"/>
      <c r="E181" s="1753"/>
      <c r="F181" s="1753"/>
      <c r="G181" s="664"/>
      <c r="I181" s="615"/>
    </row>
    <row r="182" spans="1:9" s="714" customFormat="1" ht="13.65" customHeight="1">
      <c r="A182" s="780"/>
      <c r="B182" s="780"/>
      <c r="C182" s="796"/>
      <c r="D182" s="1753"/>
      <c r="E182" s="1753"/>
      <c r="F182" s="1753"/>
      <c r="G182" s="664"/>
      <c r="I182" s="615"/>
    </row>
    <row r="183" spans="1:9" s="714" customFormat="1" ht="13.65" customHeight="1">
      <c r="A183" s="808"/>
      <c r="B183" s="808"/>
      <c r="C183" s="796"/>
      <c r="D183" s="781"/>
      <c r="E183" s="777"/>
      <c r="F183" s="777"/>
      <c r="G183" s="664"/>
      <c r="I183" s="615"/>
    </row>
    <row r="184" spans="1:9">
      <c r="A184" s="1731" t="s">
        <v>2624</v>
      </c>
      <c r="B184" s="1731"/>
      <c r="C184" s="1731"/>
      <c r="D184" s="1731"/>
      <c r="E184" s="1731"/>
      <c r="F184" s="1731"/>
      <c r="G184" s="1731"/>
      <c r="H184" s="1130"/>
      <c r="I184" s="1131"/>
    </row>
    <row r="185" spans="1:9" ht="12" customHeight="1">
      <c r="D185" s="792"/>
      <c r="E185" s="792"/>
      <c r="F185" s="792"/>
    </row>
    <row r="186" spans="1:9">
      <c r="B186" s="1819" t="s">
        <v>463</v>
      </c>
      <c r="C186" s="1819"/>
      <c r="D186" s="1819"/>
      <c r="E186" s="1819"/>
      <c r="F186" s="1819"/>
    </row>
    <row r="187" spans="1:9" s="1080" customFormat="1">
      <c r="A187" s="780"/>
      <c r="B187" s="1111" t="s">
        <v>2190</v>
      </c>
      <c r="C187" s="1111"/>
      <c r="D187" s="1111"/>
      <c r="E187" s="1111"/>
      <c r="F187" s="1111"/>
      <c r="G187" s="1079"/>
      <c r="I187" s="1082"/>
    </row>
    <row r="188" spans="1:9" ht="12" customHeight="1">
      <c r="A188" s="785"/>
      <c r="B188" s="785"/>
      <c r="C188" s="785"/>
    </row>
    <row r="189" spans="1:9">
      <c r="A189" s="1731" t="s">
        <v>1128</v>
      </c>
      <c r="B189" s="1731"/>
      <c r="C189" s="1731"/>
      <c r="D189" s="1731"/>
      <c r="E189" s="1731"/>
      <c r="F189" s="1731"/>
      <c r="G189" s="1731"/>
      <c r="H189" s="1130"/>
      <c r="I189" s="1131"/>
    </row>
    <row r="190" spans="1:9" ht="12" customHeight="1">
      <c r="A190" s="809"/>
      <c r="B190" s="809"/>
      <c r="C190" s="810"/>
      <c r="D190" s="811"/>
      <c r="E190" s="812"/>
      <c r="F190" s="811"/>
      <c r="G190" s="811"/>
    </row>
    <row r="191" spans="1:9" ht="13.65" customHeight="1">
      <c r="A191" s="809"/>
      <c r="B191" s="809"/>
      <c r="C191" s="810"/>
      <c r="D191" s="1767" t="s">
        <v>2057</v>
      </c>
      <c r="E191" s="1767"/>
      <c r="F191" s="1767"/>
      <c r="G191" s="811"/>
    </row>
    <row r="192" spans="1:9">
      <c r="A192" s="809"/>
      <c r="B192" s="809"/>
      <c r="C192" s="810"/>
      <c r="D192" s="1767"/>
      <c r="E192" s="1767"/>
      <c r="F192" s="1767"/>
      <c r="G192" s="811"/>
    </row>
    <row r="193" spans="1:9">
      <c r="A193" s="809"/>
      <c r="B193" s="809"/>
      <c r="C193" s="810"/>
      <c r="D193" s="1768" t="s">
        <v>1356</v>
      </c>
      <c r="E193" s="1768"/>
      <c r="F193" s="1768"/>
      <c r="G193" s="811"/>
    </row>
    <row r="194" spans="1:9">
      <c r="A194" s="809"/>
      <c r="B194" s="809"/>
      <c r="C194" s="810"/>
      <c r="D194" s="1026"/>
      <c r="E194" s="1026"/>
      <c r="F194" s="1026"/>
      <c r="G194" s="811"/>
    </row>
    <row r="195" spans="1:9">
      <c r="A195" s="809"/>
      <c r="B195" s="790" t="s">
        <v>2761</v>
      </c>
      <c r="C195" s="810"/>
      <c r="D195" s="1730" t="s">
        <v>2058</v>
      </c>
      <c r="E195" s="1730"/>
      <c r="F195" s="1730"/>
      <c r="G195" s="811"/>
      <c r="I195" s="1082" t="s">
        <v>2261</v>
      </c>
    </row>
    <row r="196" spans="1:9">
      <c r="A196" s="809"/>
      <c r="B196" s="809"/>
      <c r="C196" s="810"/>
      <c r="D196" s="1734" t="s">
        <v>2345</v>
      </c>
      <c r="E196" s="1734"/>
      <c r="F196" s="1734"/>
      <c r="G196" s="811"/>
    </row>
    <row r="197" spans="1:9">
      <c r="A197" s="809"/>
      <c r="B197" s="809"/>
      <c r="C197" s="810"/>
      <c r="D197" s="1042" t="s">
        <v>2059</v>
      </c>
      <c r="E197" s="1820" t="s">
        <v>2368</v>
      </c>
      <c r="F197" s="1820"/>
      <c r="G197" s="811"/>
    </row>
    <row r="198" spans="1:9">
      <c r="A198" s="809"/>
      <c r="B198" s="809"/>
      <c r="C198" s="810"/>
      <c r="D198" s="155"/>
      <c r="E198" s="155"/>
      <c r="F198" s="155"/>
      <c r="G198" s="811"/>
    </row>
    <row r="199" spans="1:9">
      <c r="A199" s="809"/>
      <c r="B199" s="790" t="s">
        <v>2761</v>
      </c>
      <c r="C199" s="810"/>
      <c r="D199" s="1734" t="s">
        <v>2060</v>
      </c>
      <c r="E199" s="1734"/>
      <c r="F199" s="1734"/>
      <c r="G199" s="811"/>
      <c r="I199" s="1082" t="s">
        <v>2262</v>
      </c>
    </row>
    <row r="200" spans="1:9">
      <c r="A200" s="809"/>
      <c r="B200" s="809"/>
      <c r="C200" s="810"/>
      <c r="D200" s="1730" t="s">
        <v>2345</v>
      </c>
      <c r="E200" s="1730"/>
      <c r="F200" s="1730"/>
      <c r="G200" s="811"/>
    </row>
    <row r="201" spans="1:9">
      <c r="A201" s="809"/>
      <c r="B201" s="809"/>
      <c r="C201" s="810"/>
      <c r="D201" s="1024" t="s">
        <v>2061</v>
      </c>
      <c r="E201" s="1820" t="s">
        <v>2369</v>
      </c>
      <c r="F201" s="1820"/>
      <c r="G201" s="811"/>
    </row>
    <row r="202" spans="1:9">
      <c r="A202" s="809"/>
      <c r="B202" s="809"/>
      <c r="C202" s="810"/>
      <c r="D202" s="155"/>
      <c r="E202" s="155"/>
      <c r="F202" s="155"/>
      <c r="G202" s="811"/>
    </row>
    <row r="203" spans="1:9">
      <c r="A203" s="809"/>
      <c r="B203" s="790" t="s">
        <v>2761</v>
      </c>
      <c r="C203" s="810"/>
      <c r="D203" s="1734" t="s">
        <v>2062</v>
      </c>
      <c r="E203" s="1734"/>
      <c r="F203" s="1734"/>
      <c r="G203" s="811"/>
      <c r="I203" s="1082" t="s">
        <v>2263</v>
      </c>
    </row>
    <row r="204" spans="1:9">
      <c r="A204" s="809"/>
      <c r="B204" s="809"/>
      <c r="C204" s="810"/>
      <c r="D204" s="1730" t="s">
        <v>2345</v>
      </c>
      <c r="E204" s="1730"/>
      <c r="F204" s="1730"/>
      <c r="G204" s="811"/>
    </row>
    <row r="205" spans="1:9">
      <c r="A205" s="809"/>
      <c r="B205" s="809"/>
      <c r="C205" s="810"/>
      <c r="D205" s="1024" t="s">
        <v>2059</v>
      </c>
      <c r="E205" s="1820" t="s">
        <v>2370</v>
      </c>
      <c r="F205" s="1820"/>
      <c r="G205" s="811"/>
    </row>
    <row r="206" spans="1:9">
      <c r="A206" s="809"/>
      <c r="B206" s="809"/>
      <c r="C206" s="810"/>
      <c r="D206" s="1026"/>
      <c r="E206" s="1026"/>
      <c r="F206" s="1026"/>
      <c r="G206" s="811"/>
    </row>
    <row r="207" spans="1:9" ht="14.25" customHeight="1">
      <c r="A207" s="789"/>
      <c r="B207" s="790" t="s">
        <v>2761</v>
      </c>
      <c r="C207" s="810"/>
      <c r="D207" s="1186" t="s">
        <v>2338</v>
      </c>
      <c r="E207" s="870"/>
      <c r="F207" s="870"/>
      <c r="G207" s="811"/>
      <c r="I207" s="1082" t="s">
        <v>2264</v>
      </c>
    </row>
    <row r="208" spans="1:9" ht="14.4">
      <c r="A208" s="789"/>
      <c r="B208" s="789"/>
      <c r="C208" s="810"/>
      <c r="D208" s="1730" t="s">
        <v>2345</v>
      </c>
      <c r="E208" s="1730"/>
      <c r="F208" s="1730"/>
      <c r="G208" s="811"/>
    </row>
    <row r="209" spans="1:9">
      <c r="A209" s="810"/>
      <c r="B209" s="810"/>
      <c r="C209" s="810"/>
      <c r="D209" s="870"/>
      <c r="E209" s="1820" t="s">
        <v>2371</v>
      </c>
      <c r="F209" s="1820"/>
    </row>
    <row r="210" spans="1:9">
      <c r="A210" s="810"/>
      <c r="B210" s="810"/>
      <c r="C210" s="810"/>
      <c r="D210" s="795"/>
      <c r="E210" s="811"/>
      <c r="F210" s="811"/>
    </row>
    <row r="211" spans="1:9">
      <c r="A211" s="810"/>
      <c r="B211" s="790" t="s">
        <v>2761</v>
      </c>
      <c r="C211" s="810"/>
      <c r="D211" s="1734" t="s">
        <v>2063</v>
      </c>
      <c r="E211" s="1734"/>
      <c r="F211" s="1734"/>
      <c r="I211" s="1082" t="s">
        <v>2265</v>
      </c>
    </row>
    <row r="212" spans="1:9">
      <c r="A212" s="810"/>
      <c r="B212" s="810"/>
      <c r="C212" s="810"/>
      <c r="D212" s="1730" t="s">
        <v>2345</v>
      </c>
      <c r="E212" s="1730"/>
      <c r="F212" s="1730"/>
    </row>
    <row r="213" spans="1:9">
      <c r="A213" s="810"/>
      <c r="B213" s="810"/>
      <c r="C213" s="810"/>
      <c r="D213" s="1024" t="s">
        <v>2059</v>
      </c>
      <c r="E213" s="1820" t="s">
        <v>2372</v>
      </c>
      <c r="F213" s="1820"/>
    </row>
    <row r="214" spans="1:9">
      <c r="A214" s="810"/>
      <c r="B214" s="810"/>
      <c r="C214" s="810"/>
      <c r="D214" s="771"/>
      <c r="E214" s="771"/>
      <c r="F214" s="771"/>
    </row>
    <row r="215" spans="1:9" s="611" customFormat="1" ht="14.4">
      <c r="A215" s="789"/>
      <c r="B215" s="790" t="s">
        <v>2761</v>
      </c>
      <c r="C215" s="798"/>
      <c r="D215" s="1766" t="s">
        <v>1378</v>
      </c>
      <c r="E215" s="1766"/>
      <c r="F215" s="1766"/>
      <c r="G215" s="685"/>
      <c r="I215" s="635"/>
    </row>
    <row r="216" spans="1:9" s="611" customFormat="1" ht="14.4" customHeight="1">
      <c r="A216" s="789"/>
      <c r="C216" s="798"/>
      <c r="D216" s="1766"/>
      <c r="E216" s="1766"/>
      <c r="F216" s="1766"/>
      <c r="G216" s="685"/>
      <c r="I216" s="635"/>
    </row>
    <row r="217" spans="1:9" s="611" customFormat="1" ht="14.4">
      <c r="A217" s="789"/>
      <c r="B217" s="810"/>
      <c r="C217" s="798"/>
      <c r="D217" s="1766"/>
      <c r="E217" s="1766"/>
      <c r="F217" s="1766"/>
      <c r="G217" s="685"/>
      <c r="I217" s="635"/>
    </row>
    <row r="218" spans="1:9" s="611" customFormat="1" ht="14.4">
      <c r="A218" s="789"/>
      <c r="B218" s="810"/>
      <c r="C218" s="798"/>
      <c r="D218" s="1766"/>
      <c r="E218" s="1766"/>
      <c r="F218" s="1766"/>
      <c r="G218" s="685"/>
      <c r="I218" s="635"/>
    </row>
    <row r="219" spans="1:9">
      <c r="A219" s="810"/>
      <c r="B219" s="810"/>
      <c r="C219" s="810"/>
      <c r="D219" s="771"/>
      <c r="E219" s="771"/>
      <c r="F219" s="771"/>
    </row>
    <row r="220" spans="1:9">
      <c r="A220" s="1731" t="s">
        <v>1129</v>
      </c>
      <c r="B220" s="1731"/>
      <c r="C220" s="1731"/>
      <c r="D220" s="1731"/>
      <c r="E220" s="1731"/>
      <c r="F220" s="1731"/>
      <c r="G220" s="1731"/>
      <c r="H220" s="1130"/>
      <c r="I220" s="1131"/>
    </row>
    <row r="221" spans="1:9" ht="12" customHeight="1">
      <c r="D221" s="792"/>
      <c r="E221" s="792"/>
      <c r="F221" s="792"/>
    </row>
    <row r="222" spans="1:9">
      <c r="C222" s="799"/>
      <c r="D222" s="1818" t="s">
        <v>213</v>
      </c>
      <c r="E222" s="1818"/>
      <c r="F222" s="1818"/>
    </row>
    <row r="223" spans="1:9">
      <c r="A223" s="785"/>
      <c r="B223" s="785"/>
      <c r="C223" s="785"/>
      <c r="D223" s="1804" t="s">
        <v>1258</v>
      </c>
      <c r="E223" s="1804"/>
      <c r="F223" s="1804"/>
    </row>
    <row r="224" spans="1:9" ht="12" customHeight="1">
      <c r="A224" s="808"/>
      <c r="B224" s="808"/>
      <c r="C224" s="808"/>
    </row>
    <row r="225" spans="1:9" ht="13.65" customHeight="1">
      <c r="A225" s="808"/>
      <c r="C225" s="808"/>
      <c r="D225" s="1721" t="s">
        <v>570</v>
      </c>
      <c r="E225" s="1721"/>
      <c r="F225" s="1721"/>
      <c r="I225" s="1082" t="s">
        <v>2213</v>
      </c>
    </row>
    <row r="226" spans="1:9" ht="14.4">
      <c r="A226" s="789"/>
      <c r="B226" s="790" t="s">
        <v>2760</v>
      </c>
      <c r="D226" s="1766" t="s">
        <v>2064</v>
      </c>
      <c r="E226" s="1766"/>
      <c r="F226" s="1766"/>
    </row>
    <row r="227" spans="1:9" ht="14.25" customHeight="1">
      <c r="A227" s="789"/>
      <c r="B227" s="789"/>
      <c r="D227" s="1766"/>
      <c r="E227" s="1766"/>
      <c r="F227" s="1766"/>
    </row>
    <row r="228" spans="1:9" ht="14.25" customHeight="1">
      <c r="A228" s="789"/>
      <c r="B228" s="789"/>
      <c r="D228" s="1766"/>
      <c r="E228" s="1766"/>
      <c r="F228" s="1766"/>
    </row>
    <row r="229" spans="1:9" ht="14.4">
      <c r="A229" s="789"/>
      <c r="B229" s="789"/>
      <c r="D229" s="1766"/>
      <c r="E229" s="1766"/>
      <c r="F229" s="1766"/>
    </row>
    <row r="230" spans="1:9" ht="14.4">
      <c r="A230" s="789"/>
      <c r="B230" s="789"/>
      <c r="D230" s="1025"/>
      <c r="E230" s="1025"/>
      <c r="F230" s="1025"/>
    </row>
    <row r="231" spans="1:9" ht="14.4">
      <c r="A231" s="789"/>
      <c r="B231" s="790" t="s">
        <v>2760</v>
      </c>
      <c r="D231" s="1766" t="s">
        <v>2065</v>
      </c>
      <c r="E231" s="1766"/>
      <c r="F231" s="1766"/>
      <c r="I231" s="1082" t="s">
        <v>2214</v>
      </c>
    </row>
    <row r="232" spans="1:9" ht="14.4">
      <c r="A232" s="789"/>
      <c r="B232" s="789"/>
      <c r="D232" s="1766"/>
      <c r="E232" s="1766"/>
      <c r="F232" s="1766"/>
    </row>
    <row r="233" spans="1:9" ht="14.4">
      <c r="A233" s="789"/>
      <c r="B233" s="789"/>
      <c r="D233" s="1766"/>
      <c r="E233" s="1766"/>
      <c r="F233" s="1766"/>
    </row>
    <row r="234" spans="1:9" ht="14.4">
      <c r="A234" s="789"/>
      <c r="B234" s="789"/>
      <c r="D234" s="1766"/>
      <c r="E234" s="1766"/>
      <c r="F234" s="1766"/>
    </row>
    <row r="235" spans="1:9" ht="14.25" customHeight="1">
      <c r="A235" s="789"/>
      <c r="B235" s="789"/>
      <c r="D235" s="1766"/>
      <c r="E235" s="1766"/>
      <c r="F235" s="1766"/>
    </row>
    <row r="236" spans="1:9" ht="14.25" customHeight="1">
      <c r="A236" s="789"/>
      <c r="B236" s="789"/>
      <c r="D236" s="1025"/>
      <c r="E236" s="1025"/>
      <c r="F236" s="1025"/>
    </row>
    <row r="237" spans="1:9" ht="14.4">
      <c r="A237" s="789"/>
      <c r="B237" s="789"/>
      <c r="D237" s="1766" t="s">
        <v>1254</v>
      </c>
      <c r="E237" s="1766"/>
      <c r="F237" s="1766"/>
      <c r="I237" s="1082" t="s">
        <v>2213</v>
      </c>
    </row>
    <row r="238" spans="1:9" ht="14.4">
      <c r="A238" s="789"/>
      <c r="B238" s="789"/>
      <c r="D238" s="1766"/>
      <c r="E238" s="1766"/>
      <c r="F238" s="1766"/>
    </row>
    <row r="239" spans="1:9" ht="14.4">
      <c r="A239" s="789"/>
      <c r="B239" s="789"/>
      <c r="D239" s="1766"/>
      <c r="E239" s="1766"/>
      <c r="F239" s="1766"/>
    </row>
    <row r="240" spans="1:9" ht="14.4">
      <c r="A240" s="789"/>
      <c r="B240" s="789"/>
      <c r="D240" s="1766"/>
      <c r="E240" s="1766"/>
      <c r="F240" s="1766"/>
    </row>
    <row r="241" spans="1:9" ht="14.4">
      <c r="A241" s="789"/>
      <c r="B241" s="789"/>
      <c r="D241" s="1766"/>
      <c r="E241" s="1766"/>
      <c r="F241" s="1766"/>
    </row>
    <row r="242" spans="1:9" ht="14.4">
      <c r="A242" s="789"/>
      <c r="B242" s="789"/>
      <c r="D242" s="792"/>
      <c r="E242" s="792"/>
      <c r="F242" s="792"/>
    </row>
    <row r="243" spans="1:9" ht="14.4">
      <c r="A243" s="789"/>
      <c r="B243" s="790" t="s">
        <v>2760</v>
      </c>
      <c r="D243" s="1802" t="s">
        <v>2625</v>
      </c>
      <c r="E243" s="1802"/>
      <c r="F243" s="1802"/>
      <c r="I243" s="1082" t="s">
        <v>2252</v>
      </c>
    </row>
    <row r="244" spans="1:9" ht="14.4">
      <c r="A244" s="789"/>
      <c r="B244" s="789"/>
      <c r="D244" s="1802"/>
      <c r="E244" s="1802"/>
      <c r="F244" s="1802"/>
    </row>
    <row r="245" spans="1:9" ht="14.4">
      <c r="A245" s="789"/>
      <c r="B245" s="789"/>
      <c r="D245" s="1802"/>
      <c r="E245" s="1802"/>
      <c r="F245" s="1802"/>
    </row>
    <row r="246" spans="1:9" ht="14.4">
      <c r="A246" s="789"/>
      <c r="B246" s="789"/>
      <c r="E246" s="1187" t="s">
        <v>2339</v>
      </c>
    </row>
    <row r="247" spans="1:9" ht="14.4">
      <c r="A247" s="789"/>
      <c r="B247" s="789"/>
      <c r="D247" s="792"/>
      <c r="E247" s="792"/>
      <c r="F247" s="792"/>
    </row>
    <row r="248" spans="1:9" ht="14.4" customHeight="1">
      <c r="A248" s="789"/>
      <c r="B248" s="790" t="s">
        <v>2761</v>
      </c>
      <c r="D248" s="1802" t="s">
        <v>2626</v>
      </c>
      <c r="E248" s="1802"/>
      <c r="F248" s="1802"/>
      <c r="I248" s="1082" t="s">
        <v>2270</v>
      </c>
    </row>
    <row r="249" spans="1:9" ht="14.4">
      <c r="A249" s="789"/>
      <c r="B249" s="789"/>
      <c r="D249" s="1802"/>
      <c r="E249" s="1802"/>
      <c r="F249" s="1802"/>
    </row>
    <row r="250" spans="1:9" ht="14.4">
      <c r="A250" s="789"/>
      <c r="B250" s="789"/>
      <c r="D250" s="1802"/>
      <c r="E250" s="1802"/>
      <c r="F250" s="1802"/>
    </row>
    <row r="251" spans="1:9" ht="14.4">
      <c r="A251" s="789"/>
      <c r="B251" s="789"/>
      <c r="D251" s="1802"/>
      <c r="E251" s="1802"/>
      <c r="F251" s="1802"/>
    </row>
    <row r="252" spans="1:9" ht="14.4">
      <c r="A252" s="789"/>
      <c r="B252" s="789"/>
      <c r="D252" s="1802"/>
      <c r="E252" s="1802"/>
      <c r="F252" s="1802"/>
    </row>
    <row r="253" spans="1:9" ht="14.4">
      <c r="A253" s="789"/>
      <c r="B253" s="789"/>
      <c r="D253" s="1036"/>
      <c r="E253" s="1036"/>
      <c r="F253" s="1036"/>
    </row>
    <row r="254" spans="1:9" ht="14.4">
      <c r="A254" s="789"/>
      <c r="B254" s="790" t="s">
        <v>2760</v>
      </c>
      <c r="D254" s="1035" t="s">
        <v>2627</v>
      </c>
      <c r="E254" s="1036"/>
      <c r="F254" s="1036"/>
      <c r="I254" s="1082" t="s">
        <v>2251</v>
      </c>
    </row>
    <row r="255" spans="1:9" ht="14.4">
      <c r="A255" s="789"/>
      <c r="B255" s="789"/>
      <c r="E255" s="1187" t="s">
        <v>2340</v>
      </c>
    </row>
    <row r="256" spans="1:9">
      <c r="D256" s="792"/>
      <c r="E256" s="792"/>
      <c r="F256" s="792"/>
    </row>
    <row r="257" spans="1:9" ht="14.4">
      <c r="A257" s="789"/>
      <c r="B257" s="790" t="s">
        <v>2760</v>
      </c>
      <c r="D257" s="1766" t="s">
        <v>1256</v>
      </c>
      <c r="E257" s="1766"/>
      <c r="F257" s="1766"/>
    </row>
    <row r="258" spans="1:9" ht="14.4">
      <c r="A258" s="789"/>
      <c r="B258" s="789"/>
      <c r="D258" s="1766"/>
      <c r="E258" s="1766"/>
      <c r="F258" s="1766"/>
    </row>
    <row r="259" spans="1:9">
      <c r="D259" s="813"/>
    </row>
    <row r="260" spans="1:9">
      <c r="A260" s="1731" t="s">
        <v>1130</v>
      </c>
      <c r="B260" s="1731"/>
      <c r="C260" s="1731"/>
      <c r="D260" s="1731"/>
      <c r="E260" s="1731"/>
      <c r="F260" s="1731"/>
      <c r="G260" s="1731"/>
      <c r="H260" s="1130"/>
      <c r="I260" s="1131"/>
    </row>
    <row r="261" spans="1:9">
      <c r="D261" s="813"/>
    </row>
    <row r="262" spans="1:9">
      <c r="C262" s="799"/>
      <c r="D262" s="1721" t="s">
        <v>1259</v>
      </c>
      <c r="E262" s="1721"/>
      <c r="F262" s="1721"/>
    </row>
    <row r="263" spans="1:9">
      <c r="A263" s="785"/>
      <c r="B263" s="785"/>
      <c r="C263" s="785"/>
      <c r="D263" s="792"/>
      <c r="E263" s="792"/>
      <c r="F263" s="792"/>
    </row>
    <row r="264" spans="1:9">
      <c r="A264" s="787"/>
      <c r="B264" s="787"/>
      <c r="C264" s="787"/>
      <c r="D264" s="1721" t="s">
        <v>274</v>
      </c>
      <c r="E264" s="1721"/>
      <c r="F264" s="1721"/>
      <c r="I264" s="1082" t="s">
        <v>2253</v>
      </c>
    </row>
    <row r="265" spans="1:9" ht="14.4" customHeight="1">
      <c r="A265" s="789"/>
      <c r="B265" s="790" t="s">
        <v>2760</v>
      </c>
      <c r="D265" s="1834" t="s">
        <v>1357</v>
      </c>
      <c r="E265" s="1834"/>
      <c r="F265" s="1834"/>
    </row>
    <row r="266" spans="1:9">
      <c r="D266" s="1834"/>
      <c r="E266" s="1834"/>
      <c r="F266" s="1834"/>
    </row>
    <row r="267" spans="1:9">
      <c r="E267" s="1187" t="s">
        <v>2341</v>
      </c>
    </row>
    <row r="268" spans="1:9">
      <c r="D268" s="792"/>
      <c r="E268" s="792"/>
      <c r="F268" s="792"/>
    </row>
    <row r="269" spans="1:9" ht="14.4" customHeight="1">
      <c r="A269" s="789"/>
      <c r="B269" s="790" t="s">
        <v>2761</v>
      </c>
      <c r="D269" s="1802" t="s">
        <v>2628</v>
      </c>
      <c r="E269" s="1802"/>
      <c r="F269" s="1802"/>
      <c r="I269" s="1082" t="s">
        <v>2271</v>
      </c>
    </row>
    <row r="270" spans="1:9">
      <c r="D270" s="1802"/>
      <c r="E270" s="1802"/>
      <c r="F270" s="1802"/>
    </row>
    <row r="271" spans="1:9">
      <c r="D271" s="1802"/>
      <c r="E271" s="1802"/>
      <c r="F271" s="1802"/>
    </row>
    <row r="272" spans="1:9">
      <c r="D272" s="1802"/>
      <c r="E272" s="1802"/>
      <c r="F272" s="1802"/>
    </row>
    <row r="273" spans="1:9">
      <c r="D273" s="1802"/>
      <c r="E273" s="1802"/>
      <c r="F273" s="1802"/>
    </row>
    <row r="274" spans="1:9">
      <c r="D274" s="1802"/>
      <c r="E274" s="1802"/>
      <c r="F274" s="1802"/>
    </row>
    <row r="275" spans="1:9">
      <c r="D275" s="792"/>
      <c r="E275" s="792"/>
      <c r="F275" s="792"/>
    </row>
    <row r="276" spans="1:9" ht="14.4">
      <c r="A276" s="789"/>
      <c r="B276" s="790" t="s">
        <v>2761</v>
      </c>
      <c r="D276" s="1766" t="s">
        <v>1262</v>
      </c>
      <c r="E276" s="1766"/>
      <c r="F276" s="1766"/>
    </row>
    <row r="277" spans="1:9">
      <c r="D277" s="1766"/>
      <c r="E277" s="1766"/>
      <c r="F277" s="1766"/>
    </row>
    <row r="278" spans="1:9">
      <c r="D278" s="1766"/>
      <c r="E278" s="1766"/>
      <c r="F278" s="1766"/>
    </row>
    <row r="279" spans="1:9">
      <c r="D279" s="814"/>
      <c r="E279" s="792"/>
      <c r="F279" s="792"/>
    </row>
    <row r="280" spans="1:9">
      <c r="A280" s="1731" t="s">
        <v>1131</v>
      </c>
      <c r="B280" s="1731"/>
      <c r="C280" s="1731"/>
      <c r="D280" s="1731"/>
      <c r="E280" s="1731"/>
      <c r="F280" s="1731"/>
      <c r="G280" s="1731"/>
      <c r="H280" s="1130"/>
      <c r="I280" s="1131"/>
    </row>
    <row r="281" spans="1:9">
      <c r="D281" s="814"/>
      <c r="E281" s="792"/>
      <c r="F281" s="792"/>
    </row>
    <row r="282" spans="1:9">
      <c r="C282" s="785"/>
      <c r="D282" s="1803" t="s">
        <v>1264</v>
      </c>
      <c r="E282" s="1803"/>
      <c r="F282" s="1803"/>
    </row>
    <row r="283" spans="1:9">
      <c r="C283" s="785"/>
      <c r="D283" s="1803"/>
      <c r="E283" s="1803"/>
      <c r="F283" s="1803"/>
    </row>
    <row r="284" spans="1:9">
      <c r="A284" s="787"/>
      <c r="B284" s="787"/>
      <c r="C284" s="787"/>
      <c r="D284" s="615"/>
      <c r="E284" s="664"/>
      <c r="F284" s="664"/>
    </row>
    <row r="285" spans="1:9">
      <c r="C285" s="787"/>
      <c r="D285" s="1721" t="s">
        <v>214</v>
      </c>
      <c r="E285" s="1721"/>
      <c r="F285" s="1721"/>
    </row>
    <row r="286" spans="1:9" ht="15.75" customHeight="1">
      <c r="A286" s="789"/>
      <c r="B286" s="789"/>
      <c r="D286" s="1813" t="s">
        <v>1265</v>
      </c>
      <c r="E286" s="1813"/>
      <c r="F286" s="1813"/>
    </row>
    <row r="287" spans="1:9">
      <c r="E287" s="792"/>
      <c r="F287" s="792"/>
    </row>
    <row r="288" spans="1:9" ht="14.4">
      <c r="A288" s="789"/>
      <c r="B288" s="790" t="s">
        <v>2761</v>
      </c>
      <c r="D288" s="1766" t="s">
        <v>1266</v>
      </c>
      <c r="E288" s="1766"/>
      <c r="F288" s="1766"/>
      <c r="I288" s="1082" t="s">
        <v>2215</v>
      </c>
    </row>
    <row r="289" spans="1:9" ht="14.4">
      <c r="A289" s="789"/>
      <c r="B289" s="789"/>
      <c r="D289" s="1766"/>
      <c r="E289" s="1766"/>
      <c r="F289" s="1766"/>
    </row>
    <row r="290" spans="1:9">
      <c r="D290" s="792"/>
      <c r="E290" s="792"/>
      <c r="F290" s="792"/>
    </row>
    <row r="291" spans="1:9" ht="14.4">
      <c r="A291" s="789"/>
      <c r="B291" s="790" t="s">
        <v>2761</v>
      </c>
      <c r="D291" s="1802" t="s">
        <v>1267</v>
      </c>
      <c r="E291" s="1802"/>
      <c r="F291" s="1802"/>
      <c r="I291" s="1082" t="s">
        <v>2215</v>
      </c>
    </row>
    <row r="292" spans="1:9" ht="14.4">
      <c r="A292" s="789"/>
      <c r="B292" s="789"/>
      <c r="D292" s="1802"/>
      <c r="E292" s="1802"/>
      <c r="F292" s="1802"/>
    </row>
    <row r="293" spans="1:9" ht="14.4">
      <c r="A293" s="789"/>
      <c r="B293" s="789"/>
      <c r="D293" s="1802"/>
      <c r="E293" s="1802"/>
      <c r="F293" s="1802"/>
    </row>
    <row r="294" spans="1:9">
      <c r="D294" s="792"/>
      <c r="E294" s="792"/>
      <c r="F294" s="792"/>
    </row>
    <row r="295" spans="1:9" ht="14.4">
      <c r="A295" s="789"/>
      <c r="B295" s="790" t="s">
        <v>2761</v>
      </c>
      <c r="D295" s="1766" t="s">
        <v>1268</v>
      </c>
      <c r="E295" s="1766"/>
      <c r="F295" s="1766"/>
      <c r="I295" s="1082" t="s">
        <v>2215</v>
      </c>
    </row>
    <row r="296" spans="1:9" ht="14.4">
      <c r="A296" s="789"/>
      <c r="B296" s="789"/>
      <c r="D296" s="1766"/>
      <c r="E296" s="1766"/>
      <c r="F296" s="1766"/>
    </row>
    <row r="297" spans="1:9">
      <c r="A297" s="808"/>
      <c r="B297" s="808"/>
      <c r="E297" s="792"/>
      <c r="F297" s="792"/>
    </row>
    <row r="298" spans="1:9">
      <c r="A298" s="1731" t="s">
        <v>1132</v>
      </c>
      <c r="B298" s="1731"/>
      <c r="C298" s="1731"/>
      <c r="D298" s="1731"/>
      <c r="E298" s="1731"/>
      <c r="F298" s="1731"/>
      <c r="G298" s="1731"/>
      <c r="H298" s="1130"/>
      <c r="I298" s="1131"/>
    </row>
    <row r="299" spans="1:9">
      <c r="A299" s="808"/>
      <c r="B299" s="808"/>
      <c r="D299" s="792"/>
      <c r="E299" s="792"/>
      <c r="F299" s="792"/>
    </row>
    <row r="300" spans="1:9">
      <c r="C300" s="808"/>
      <c r="D300" s="1721" t="s">
        <v>707</v>
      </c>
      <c r="E300" s="1721"/>
      <c r="F300" s="1721"/>
    </row>
    <row r="301" spans="1:9">
      <c r="C301" s="808"/>
      <c r="D301" s="1771" t="s">
        <v>1269</v>
      </c>
      <c r="E301" s="1771"/>
      <c r="F301" s="1771"/>
    </row>
    <row r="302" spans="1:9">
      <c r="C302" s="808"/>
      <c r="D302" s="815"/>
    </row>
    <row r="303" spans="1:9">
      <c r="A303" s="793"/>
      <c r="B303" s="790" t="s">
        <v>2761</v>
      </c>
      <c r="D303" s="1771" t="s">
        <v>1270</v>
      </c>
      <c r="E303" s="1771"/>
      <c r="F303" s="1771"/>
      <c r="I303" s="1082" t="s">
        <v>2216</v>
      </c>
    </row>
    <row r="304" spans="1:9" s="783" customFormat="1" ht="14.4">
      <c r="A304" s="797"/>
      <c r="B304" s="797"/>
      <c r="C304" s="793"/>
      <c r="D304" s="816"/>
      <c r="E304" s="817"/>
      <c r="F304" s="817"/>
      <c r="G304" s="794"/>
      <c r="I304" s="1114"/>
    </row>
    <row r="305" spans="1:9" s="783" customFormat="1" ht="13.65" customHeight="1">
      <c r="A305" s="793"/>
      <c r="B305" s="790" t="s">
        <v>2761</v>
      </c>
      <c r="C305" s="793"/>
      <c r="D305" s="1808" t="s">
        <v>1382</v>
      </c>
      <c r="E305" s="1808"/>
      <c r="F305" s="1808"/>
      <c r="G305" s="794"/>
      <c r="I305" s="1114" t="s">
        <v>2216</v>
      </c>
    </row>
    <row r="306" spans="1:9" s="783" customFormat="1" ht="14.4">
      <c r="A306" s="797"/>
      <c r="B306" s="797"/>
      <c r="C306" s="793"/>
      <c r="D306" s="1808"/>
      <c r="E306" s="1808"/>
      <c r="F306" s="1808"/>
      <c r="G306" s="794"/>
      <c r="I306" s="1114"/>
    </row>
    <row r="307" spans="1:9" s="783" customFormat="1" ht="14.4">
      <c r="A307" s="797"/>
      <c r="B307" s="797"/>
      <c r="C307" s="793"/>
      <c r="D307" s="1808"/>
      <c r="E307" s="1808"/>
      <c r="F307" s="1808"/>
      <c r="G307" s="794"/>
      <c r="I307" s="1114"/>
    </row>
    <row r="308" spans="1:9" s="783" customFormat="1" ht="14.4">
      <c r="A308" s="797"/>
      <c r="B308" s="797"/>
      <c r="C308" s="793"/>
      <c r="D308" s="1808"/>
      <c r="E308" s="1808"/>
      <c r="F308" s="1808"/>
      <c r="G308" s="794"/>
      <c r="I308" s="1114"/>
    </row>
    <row r="309" spans="1:9" s="783" customFormat="1" ht="14.4">
      <c r="A309" s="797"/>
      <c r="B309" s="797"/>
      <c r="C309" s="793"/>
      <c r="D309" s="1808"/>
      <c r="E309" s="1808"/>
      <c r="F309" s="1808"/>
      <c r="G309" s="794"/>
      <c r="I309" s="1114"/>
    </row>
    <row r="310" spans="1:9" s="783" customFormat="1" ht="14.4">
      <c r="A310" s="797"/>
      <c r="B310" s="797"/>
      <c r="C310" s="793"/>
      <c r="D310" s="816"/>
      <c r="E310" s="817"/>
      <c r="F310" s="817"/>
      <c r="G310" s="794"/>
      <c r="I310" s="1114"/>
    </row>
    <row r="311" spans="1:9" s="783" customFormat="1" ht="13.65" customHeight="1">
      <c r="A311" s="793"/>
      <c r="B311" s="790" t="s">
        <v>2761</v>
      </c>
      <c r="C311" s="793"/>
      <c r="D311" s="1808" t="s">
        <v>1272</v>
      </c>
      <c r="E311" s="1808"/>
      <c r="F311" s="1808"/>
      <c r="G311" s="794"/>
      <c r="I311" s="1114" t="s">
        <v>2216</v>
      </c>
    </row>
    <row r="312" spans="1:9" s="783" customFormat="1">
      <c r="A312" s="793"/>
      <c r="B312" s="793"/>
      <c r="C312" s="793"/>
      <c r="D312" s="1808"/>
      <c r="E312" s="1808"/>
      <c r="F312" s="1808"/>
      <c r="G312" s="794"/>
      <c r="I312" s="1114"/>
    </row>
    <row r="313" spans="1:9" s="783" customFormat="1" ht="14.4">
      <c r="A313" s="797"/>
      <c r="B313" s="797"/>
      <c r="C313" s="793"/>
      <c r="D313" s="816"/>
      <c r="E313" s="817"/>
      <c r="F313" s="817"/>
      <c r="G313" s="794"/>
      <c r="I313" s="1114"/>
    </row>
    <row r="314" spans="1:9">
      <c r="A314" s="793"/>
      <c r="B314" s="790" t="s">
        <v>2761</v>
      </c>
      <c r="D314" s="1771" t="s">
        <v>1273</v>
      </c>
      <c r="E314" s="1771"/>
      <c r="F314" s="1771"/>
      <c r="I314" s="1082" t="s">
        <v>2202</v>
      </c>
    </row>
    <row r="315" spans="1:9">
      <c r="E315" s="792"/>
      <c r="F315" s="792"/>
    </row>
    <row r="316" spans="1:9" ht="14.4">
      <c r="A316" s="789"/>
      <c r="B316" s="790" t="s">
        <v>2761</v>
      </c>
      <c r="D316" s="1802" t="s">
        <v>2648</v>
      </c>
      <c r="E316" s="1802"/>
      <c r="F316" s="1802"/>
      <c r="I316" s="1082" t="s">
        <v>2217</v>
      </c>
    </row>
    <row r="317" spans="1:9" ht="14.4">
      <c r="A317" s="789"/>
      <c r="B317" s="789"/>
      <c r="D317" s="1802"/>
      <c r="E317" s="1802"/>
      <c r="F317" s="1802"/>
    </row>
    <row r="318" spans="1:9" ht="14.4">
      <c r="A318" s="789"/>
      <c r="B318" s="789"/>
      <c r="D318" s="1802"/>
      <c r="E318" s="1802"/>
      <c r="F318" s="1802"/>
    </row>
    <row r="319" spans="1:9" ht="14.4">
      <c r="A319" s="789"/>
      <c r="B319" s="789"/>
      <c r="D319" s="1802"/>
      <c r="E319" s="1802"/>
      <c r="F319" s="1802"/>
    </row>
    <row r="320" spans="1:9" ht="14.4">
      <c r="A320" s="789"/>
      <c r="B320" s="789"/>
      <c r="D320" s="1802"/>
      <c r="E320" s="1802"/>
      <c r="F320" s="1802"/>
    </row>
    <row r="321" spans="1:9" ht="14.4">
      <c r="A321" s="789"/>
      <c r="B321" s="789"/>
      <c r="D321" s="1802"/>
      <c r="E321" s="1802"/>
      <c r="F321" s="1802"/>
    </row>
    <row r="322" spans="1:9" ht="14.4">
      <c r="A322" s="789"/>
      <c r="B322" s="789"/>
      <c r="D322" s="1802"/>
      <c r="E322" s="1802"/>
      <c r="F322" s="1802"/>
    </row>
    <row r="323" spans="1:9" ht="14.4">
      <c r="A323" s="789"/>
      <c r="B323" s="789"/>
      <c r="D323" s="1802"/>
      <c r="E323" s="1802"/>
      <c r="F323" s="1802"/>
    </row>
    <row r="324" spans="1:9" ht="14.4">
      <c r="A324" s="789"/>
      <c r="B324" s="789"/>
      <c r="D324" s="1802"/>
      <c r="E324" s="1802"/>
      <c r="F324" s="1802"/>
    </row>
    <row r="325" spans="1:9" ht="14.4">
      <c r="A325" s="789"/>
      <c r="B325" s="789"/>
      <c r="D325" s="1802"/>
      <c r="E325" s="1802"/>
      <c r="F325" s="1802"/>
    </row>
    <row r="326" spans="1:9" ht="14.4">
      <c r="A326" s="789"/>
      <c r="B326" s="789"/>
      <c r="D326" s="1802"/>
      <c r="E326" s="1802"/>
      <c r="F326" s="1802"/>
    </row>
    <row r="327" spans="1:9" ht="14.4">
      <c r="A327" s="789"/>
      <c r="B327" s="789"/>
      <c r="D327" s="1802"/>
      <c r="E327" s="1802"/>
      <c r="F327" s="1802"/>
    </row>
    <row r="328" spans="1:9" ht="14.4">
      <c r="A328" s="789"/>
      <c r="B328" s="789"/>
      <c r="D328" s="1802"/>
      <c r="E328" s="1802"/>
      <c r="F328" s="1802"/>
    </row>
    <row r="329" spans="1:9" ht="14.4">
      <c r="A329" s="789"/>
      <c r="B329" s="789"/>
      <c r="D329" s="1802"/>
      <c r="E329" s="1802"/>
      <c r="F329" s="1802"/>
    </row>
    <row r="330" spans="1:9" ht="14.4">
      <c r="A330" s="789"/>
      <c r="B330" s="789"/>
      <c r="D330" s="1802"/>
      <c r="E330" s="1802"/>
      <c r="F330" s="1802"/>
    </row>
    <row r="331" spans="1:9">
      <c r="D331" s="792"/>
      <c r="E331" s="792"/>
      <c r="F331" s="792"/>
    </row>
    <row r="332" spans="1:9" ht="14.4">
      <c r="A332" s="789"/>
      <c r="B332" s="790" t="s">
        <v>2761</v>
      </c>
      <c r="D332" s="1802" t="s">
        <v>1275</v>
      </c>
      <c r="E332" s="1802"/>
      <c r="F332" s="1802"/>
      <c r="I332" s="1082" t="s">
        <v>2217</v>
      </c>
    </row>
    <row r="333" spans="1:9">
      <c r="D333" s="1802"/>
      <c r="E333" s="1802"/>
      <c r="F333" s="1802"/>
    </row>
    <row r="334" spans="1:9">
      <c r="D334" s="1802"/>
      <c r="E334" s="1802"/>
      <c r="F334" s="1802"/>
    </row>
    <row r="335" spans="1:9">
      <c r="D335" s="1802"/>
      <c r="E335" s="1802"/>
      <c r="F335" s="1802"/>
    </row>
    <row r="336" spans="1:9">
      <c r="D336" s="1802"/>
      <c r="E336" s="1802"/>
      <c r="F336" s="1802"/>
    </row>
    <row r="337" spans="1:9">
      <c r="D337" s="1802"/>
      <c r="E337" s="1802"/>
      <c r="F337" s="1802"/>
    </row>
    <row r="338" spans="1:9">
      <c r="D338" s="1802"/>
      <c r="E338" s="1802"/>
      <c r="F338" s="1802"/>
    </row>
    <row r="339" spans="1:9">
      <c r="D339" s="1802"/>
      <c r="E339" s="1802"/>
      <c r="F339" s="1802"/>
    </row>
    <row r="340" spans="1:9">
      <c r="D340" s="1802"/>
      <c r="E340" s="1802"/>
      <c r="F340" s="1802"/>
    </row>
    <row r="341" spans="1:9">
      <c r="D341" s="792"/>
      <c r="E341" s="792"/>
      <c r="F341" s="792"/>
    </row>
    <row r="342" spans="1:9" ht="14.25" customHeight="1">
      <c r="A342" s="789"/>
      <c r="B342" s="790" t="s">
        <v>2761</v>
      </c>
      <c r="D342" s="1766" t="s">
        <v>2346</v>
      </c>
      <c r="E342" s="1766"/>
      <c r="F342" s="1766"/>
      <c r="I342" s="1082" t="s">
        <v>2254</v>
      </c>
    </row>
    <row r="343" spans="1:9">
      <c r="D343" s="1766"/>
      <c r="E343" s="1766"/>
      <c r="F343" s="1766"/>
      <c r="G343" s="782"/>
    </row>
    <row r="344" spans="1:9">
      <c r="D344" s="1766"/>
      <c r="E344" s="1766"/>
      <c r="F344" s="1766"/>
      <c r="G344" s="782"/>
    </row>
    <row r="345" spans="1:9">
      <c r="D345" s="1766"/>
      <c r="E345" s="1766"/>
      <c r="F345" s="1766"/>
      <c r="G345" s="782"/>
    </row>
    <row r="346" spans="1:9">
      <c r="D346" s="1186" t="s">
        <v>2345</v>
      </c>
      <c r="E346" s="870"/>
      <c r="F346" s="870"/>
      <c r="G346" s="782"/>
    </row>
    <row r="347" spans="1:9">
      <c r="D347" s="870"/>
      <c r="E347" s="1042" t="s">
        <v>2342</v>
      </c>
      <c r="G347" s="1042"/>
    </row>
    <row r="348" spans="1:9" s="1080" customFormat="1">
      <c r="A348" s="780"/>
      <c r="B348" s="780"/>
      <c r="C348" s="780"/>
      <c r="D348" s="1107"/>
      <c r="E348" s="1107"/>
      <c r="F348" s="1107"/>
      <c r="I348" s="1082"/>
    </row>
    <row r="349" spans="1:9" ht="13.8" thickBot="1">
      <c r="A349" s="1108"/>
      <c r="B349" s="1108"/>
      <c r="C349" s="1108"/>
      <c r="D349" s="1833" t="s">
        <v>1035</v>
      </c>
      <c r="E349" s="1833"/>
      <c r="F349" s="1833"/>
      <c r="G349" s="1128"/>
      <c r="H349" s="1128"/>
      <c r="I349" s="1129"/>
    </row>
    <row r="350" spans="1:9" ht="13.8" thickTop="1">
      <c r="D350" s="1809" t="s">
        <v>1277</v>
      </c>
      <c r="E350" s="1809"/>
      <c r="F350" s="1809"/>
      <c r="G350" s="782"/>
    </row>
    <row r="351" spans="1:9" s="1080" customFormat="1">
      <c r="A351" s="780"/>
      <c r="B351" s="780"/>
      <c r="C351" s="780"/>
      <c r="D351" s="1122"/>
      <c r="E351" s="1122"/>
      <c r="F351" s="1122"/>
      <c r="I351" s="1082"/>
    </row>
    <row r="352" spans="1:9">
      <c r="A352" s="806"/>
      <c r="B352" s="806"/>
      <c r="C352" s="806"/>
      <c r="D352" s="778"/>
      <c r="E352" s="778"/>
      <c r="F352" s="792"/>
      <c r="G352" s="782"/>
      <c r="I352" s="1082" t="s">
        <v>2218</v>
      </c>
    </row>
    <row r="353" spans="1:9" ht="14.4">
      <c r="A353" s="789"/>
      <c r="B353" s="790" t="s">
        <v>2761</v>
      </c>
      <c r="C353" s="821"/>
      <c r="D353" s="1771" t="s">
        <v>2344</v>
      </c>
      <c r="E353" s="1771"/>
      <c r="F353" s="1771"/>
      <c r="I353" s="1799" t="s">
        <v>2268</v>
      </c>
    </row>
    <row r="354" spans="1:9" ht="12.75" customHeight="1">
      <c r="D354" s="1188"/>
      <c r="E354" s="1042" t="s">
        <v>2343</v>
      </c>
      <c r="F354" s="1188"/>
      <c r="I354" s="1800"/>
    </row>
    <row r="355" spans="1:9">
      <c r="D355" s="1802" t="s">
        <v>1405</v>
      </c>
      <c r="E355" s="1802"/>
      <c r="F355" s="1802"/>
      <c r="I355" s="1800"/>
    </row>
    <row r="356" spans="1:9">
      <c r="D356" s="1802"/>
      <c r="E356" s="1802"/>
      <c r="F356" s="1802"/>
      <c r="I356" s="1800"/>
    </row>
    <row r="357" spans="1:9">
      <c r="D357" s="1802"/>
      <c r="E357" s="1802"/>
      <c r="F357" s="1802"/>
      <c r="I357" s="1801"/>
    </row>
    <row r="358" spans="1:9" ht="14.4">
      <c r="A358" s="789"/>
      <c r="B358" s="790" t="s">
        <v>2761</v>
      </c>
      <c r="C358" s="806"/>
      <c r="D358" s="1778" t="s">
        <v>2629</v>
      </c>
      <c r="E358" s="1778"/>
      <c r="F358" s="1778"/>
      <c r="G358" s="782"/>
      <c r="I358" s="612"/>
    </row>
    <row r="359" spans="1:9">
      <c r="A359" s="806"/>
      <c r="B359" s="806"/>
      <c r="C359" s="806"/>
      <c r="D359" s="778"/>
      <c r="E359" s="778"/>
      <c r="F359" s="792"/>
      <c r="G359" s="782"/>
    </row>
    <row r="360" spans="1:9">
      <c r="A360" s="806"/>
      <c r="B360" s="790" t="s">
        <v>2761</v>
      </c>
      <c r="C360" s="806"/>
      <c r="D360" s="1762" t="s">
        <v>2630</v>
      </c>
      <c r="E360" s="1762"/>
      <c r="F360" s="1762"/>
      <c r="G360" s="782"/>
    </row>
    <row r="361" spans="1:9">
      <c r="A361" s="806"/>
      <c r="B361" s="806"/>
      <c r="C361" s="806"/>
      <c r="D361" s="1762"/>
      <c r="E361" s="1762"/>
      <c r="F361" s="1762"/>
      <c r="G361" s="782"/>
    </row>
    <row r="362" spans="1:9">
      <c r="A362" s="806"/>
      <c r="B362" s="806"/>
      <c r="C362" s="806"/>
      <c r="D362" s="1762"/>
      <c r="E362" s="1762"/>
      <c r="F362" s="1762"/>
      <c r="G362" s="782"/>
    </row>
    <row r="363" spans="1:9">
      <c r="A363" s="806"/>
      <c r="B363" s="806"/>
      <c r="C363" s="806"/>
      <c r="D363" s="1762"/>
      <c r="E363" s="1762"/>
      <c r="F363" s="1762"/>
      <c r="G363" s="782"/>
    </row>
    <row r="364" spans="1:9">
      <c r="A364" s="806"/>
      <c r="B364" s="806"/>
      <c r="C364" s="806"/>
      <c r="D364" s="1762"/>
      <c r="E364" s="1762"/>
      <c r="F364" s="1762"/>
      <c r="G364" s="782"/>
    </row>
    <row r="365" spans="1:9">
      <c r="A365" s="806"/>
      <c r="B365" s="806"/>
      <c r="C365" s="806"/>
      <c r="D365" s="1762"/>
      <c r="E365" s="1762"/>
      <c r="F365" s="1762"/>
      <c r="G365" s="782"/>
    </row>
    <row r="366" spans="1:9">
      <c r="A366" s="806"/>
      <c r="B366" s="806"/>
      <c r="C366" s="806"/>
      <c r="D366" s="1762"/>
      <c r="E366" s="1762"/>
      <c r="F366" s="1762"/>
      <c r="G366" s="782"/>
    </row>
    <row r="367" spans="1:9">
      <c r="A367" s="806"/>
      <c r="B367" s="806"/>
      <c r="C367" s="806"/>
      <c r="D367" s="1762"/>
      <c r="E367" s="1762"/>
      <c r="F367" s="1762"/>
      <c r="G367" s="782"/>
    </row>
    <row r="368" spans="1:9">
      <c r="A368" s="806"/>
      <c r="B368" s="806"/>
      <c r="C368" s="806"/>
      <c r="D368" s="1762"/>
      <c r="E368" s="1762"/>
      <c r="F368" s="1762"/>
      <c r="G368" s="782"/>
    </row>
    <row r="369" spans="1:9">
      <c r="A369" s="806"/>
      <c r="B369" s="806"/>
      <c r="C369" s="806"/>
      <c r="D369" s="1762"/>
      <c r="E369" s="1762"/>
      <c r="F369" s="1762"/>
      <c r="G369" s="782"/>
    </row>
    <row r="370" spans="1:9">
      <c r="A370" s="806"/>
      <c r="B370" s="806"/>
      <c r="C370" s="806"/>
      <c r="D370" s="1762"/>
      <c r="E370" s="1762"/>
      <c r="F370" s="1762"/>
      <c r="G370" s="782"/>
    </row>
    <row r="371" spans="1:9">
      <c r="A371" s="806"/>
      <c r="B371" s="806"/>
      <c r="C371" s="806"/>
      <c r="D371" s="1762"/>
      <c r="E371" s="1762"/>
      <c r="F371" s="1762"/>
      <c r="G371" s="782"/>
    </row>
    <row r="372" spans="1:9" s="1080" customFormat="1">
      <c r="A372" s="1085"/>
      <c r="B372" s="1085"/>
      <c r="C372" s="1085"/>
      <c r="D372" s="1087"/>
      <c r="E372" s="1087"/>
      <c r="F372" s="1087"/>
      <c r="I372" s="1082"/>
    </row>
    <row r="373" spans="1:9" ht="12.6" customHeight="1">
      <c r="A373" s="806"/>
      <c r="B373" s="790" t="s">
        <v>2761</v>
      </c>
      <c r="C373" s="806"/>
      <c r="D373" s="1805" t="s">
        <v>1385</v>
      </c>
      <c r="E373" s="1805"/>
      <c r="F373" s="1805"/>
      <c r="G373" s="782"/>
    </row>
    <row r="374" spans="1:9">
      <c r="A374" s="806"/>
      <c r="B374" s="806"/>
      <c r="C374" s="806"/>
      <c r="D374" s="1805"/>
      <c r="E374" s="1805"/>
      <c r="F374" s="1805"/>
      <c r="G374" s="782"/>
    </row>
    <row r="375" spans="1:9">
      <c r="A375" s="806"/>
      <c r="B375" s="806"/>
      <c r="C375" s="806"/>
      <c r="D375" s="1805"/>
      <c r="E375" s="1805"/>
      <c r="F375" s="1805"/>
      <c r="G375" s="782"/>
    </row>
    <row r="376" spans="1:9">
      <c r="A376" s="806"/>
      <c r="B376" s="806"/>
      <c r="C376" s="806"/>
      <c r="D376" s="1805"/>
      <c r="E376" s="1805"/>
      <c r="F376" s="1805"/>
      <c r="G376" s="782"/>
    </row>
    <row r="377" spans="1:9" s="1080" customFormat="1">
      <c r="A377" s="1085"/>
      <c r="B377" s="1085"/>
      <c r="C377" s="1085"/>
      <c r="D377" s="1086"/>
      <c r="E377" s="1086"/>
      <c r="F377" s="1086"/>
      <c r="I377" s="1082"/>
    </row>
    <row r="378" spans="1:9" s="1080" customFormat="1">
      <c r="A378" s="1085"/>
      <c r="B378" s="1083" t="s">
        <v>2761</v>
      </c>
      <c r="C378" s="1085"/>
      <c r="D378" s="1080" t="s">
        <v>2146</v>
      </c>
      <c r="E378" s="1086"/>
      <c r="F378" s="1086"/>
      <c r="I378" s="1082"/>
    </row>
    <row r="379" spans="1:9" s="1080" customFormat="1">
      <c r="A379" s="1085"/>
      <c r="B379" s="1085"/>
      <c r="C379" s="1085"/>
      <c r="D379" s="1080" t="s">
        <v>2147</v>
      </c>
      <c r="E379" s="1086"/>
      <c r="F379" s="1086"/>
      <c r="I379" s="1082"/>
    </row>
    <row r="380" spans="1:9" s="1080" customFormat="1">
      <c r="A380" s="1085"/>
      <c r="B380" s="1085"/>
      <c r="C380" s="1085"/>
      <c r="D380" s="1080" t="s">
        <v>2148</v>
      </c>
      <c r="E380" s="1086"/>
      <c r="F380" s="1086"/>
      <c r="I380" s="1082"/>
    </row>
    <row r="381" spans="1:9" s="1080" customFormat="1">
      <c r="A381" s="1085"/>
      <c r="B381" s="1085"/>
      <c r="C381" s="1085"/>
      <c r="D381" s="1080" t="s">
        <v>2149</v>
      </c>
      <c r="E381" s="1086"/>
      <c r="F381" s="1086"/>
      <c r="I381" s="1082"/>
    </row>
    <row r="382" spans="1:9" s="1080" customFormat="1">
      <c r="A382" s="1085"/>
      <c r="B382" s="1085"/>
      <c r="C382" s="1085"/>
      <c r="D382" s="1080" t="s">
        <v>2150</v>
      </c>
      <c r="E382" s="1086"/>
      <c r="F382" s="1086"/>
      <c r="I382" s="1082"/>
    </row>
    <row r="383" spans="1:9" s="1080" customFormat="1">
      <c r="A383" s="1085"/>
      <c r="B383" s="1085"/>
      <c r="C383" s="1085"/>
      <c r="D383" s="1080" t="s">
        <v>2151</v>
      </c>
      <c r="E383" s="1086"/>
      <c r="F383" s="1086"/>
      <c r="I383" s="1082"/>
    </row>
    <row r="384" spans="1:9">
      <c r="A384" s="806"/>
      <c r="B384" s="806"/>
      <c r="C384" s="806"/>
      <c r="D384" s="782"/>
      <c r="E384" s="778"/>
      <c r="F384" s="792"/>
      <c r="G384" s="782"/>
    </row>
    <row r="385" spans="1:7" ht="14.4">
      <c r="A385" s="789"/>
      <c r="B385" s="790" t="s">
        <v>2761</v>
      </c>
      <c r="C385" s="806"/>
      <c r="D385" s="1781" t="s">
        <v>1280</v>
      </c>
      <c r="E385" s="1781"/>
      <c r="F385" s="1781"/>
      <c r="G385" s="782"/>
    </row>
    <row r="386" spans="1:7">
      <c r="A386" s="806"/>
      <c r="B386" s="806"/>
      <c r="C386" s="806"/>
      <c r="D386" s="1781"/>
      <c r="E386" s="1781"/>
      <c r="F386" s="1781"/>
      <c r="G386" s="782"/>
    </row>
    <row r="387" spans="1:7">
      <c r="A387" s="806"/>
      <c r="B387" s="806"/>
      <c r="C387" s="806"/>
      <c r="D387" s="1781"/>
      <c r="E387" s="1781"/>
      <c r="F387" s="1781"/>
      <c r="G387" s="782"/>
    </row>
    <row r="388" spans="1:7">
      <c r="A388" s="806"/>
      <c r="B388" s="806"/>
      <c r="C388" s="806"/>
      <c r="D388" s="1781"/>
      <c r="E388" s="1781"/>
      <c r="F388" s="1781"/>
      <c r="G388" s="782"/>
    </row>
    <row r="389" spans="1:7">
      <c r="A389" s="806"/>
      <c r="B389" s="806"/>
      <c r="C389" s="806"/>
      <c r="D389" s="818"/>
      <c r="E389" s="778"/>
      <c r="F389" s="792"/>
      <c r="G389" s="782"/>
    </row>
    <row r="390" spans="1:7">
      <c r="A390" s="806"/>
      <c r="B390" s="806"/>
      <c r="C390" s="806"/>
      <c r="D390" s="1781" t="s">
        <v>1281</v>
      </c>
      <c r="E390" s="1781"/>
      <c r="F390" s="1781"/>
      <c r="G390" s="782"/>
    </row>
    <row r="391" spans="1:7">
      <c r="A391" s="806"/>
      <c r="B391" s="806"/>
      <c r="C391" s="806"/>
      <c r="D391" s="1781"/>
      <c r="E391" s="1781"/>
      <c r="F391" s="1781"/>
      <c r="G391" s="782"/>
    </row>
    <row r="392" spans="1:7">
      <c r="A392" s="806"/>
      <c r="B392" s="806"/>
      <c r="C392" s="806"/>
      <c r="D392" s="1781"/>
      <c r="E392" s="1781"/>
      <c r="F392" s="1781"/>
      <c r="G392" s="782"/>
    </row>
    <row r="393" spans="1:7">
      <c r="A393" s="806"/>
      <c r="B393" s="806"/>
      <c r="C393" s="806"/>
      <c r="D393" s="1781"/>
      <c r="E393" s="1781"/>
      <c r="F393" s="1781"/>
      <c r="G393" s="782"/>
    </row>
    <row r="394" spans="1:7" ht="18" customHeight="1">
      <c r="A394" s="806"/>
      <c r="B394" s="806"/>
      <c r="C394" s="806"/>
      <c r="D394" s="1781"/>
      <c r="E394" s="1781"/>
      <c r="F394" s="1781"/>
      <c r="G394" s="782"/>
    </row>
    <row r="395" spans="1:7">
      <c r="A395" s="806"/>
      <c r="B395" s="806"/>
      <c r="C395" s="806"/>
      <c r="D395" s="1781"/>
      <c r="E395" s="1781"/>
      <c r="F395" s="1781"/>
      <c r="G395" s="782"/>
    </row>
    <row r="396" spans="1:7">
      <c r="A396" s="806"/>
      <c r="B396" s="806"/>
      <c r="C396" s="806"/>
      <c r="D396" s="1781"/>
      <c r="E396" s="1781"/>
      <c r="F396" s="1781"/>
      <c r="G396" s="782"/>
    </row>
    <row r="397" spans="1:7">
      <c r="A397" s="806"/>
      <c r="B397" s="806"/>
      <c r="C397" s="806"/>
      <c r="D397" s="1781"/>
      <c r="E397" s="1781"/>
      <c r="F397" s="1781"/>
      <c r="G397" s="782"/>
    </row>
    <row r="398" spans="1:7" ht="8.25" customHeight="1">
      <c r="A398" s="806"/>
      <c r="B398" s="806"/>
      <c r="C398" s="806"/>
      <c r="D398" s="1781"/>
      <c r="E398" s="1781"/>
      <c r="F398" s="1781"/>
      <c r="G398" s="782"/>
    </row>
    <row r="399" spans="1:7" ht="13.65" customHeight="1">
      <c r="A399" s="806"/>
      <c r="B399" s="806"/>
      <c r="C399" s="806"/>
      <c r="D399" s="1774" t="s">
        <v>1282</v>
      </c>
      <c r="E399" s="1774"/>
      <c r="F399" s="1774"/>
      <c r="G399" s="782"/>
    </row>
    <row r="400" spans="1:7">
      <c r="A400" s="806"/>
      <c r="B400" s="806"/>
      <c r="C400" s="806"/>
      <c r="D400" s="1774"/>
      <c r="E400" s="1774"/>
      <c r="F400" s="1774"/>
      <c r="G400" s="782"/>
    </row>
    <row r="401" spans="1:7">
      <c r="A401" s="806"/>
      <c r="B401" s="806"/>
      <c r="C401" s="806"/>
      <c r="D401" s="1774"/>
      <c r="E401" s="1774"/>
      <c r="F401" s="1774"/>
      <c r="G401" s="782"/>
    </row>
    <row r="402" spans="1:7">
      <c r="A402" s="806"/>
      <c r="B402" s="806"/>
      <c r="C402" s="806"/>
      <c r="D402" s="1774"/>
      <c r="E402" s="1774"/>
      <c r="F402" s="1774"/>
      <c r="G402" s="782"/>
    </row>
    <row r="403" spans="1:7">
      <c r="A403" s="806"/>
      <c r="B403" s="806"/>
      <c r="C403" s="806"/>
      <c r="D403" s="1774"/>
      <c r="E403" s="1774"/>
      <c r="F403" s="1774"/>
      <c r="G403" s="782"/>
    </row>
    <row r="404" spans="1:7">
      <c r="A404" s="806"/>
      <c r="B404" s="806"/>
      <c r="C404" s="806"/>
      <c r="D404" s="1774"/>
      <c r="E404" s="1774"/>
      <c r="F404" s="1774"/>
      <c r="G404" s="782"/>
    </row>
    <row r="405" spans="1:7">
      <c r="A405" s="806"/>
      <c r="B405" s="806"/>
      <c r="C405" s="806"/>
      <c r="D405" s="1774"/>
      <c r="E405" s="1774"/>
      <c r="F405" s="1774"/>
      <c r="G405" s="782"/>
    </row>
    <row r="406" spans="1:7">
      <c r="A406" s="806"/>
      <c r="B406" s="806"/>
      <c r="C406" s="806"/>
      <c r="D406" s="1774"/>
      <c r="E406" s="1774"/>
      <c r="F406" s="1774"/>
      <c r="G406" s="782"/>
    </row>
    <row r="407" spans="1:7">
      <c r="A407" s="806"/>
      <c r="B407" s="806"/>
      <c r="C407" s="806"/>
      <c r="D407" s="1774"/>
      <c r="E407" s="1774"/>
      <c r="F407" s="1774"/>
      <c r="G407" s="782"/>
    </row>
    <row r="408" spans="1:7">
      <c r="A408" s="806"/>
      <c r="B408" s="806"/>
      <c r="C408" s="806"/>
      <c r="D408" s="1774"/>
      <c r="E408" s="1774"/>
      <c r="F408" s="1774"/>
      <c r="G408" s="782"/>
    </row>
    <row r="409" spans="1:7">
      <c r="A409" s="806"/>
      <c r="B409" s="806"/>
      <c r="C409" s="806"/>
      <c r="D409" s="1774"/>
      <c r="E409" s="1774"/>
      <c r="F409" s="1774"/>
      <c r="G409" s="782"/>
    </row>
    <row r="410" spans="1:7">
      <c r="A410" s="806"/>
      <c r="B410" s="806"/>
      <c r="C410" s="806"/>
      <c r="D410" s="1774"/>
      <c r="E410" s="1774"/>
      <c r="F410" s="1774"/>
      <c r="G410" s="782"/>
    </row>
    <row r="411" spans="1:7">
      <c r="A411" s="806"/>
      <c r="B411" s="806"/>
      <c r="C411" s="819"/>
      <c r="D411" s="1774"/>
      <c r="E411" s="1774"/>
      <c r="F411" s="1774"/>
      <c r="G411" s="782"/>
    </row>
    <row r="412" spans="1:7">
      <c r="A412" s="806"/>
      <c r="B412" s="806"/>
      <c r="C412" s="819"/>
      <c r="D412" s="1774"/>
      <c r="E412" s="1774"/>
      <c r="F412" s="1774"/>
      <c r="G412" s="782"/>
    </row>
    <row r="413" spans="1:7">
      <c r="A413" s="806"/>
      <c r="B413" s="806"/>
      <c r="C413" s="806"/>
      <c r="D413" s="1774"/>
      <c r="E413" s="1774"/>
      <c r="F413" s="1774"/>
      <c r="G413" s="782"/>
    </row>
    <row r="414" spans="1:7">
      <c r="A414" s="806"/>
      <c r="B414" s="806"/>
      <c r="C414" s="819"/>
      <c r="D414" s="1774"/>
      <c r="E414" s="1774"/>
      <c r="F414" s="1774"/>
      <c r="G414" s="782"/>
    </row>
    <row r="415" spans="1:7">
      <c r="A415" s="806"/>
      <c r="B415" s="806"/>
      <c r="C415" s="819"/>
      <c r="D415" s="1774"/>
      <c r="E415" s="1774"/>
      <c r="F415" s="1774"/>
      <c r="G415" s="782"/>
    </row>
    <row r="416" spans="1:7">
      <c r="A416" s="806"/>
      <c r="B416" s="806"/>
      <c r="C416" s="819"/>
      <c r="D416" s="1774"/>
      <c r="E416" s="1774"/>
      <c r="F416" s="1774"/>
      <c r="G416" s="782"/>
    </row>
    <row r="417" spans="1:7">
      <c r="A417" s="806"/>
      <c r="B417" s="806"/>
      <c r="C417" s="806"/>
      <c r="D417" s="818"/>
      <c r="E417" s="778"/>
      <c r="F417" s="792"/>
      <c r="G417" s="782"/>
    </row>
    <row r="418" spans="1:7">
      <c r="A418" s="806"/>
      <c r="B418" s="790" t="s">
        <v>2761</v>
      </c>
      <c r="C418" s="806"/>
      <c r="D418" s="1774" t="s">
        <v>1283</v>
      </c>
      <c r="E418" s="1774"/>
      <c r="F418" s="1774"/>
      <c r="G418" s="782"/>
    </row>
    <row r="419" spans="1:7">
      <c r="A419" s="806"/>
      <c r="B419" s="806"/>
      <c r="C419" s="806"/>
      <c r="D419" s="1774"/>
      <c r="E419" s="1774"/>
      <c r="F419" s="1774"/>
      <c r="G419" s="782"/>
    </row>
    <row r="420" spans="1:7">
      <c r="A420" s="806"/>
      <c r="B420" s="806"/>
      <c r="C420" s="806"/>
      <c r="D420" s="895"/>
      <c r="E420" s="895"/>
      <c r="F420" s="895"/>
      <c r="G420" s="782"/>
    </row>
    <row r="421" spans="1:7" ht="14.4" customHeight="1">
      <c r="A421" s="789"/>
      <c r="B421" s="790" t="s">
        <v>2761</v>
      </c>
      <c r="D421" s="1774" t="s">
        <v>2255</v>
      </c>
      <c r="E421" s="1774"/>
      <c r="F421" s="1774"/>
    </row>
    <row r="422" spans="1:7" ht="14.4" customHeight="1">
      <c r="A422" s="789"/>
      <c r="D422" s="1774"/>
      <c r="E422" s="1774"/>
      <c r="F422" s="1774"/>
    </row>
    <row r="423" spans="1:7" ht="14.4" customHeight="1">
      <c r="A423" s="789"/>
      <c r="D423" s="1774"/>
      <c r="E423" s="1774"/>
      <c r="F423" s="1774"/>
    </row>
    <row r="424" spans="1:7" ht="14.4" customHeight="1">
      <c r="A424" s="789"/>
      <c r="D424" s="1774"/>
      <c r="E424" s="1774"/>
      <c r="F424" s="1774"/>
    </row>
    <row r="425" spans="1:7" ht="14.4" customHeight="1">
      <c r="A425" s="789"/>
      <c r="D425" s="1774"/>
      <c r="E425" s="1774"/>
      <c r="F425" s="1774"/>
    </row>
    <row r="426" spans="1:7" ht="14.4" customHeight="1">
      <c r="A426" s="789"/>
      <c r="D426" s="870"/>
      <c r="E426" s="870"/>
      <c r="F426" s="870"/>
    </row>
    <row r="427" spans="1:7" ht="13.65" customHeight="1">
      <c r="A427" s="789"/>
      <c r="B427" s="790" t="s">
        <v>2761</v>
      </c>
      <c r="C427" s="806"/>
      <c r="D427" s="1762" t="s">
        <v>1406</v>
      </c>
      <c r="E427" s="1762"/>
      <c r="F427" s="1762"/>
      <c r="G427" s="782"/>
    </row>
    <row r="428" spans="1:7" ht="14.4">
      <c r="A428" s="820"/>
      <c r="B428" s="820"/>
      <c r="C428" s="806"/>
      <c r="D428" s="1762"/>
      <c r="E428" s="1762"/>
      <c r="F428" s="1762"/>
      <c r="G428" s="782"/>
    </row>
    <row r="429" spans="1:7" ht="14.4">
      <c r="A429" s="820"/>
      <c r="B429" s="820"/>
      <c r="C429" s="806"/>
      <c r="D429" s="1762"/>
      <c r="E429" s="1762"/>
      <c r="F429" s="1762"/>
      <c r="G429" s="782"/>
    </row>
    <row r="430" spans="1:7" ht="14.4">
      <c r="A430" s="820"/>
      <c r="B430" s="820"/>
      <c r="C430" s="806"/>
      <c r="D430" s="1762"/>
      <c r="E430" s="1762"/>
      <c r="F430" s="1762"/>
      <c r="G430" s="782"/>
    </row>
    <row r="431" spans="1:7" ht="15.75" customHeight="1">
      <c r="A431" s="820"/>
      <c r="B431" s="820"/>
      <c r="C431" s="806"/>
      <c r="D431" s="1811" t="s">
        <v>2649</v>
      </c>
      <c r="E431" s="1762"/>
      <c r="F431" s="1762"/>
      <c r="G431" s="782"/>
    </row>
    <row r="432" spans="1:7">
      <c r="D432" s="792"/>
      <c r="E432" s="792"/>
      <c r="F432" s="792"/>
      <c r="G432" s="782"/>
    </row>
    <row r="433" spans="1:7" ht="14.4">
      <c r="A433" s="789"/>
      <c r="B433" s="790" t="s">
        <v>2761</v>
      </c>
      <c r="C433" s="821"/>
      <c r="D433" s="1766" t="s">
        <v>2631</v>
      </c>
      <c r="E433" s="1766"/>
      <c r="F433" s="1766"/>
      <c r="G433" s="782"/>
    </row>
    <row r="434" spans="1:7" ht="14.4">
      <c r="A434" s="789"/>
      <c r="B434" s="789"/>
      <c r="D434" s="1766"/>
      <c r="E434" s="1766"/>
      <c r="F434" s="1766"/>
      <c r="G434" s="782"/>
    </row>
    <row r="435" spans="1:7">
      <c r="D435" s="1766"/>
      <c r="E435" s="1766"/>
      <c r="F435" s="1766"/>
      <c r="G435" s="782"/>
    </row>
    <row r="436" spans="1:7">
      <c r="D436" s="1766"/>
      <c r="E436" s="1766"/>
      <c r="F436" s="1766"/>
      <c r="G436" s="782"/>
    </row>
    <row r="437" spans="1:7">
      <c r="D437" s="1766"/>
      <c r="E437" s="1766"/>
      <c r="F437" s="1766"/>
      <c r="G437" s="782"/>
    </row>
    <row r="438" spans="1:7">
      <c r="D438" s="1766"/>
      <c r="E438" s="1766"/>
      <c r="F438" s="1766"/>
      <c r="G438" s="782"/>
    </row>
    <row r="439" spans="1:7">
      <c r="D439" s="1766"/>
      <c r="E439" s="1766"/>
      <c r="F439" s="1766"/>
      <c r="G439" s="782"/>
    </row>
    <row r="440" spans="1:7">
      <c r="D440" s="1766"/>
      <c r="E440" s="1766"/>
      <c r="F440" s="1766"/>
      <c r="G440" s="782"/>
    </row>
    <row r="441" spans="1:7">
      <c r="D441" s="1766"/>
      <c r="E441" s="1766"/>
      <c r="F441" s="1766"/>
      <c r="G441" s="782"/>
    </row>
    <row r="442" spans="1:7">
      <c r="D442" s="1766"/>
      <c r="E442" s="1766"/>
      <c r="F442" s="1766"/>
      <c r="G442" s="782"/>
    </row>
    <row r="443" spans="1:7">
      <c r="D443" s="1766"/>
      <c r="E443" s="1766"/>
      <c r="F443" s="1766"/>
      <c r="G443" s="782"/>
    </row>
    <row r="444" spans="1:7">
      <c r="D444" s="1766"/>
      <c r="E444" s="1766"/>
      <c r="F444" s="1766"/>
      <c r="G444" s="782"/>
    </row>
    <row r="445" spans="1:7">
      <c r="D445" s="1766"/>
      <c r="E445" s="1766"/>
      <c r="F445" s="1766"/>
      <c r="G445" s="782"/>
    </row>
    <row r="446" spans="1:7">
      <c r="A446" s="782"/>
      <c r="B446" s="782"/>
      <c r="C446" s="782"/>
      <c r="D446" s="1766"/>
      <c r="E446" s="1766"/>
      <c r="F446" s="1766"/>
      <c r="G446" s="782"/>
    </row>
    <row r="447" spans="1:7">
      <c r="A447" s="782"/>
      <c r="B447" s="782"/>
      <c r="C447" s="782"/>
      <c r="D447" s="1766"/>
      <c r="E447" s="1766"/>
      <c r="F447" s="1766"/>
      <c r="G447" s="782"/>
    </row>
    <row r="448" spans="1:7">
      <c r="A448" s="782"/>
      <c r="B448" s="782"/>
      <c r="C448" s="782"/>
      <c r="D448" s="1766"/>
      <c r="E448" s="1766"/>
      <c r="F448" s="1766"/>
      <c r="G448" s="782"/>
    </row>
    <row r="449" spans="1:9">
      <c r="A449" s="782"/>
      <c r="B449" s="782"/>
      <c r="C449" s="782"/>
      <c r="D449" s="1766"/>
      <c r="E449" s="1766"/>
      <c r="F449" s="1766"/>
      <c r="G449" s="782"/>
    </row>
    <row r="450" spans="1:9">
      <c r="A450" s="782"/>
      <c r="B450" s="782"/>
      <c r="C450" s="782"/>
      <c r="D450" s="1766"/>
      <c r="E450" s="1766"/>
      <c r="F450" s="1766"/>
      <c r="G450" s="782"/>
    </row>
    <row r="451" spans="1:9">
      <c r="A451" s="782"/>
      <c r="B451" s="782"/>
      <c r="C451" s="782"/>
      <c r="D451" s="1766"/>
      <c r="E451" s="1766"/>
      <c r="F451" s="1766"/>
      <c r="G451" s="782"/>
    </row>
    <row r="452" spans="1:9">
      <c r="A452" s="782"/>
      <c r="B452" s="782"/>
      <c r="C452" s="782"/>
      <c r="D452" s="1766"/>
      <c r="E452" s="1766"/>
      <c r="F452" s="1766"/>
      <c r="G452" s="782"/>
    </row>
    <row r="453" spans="1:9">
      <c r="A453" s="782"/>
      <c r="B453" s="782"/>
      <c r="C453" s="782"/>
      <c r="D453" s="1766"/>
      <c r="E453" s="1766"/>
      <c r="F453" s="1766"/>
      <c r="G453" s="782"/>
    </row>
    <row r="454" spans="1:9">
      <c r="A454" s="782"/>
      <c r="B454" s="782"/>
      <c r="C454" s="782"/>
      <c r="D454" s="1766"/>
      <c r="E454" s="1766"/>
      <c r="F454" s="1766"/>
      <c r="G454" s="782"/>
    </row>
    <row r="455" spans="1:9">
      <c r="A455" s="782"/>
      <c r="B455" s="782"/>
      <c r="C455" s="782"/>
      <c r="D455" s="1766"/>
      <c r="E455" s="1766"/>
      <c r="F455" s="1766"/>
      <c r="G455" s="782"/>
    </row>
    <row r="456" spans="1:9">
      <c r="A456" s="782"/>
      <c r="B456" s="782"/>
      <c r="C456" s="782"/>
      <c r="D456" s="1766"/>
      <c r="E456" s="1766"/>
      <c r="F456" s="1766"/>
      <c r="G456" s="782"/>
    </row>
    <row r="457" spans="1:9">
      <c r="A457" s="782"/>
      <c r="B457" s="782"/>
      <c r="C457" s="782"/>
      <c r="D457" s="1766"/>
      <c r="E457" s="1766"/>
      <c r="F457" s="1766"/>
      <c r="G457" s="782"/>
    </row>
    <row r="458" spans="1:9">
      <c r="A458" s="782"/>
      <c r="B458" s="782"/>
      <c r="C458" s="782"/>
      <c r="D458" s="1766"/>
      <c r="E458" s="1766"/>
      <c r="F458" s="1766"/>
      <c r="G458" s="782"/>
    </row>
    <row r="459" spans="1:9">
      <c r="A459" s="782"/>
      <c r="B459" s="782"/>
      <c r="C459" s="782"/>
      <c r="D459" s="1766"/>
      <c r="E459" s="1766"/>
      <c r="F459" s="1766"/>
      <c r="G459" s="782"/>
    </row>
    <row r="460" spans="1:9">
      <c r="A460" s="782"/>
      <c r="B460" s="782"/>
      <c r="C460" s="782"/>
      <c r="D460" s="1766"/>
      <c r="E460" s="1766"/>
      <c r="F460" s="1766"/>
      <c r="G460" s="782"/>
    </row>
    <row r="461" spans="1:9">
      <c r="A461" s="782"/>
      <c r="B461" s="782"/>
      <c r="C461" s="782"/>
      <c r="D461" s="1766"/>
      <c r="E461" s="1766"/>
      <c r="F461" s="1766"/>
      <c r="G461" s="782"/>
    </row>
    <row r="462" spans="1:9" s="823" customFormat="1">
      <c r="A462" s="780"/>
      <c r="B462" s="780"/>
      <c r="C462" s="780"/>
      <c r="D462" s="1766"/>
      <c r="E462" s="1766"/>
      <c r="F462" s="1766"/>
      <c r="G462" s="822"/>
      <c r="I462" s="1117"/>
    </row>
    <row r="463" spans="1:9" s="823" customFormat="1" ht="40.65" customHeight="1">
      <c r="A463" s="780"/>
      <c r="B463" s="780"/>
      <c r="C463" s="780"/>
      <c r="D463" s="1766"/>
      <c r="E463" s="1766"/>
      <c r="F463" s="1766"/>
      <c r="G463" s="822"/>
      <c r="I463" s="1117"/>
    </row>
    <row r="464" spans="1:9">
      <c r="D464" s="792"/>
      <c r="E464" s="792"/>
      <c r="F464" s="792"/>
      <c r="G464" s="782"/>
    </row>
    <row r="465" spans="1:7" ht="14.4">
      <c r="A465" s="789"/>
      <c r="B465" s="790" t="s">
        <v>2761</v>
      </c>
      <c r="C465" s="821"/>
      <c r="D465" s="1766" t="s">
        <v>1288</v>
      </c>
      <c r="E465" s="1766"/>
      <c r="F465" s="1766"/>
      <c r="G465" s="782"/>
    </row>
    <row r="466" spans="1:7">
      <c r="D466" s="1766"/>
      <c r="E466" s="1766"/>
      <c r="F466" s="1766"/>
      <c r="G466" s="782"/>
    </row>
    <row r="467" spans="1:7">
      <c r="D467" s="1766"/>
      <c r="E467" s="1766"/>
      <c r="F467" s="1766"/>
      <c r="G467" s="782"/>
    </row>
    <row r="468" spans="1:7">
      <c r="D468" s="776"/>
      <c r="E468" s="776"/>
      <c r="F468" s="776"/>
      <c r="G468" s="782"/>
    </row>
    <row r="469" spans="1:7" ht="14.4">
      <c r="B469" s="790" t="s">
        <v>2761</v>
      </c>
      <c r="C469" s="789"/>
      <c r="D469" s="1802" t="s">
        <v>1358</v>
      </c>
      <c r="E469" s="1802"/>
      <c r="F469" s="1802"/>
      <c r="G469" s="782"/>
    </row>
    <row r="470" spans="1:7">
      <c r="D470" s="1802"/>
      <c r="E470" s="1802"/>
      <c r="F470" s="1802"/>
      <c r="G470" s="782"/>
    </row>
    <row r="471" spans="1:7">
      <c r="D471" s="792"/>
      <c r="E471" s="792"/>
      <c r="F471" s="792"/>
      <c r="G471" s="782"/>
    </row>
    <row r="472" spans="1:7" ht="14.4">
      <c r="B472" s="790" t="s">
        <v>2761</v>
      </c>
      <c r="C472" s="789"/>
      <c r="D472" s="1802" t="s">
        <v>1290</v>
      </c>
      <c r="E472" s="1802"/>
      <c r="F472" s="1802"/>
      <c r="G472" s="782"/>
    </row>
    <row r="473" spans="1:7">
      <c r="D473" s="1802"/>
      <c r="E473" s="1802"/>
      <c r="F473" s="1802"/>
      <c r="G473" s="782"/>
    </row>
    <row r="474" spans="1:7">
      <c r="D474" s="1802"/>
      <c r="E474" s="1802"/>
      <c r="F474" s="1802"/>
      <c r="G474" s="782"/>
    </row>
    <row r="475" spans="1:7">
      <c r="D475" s="1802"/>
      <c r="E475" s="1802"/>
      <c r="F475" s="1802"/>
      <c r="G475" s="782"/>
    </row>
    <row r="476" spans="1:7">
      <c r="B476" s="790" t="s">
        <v>2761</v>
      </c>
      <c r="D476" s="1802"/>
      <c r="E476" s="1802"/>
      <c r="F476" s="1802"/>
      <c r="G476" s="782"/>
    </row>
    <row r="477" spans="1:7">
      <c r="A477" s="782"/>
      <c r="B477" s="782"/>
      <c r="C477" s="782"/>
      <c r="D477" s="1802"/>
      <c r="E477" s="1802"/>
      <c r="F477" s="1802"/>
      <c r="G477" s="782"/>
    </row>
    <row r="478" spans="1:7">
      <c r="A478" s="782"/>
      <c r="C478" s="782"/>
      <c r="D478" s="1802"/>
      <c r="E478" s="1802"/>
      <c r="F478" s="1802"/>
      <c r="G478" s="782"/>
    </row>
    <row r="479" spans="1:7">
      <c r="A479" s="782"/>
      <c r="B479" s="790" t="s">
        <v>2761</v>
      </c>
      <c r="C479" s="782"/>
      <c r="D479" s="1802"/>
      <c r="E479" s="1802"/>
      <c r="F479" s="1802"/>
      <c r="G479" s="782"/>
    </row>
    <row r="480" spans="1:7">
      <c r="A480" s="782"/>
      <c r="B480" s="782"/>
      <c r="C480" s="782"/>
      <c r="D480" s="1802"/>
      <c r="E480" s="1802"/>
      <c r="F480" s="1802"/>
      <c r="G480" s="782"/>
    </row>
    <row r="481" spans="1:9">
      <c r="A481" s="782"/>
      <c r="C481" s="782"/>
      <c r="D481" s="1802"/>
      <c r="E481" s="1802"/>
      <c r="F481" s="1802"/>
      <c r="G481" s="782"/>
    </row>
    <row r="482" spans="1:9">
      <c r="A482" s="782"/>
      <c r="C482" s="782"/>
      <c r="D482" s="1802"/>
      <c r="E482" s="1802"/>
      <c r="F482" s="1802"/>
      <c r="G482" s="782"/>
    </row>
    <row r="483" spans="1:9">
      <c r="A483" s="782"/>
      <c r="C483" s="782"/>
      <c r="D483" s="1802"/>
      <c r="E483" s="1802"/>
      <c r="F483" s="1802"/>
      <c r="G483" s="782"/>
    </row>
    <row r="484" spans="1:9">
      <c r="A484" s="782"/>
      <c r="B484" s="790" t="s">
        <v>2761</v>
      </c>
      <c r="C484" s="782"/>
      <c r="D484" s="1802"/>
      <c r="E484" s="1802"/>
      <c r="F484" s="1802"/>
      <c r="G484" s="782"/>
    </row>
    <row r="485" spans="1:9">
      <c r="A485" s="782"/>
      <c r="C485" s="782"/>
      <c r="D485" s="1802"/>
      <c r="E485" s="1802"/>
      <c r="F485" s="1802"/>
      <c r="G485" s="782"/>
    </row>
    <row r="486" spans="1:9">
      <c r="A486" s="782"/>
      <c r="B486" s="790" t="s">
        <v>2761</v>
      </c>
      <c r="C486" s="782"/>
      <c r="D486" s="1802" t="s">
        <v>1291</v>
      </c>
      <c r="E486" s="1802"/>
      <c r="F486" s="1802"/>
      <c r="G486" s="782"/>
    </row>
    <row r="487" spans="1:9">
      <c r="A487" s="782"/>
      <c r="B487" s="782"/>
      <c r="C487" s="782"/>
      <c r="D487" s="1802"/>
      <c r="E487" s="1802"/>
      <c r="F487" s="1802"/>
      <c r="G487" s="782"/>
    </row>
    <row r="488" spans="1:9">
      <c r="A488" s="782"/>
      <c r="B488" s="782"/>
      <c r="C488" s="782"/>
      <c r="D488" s="1802"/>
      <c r="E488" s="1802"/>
      <c r="F488" s="1802"/>
      <c r="G488" s="782"/>
    </row>
    <row r="489" spans="1:9">
      <c r="A489" s="782"/>
      <c r="B489" s="782"/>
      <c r="C489" s="782"/>
      <c r="D489" s="1802"/>
      <c r="E489" s="1802"/>
      <c r="F489" s="1802"/>
      <c r="G489" s="782"/>
    </row>
    <row r="490" spans="1:9">
      <c r="D490" s="1802"/>
      <c r="E490" s="1802"/>
      <c r="F490" s="1802"/>
    </row>
    <row r="491" spans="1:9">
      <c r="D491" s="792"/>
      <c r="E491" s="792"/>
      <c r="F491" s="792"/>
    </row>
    <row r="492" spans="1:9">
      <c r="B492" s="790" t="s">
        <v>2761</v>
      </c>
      <c r="D492" s="1804" t="s">
        <v>1292</v>
      </c>
      <c r="E492" s="1804"/>
      <c r="F492" s="1804"/>
    </row>
    <row r="493" spans="1:9">
      <c r="A493" s="792"/>
      <c r="B493" s="792"/>
    </row>
    <row r="494" spans="1:9">
      <c r="A494" s="1731" t="s">
        <v>1133</v>
      </c>
      <c r="B494" s="1731"/>
      <c r="C494" s="1731"/>
      <c r="D494" s="1731"/>
      <c r="E494" s="1731"/>
      <c r="F494" s="1731"/>
      <c r="G494" s="1731"/>
      <c r="H494" s="1130"/>
      <c r="I494" s="1131"/>
    </row>
    <row r="495" spans="1:9">
      <c r="A495" s="792"/>
      <c r="B495" s="792"/>
    </row>
    <row r="496" spans="1:9">
      <c r="D496" s="1782" t="s">
        <v>929</v>
      </c>
      <c r="E496" s="1782"/>
      <c r="F496" s="1782"/>
    </row>
    <row r="497" spans="1:9" s="783" customFormat="1" ht="14.4">
      <c r="A497" s="797"/>
      <c r="B497" s="797"/>
      <c r="C497" s="793"/>
      <c r="D497" s="1783" t="s">
        <v>1293</v>
      </c>
      <c r="E497" s="1783"/>
      <c r="F497" s="1783"/>
      <c r="G497" s="794"/>
      <c r="I497" s="1114"/>
    </row>
    <row r="498" spans="1:9" s="783" customFormat="1" ht="14.4">
      <c r="A498" s="797"/>
      <c r="B498" s="797"/>
      <c r="C498" s="793"/>
      <c r="D498" s="779"/>
      <c r="E498" s="664"/>
      <c r="F498" s="664"/>
      <c r="G498" s="794"/>
      <c r="I498" s="1114"/>
    </row>
    <row r="499" spans="1:9" s="783" customFormat="1" ht="14.4">
      <c r="A499" s="789"/>
      <c r="B499" s="790" t="s">
        <v>2761</v>
      </c>
      <c r="C499" s="793"/>
      <c r="D499" s="1784" t="s">
        <v>1294</v>
      </c>
      <c r="E499" s="1784"/>
      <c r="F499" s="1784"/>
      <c r="G499" s="794"/>
      <c r="I499" s="1114" t="s">
        <v>2219</v>
      </c>
    </row>
    <row r="500" spans="1:9" s="783" customFormat="1" ht="14.4">
      <c r="A500" s="789"/>
      <c r="B500" s="789"/>
      <c r="C500" s="793"/>
      <c r="D500" s="1784"/>
      <c r="E500" s="1784"/>
      <c r="F500" s="1784"/>
      <c r="G500" s="794"/>
      <c r="I500" s="1114"/>
    </row>
    <row r="501" spans="1:9" s="783" customFormat="1" ht="14.4">
      <c r="A501" s="789"/>
      <c r="B501" s="789"/>
      <c r="C501" s="793"/>
      <c r="D501" s="777"/>
      <c r="E501" s="664"/>
      <c r="F501" s="664"/>
      <c r="G501" s="794"/>
      <c r="I501" s="1114"/>
    </row>
    <row r="502" spans="1:9" ht="12.75" customHeight="1">
      <c r="B502" s="790" t="s">
        <v>2760</v>
      </c>
      <c r="D502" s="1754" t="s">
        <v>1449</v>
      </c>
      <c r="E502" s="1754"/>
      <c r="F502" s="1754"/>
      <c r="I502" s="1082" t="s">
        <v>2220</v>
      </c>
    </row>
    <row r="503" spans="1:9" ht="14.4">
      <c r="A503" s="789"/>
      <c r="D503" s="1754"/>
      <c r="E503" s="1754"/>
      <c r="F503" s="1754"/>
    </row>
    <row r="504" spans="1:9" ht="14.4">
      <c r="A504" s="789"/>
      <c r="B504" s="789"/>
      <c r="D504" s="1754"/>
      <c r="E504" s="1754"/>
      <c r="F504" s="1754"/>
    </row>
    <row r="505" spans="1:9" ht="14.4">
      <c r="A505" s="789"/>
      <c r="B505" s="789"/>
      <c r="D505" s="1754"/>
      <c r="E505" s="1754"/>
      <c r="F505" s="1754"/>
    </row>
    <row r="506" spans="1:9" ht="14.4">
      <c r="A506" s="789"/>
      <c r="D506" s="885"/>
      <c r="E506" s="885"/>
      <c r="F506" s="885"/>
      <c r="G506" s="782"/>
    </row>
    <row r="507" spans="1:9" ht="14.4">
      <c r="A507" s="789"/>
      <c r="B507" s="790" t="s">
        <v>2760</v>
      </c>
      <c r="D507" s="1771" t="s">
        <v>1297</v>
      </c>
      <c r="E507" s="1771"/>
      <c r="F507" s="1771"/>
      <c r="G507" s="782"/>
      <c r="I507" s="1082" t="s">
        <v>2221</v>
      </c>
    </row>
    <row r="508" spans="1:9" ht="14.4">
      <c r="A508" s="789"/>
      <c r="B508" s="789"/>
      <c r="D508" s="777"/>
      <c r="E508" s="664"/>
      <c r="F508" s="664"/>
      <c r="G508" s="782"/>
    </row>
    <row r="509" spans="1:9" ht="14.4">
      <c r="A509" s="789"/>
      <c r="B509" s="790" t="s">
        <v>2760</v>
      </c>
      <c r="D509" s="1766" t="s">
        <v>1298</v>
      </c>
      <c r="E509" s="1766"/>
      <c r="F509" s="1766"/>
      <c r="G509" s="782"/>
      <c r="I509" s="1082" t="s">
        <v>2221</v>
      </c>
    </row>
    <row r="510" spans="1:9" ht="14.4">
      <c r="A510" s="789"/>
      <c r="D510" s="1766"/>
      <c r="E510" s="1766"/>
      <c r="F510" s="1766"/>
      <c r="G510" s="782"/>
    </row>
    <row r="511" spans="1:9">
      <c r="A511" s="808"/>
      <c r="B511" s="808"/>
      <c r="D511" s="725"/>
      <c r="E511" s="664"/>
      <c r="F511" s="664"/>
      <c r="G511" s="782"/>
    </row>
    <row r="512" spans="1:9">
      <c r="A512" s="808"/>
      <c r="B512" s="790" t="s">
        <v>2761</v>
      </c>
      <c r="D512" s="1771" t="s">
        <v>1299</v>
      </c>
      <c r="E512" s="1771"/>
      <c r="F512" s="1771"/>
      <c r="G512" s="782"/>
      <c r="I512" s="1082" t="s">
        <v>2274</v>
      </c>
    </row>
    <row r="513" spans="1:9" ht="14.4">
      <c r="A513" s="789"/>
      <c r="B513" s="789"/>
      <c r="D513" s="792"/>
    </row>
    <row r="514" spans="1:9">
      <c r="A514" s="1731" t="s">
        <v>1134</v>
      </c>
      <c r="B514" s="1731"/>
      <c r="C514" s="1731"/>
      <c r="D514" s="1731"/>
      <c r="E514" s="1731"/>
      <c r="F514" s="1731"/>
      <c r="G514" s="1731"/>
      <c r="H514" s="1130"/>
      <c r="I514" s="1131"/>
    </row>
    <row r="515" spans="1:9" s="714" customFormat="1" ht="12" customHeight="1">
      <c r="A515" s="789"/>
      <c r="B515" s="789"/>
      <c r="C515" s="796"/>
      <c r="D515" s="777"/>
      <c r="E515" s="664"/>
      <c r="F515" s="664"/>
      <c r="G515" s="664"/>
      <c r="I515" s="615"/>
    </row>
    <row r="516" spans="1:9" s="714" customFormat="1">
      <c r="A516" s="793"/>
      <c r="B516" s="793"/>
      <c r="C516" s="824"/>
      <c r="D516" s="1806" t="s">
        <v>833</v>
      </c>
      <c r="E516" s="1806"/>
      <c r="F516" s="1806"/>
      <c r="G516" s="685"/>
      <c r="I516" s="615"/>
    </row>
    <row r="517" spans="1:9" s="714" customFormat="1">
      <c r="A517" s="793"/>
      <c r="B517" s="793"/>
      <c r="C517" s="824"/>
      <c r="D517" s="847" t="s">
        <v>1360</v>
      </c>
      <c r="E517" s="847"/>
      <c r="F517" s="847"/>
      <c r="G517" s="685"/>
      <c r="I517" s="615"/>
    </row>
    <row r="518" spans="1:9" s="714" customFormat="1">
      <c r="A518" s="793"/>
      <c r="B518" s="793"/>
      <c r="C518" s="824"/>
      <c r="D518" s="847" t="s">
        <v>1361</v>
      </c>
      <c r="E518" s="847"/>
      <c r="F518" s="847"/>
      <c r="G518" s="685"/>
      <c r="I518" s="615"/>
    </row>
    <row r="519" spans="1:9" s="714" customFormat="1">
      <c r="A519" s="793"/>
      <c r="B519" s="793"/>
      <c r="C519" s="824"/>
      <c r="D519" s="846"/>
      <c r="E519" s="846"/>
      <c r="F519" s="846"/>
      <c r="G519" s="685"/>
      <c r="I519" s="615"/>
    </row>
    <row r="520" spans="1:9" s="714" customFormat="1" ht="13.65" customHeight="1">
      <c r="A520" s="787"/>
      <c r="B520" s="790" t="s">
        <v>2760</v>
      </c>
      <c r="C520" s="791"/>
      <c r="D520" s="1765" t="s">
        <v>2632</v>
      </c>
      <c r="E520" s="1765"/>
      <c r="F520" s="1765"/>
      <c r="G520" s="664"/>
      <c r="I520" s="615" t="s">
        <v>2256</v>
      </c>
    </row>
    <row r="521" spans="1:9" s="714" customFormat="1">
      <c r="A521" s="787"/>
      <c r="B521" s="787"/>
      <c r="C521" s="791"/>
      <c r="D521" s="1765"/>
      <c r="E521" s="1765"/>
      <c r="F521" s="1765"/>
      <c r="G521" s="664"/>
      <c r="I521" s="615"/>
    </row>
    <row r="522" spans="1:9" s="714" customFormat="1">
      <c r="A522" s="787"/>
      <c r="B522" s="787"/>
      <c r="C522" s="791"/>
      <c r="D522" s="1020"/>
      <c r="E522" s="1020"/>
      <c r="F522" s="1020"/>
      <c r="G522" s="664"/>
    </row>
    <row r="523" spans="1:9" s="714" customFormat="1" ht="12.75" customHeight="1">
      <c r="A523" s="787"/>
      <c r="B523" s="790" t="s">
        <v>2761</v>
      </c>
      <c r="C523" s="796"/>
      <c r="D523" s="1186" t="s">
        <v>2347</v>
      </c>
      <c r="E523" s="870"/>
      <c r="F523" s="870"/>
      <c r="G523" s="664"/>
      <c r="I523" s="615" t="s">
        <v>2222</v>
      </c>
    </row>
    <row r="524" spans="1:9" s="1077" customFormat="1">
      <c r="A524" s="787"/>
      <c r="B524" s="1189"/>
      <c r="C524" s="796"/>
      <c r="D524" s="870"/>
      <c r="E524" s="1042" t="s">
        <v>2348</v>
      </c>
      <c r="F524" s="1079"/>
      <c r="G524" s="664"/>
      <c r="I524" s="615"/>
    </row>
    <row r="525" spans="1:9" s="714" customFormat="1">
      <c r="A525" s="787"/>
      <c r="B525" s="787"/>
      <c r="C525" s="796"/>
      <c r="D525" s="1817" t="s">
        <v>2633</v>
      </c>
      <c r="E525" s="1817"/>
      <c r="F525" s="1817"/>
      <c r="G525" s="664"/>
      <c r="I525" s="615"/>
    </row>
    <row r="526" spans="1:9" s="1077" customFormat="1">
      <c r="A526" s="787"/>
      <c r="B526" s="787"/>
      <c r="C526" s="796"/>
      <c r="D526" s="1817"/>
      <c r="E526" s="1817"/>
      <c r="F526" s="1817"/>
      <c r="G526" s="664"/>
      <c r="I526" s="615"/>
    </row>
    <row r="527" spans="1:9" s="714" customFormat="1">
      <c r="A527" s="787"/>
      <c r="B527" s="787"/>
      <c r="C527" s="791"/>
      <c r="D527" s="1817"/>
      <c r="E527" s="1817"/>
      <c r="F527" s="1817"/>
      <c r="G527" s="664"/>
      <c r="I527" s="615"/>
    </row>
    <row r="528" spans="1:9" s="714" customFormat="1">
      <c r="A528" s="787"/>
      <c r="B528" s="787"/>
      <c r="C528" s="791"/>
      <c r="D528" s="825"/>
      <c r="E528" s="664"/>
      <c r="F528" s="777"/>
      <c r="G528" s="664"/>
      <c r="I528" s="615"/>
    </row>
    <row r="529" spans="1:9" s="714" customFormat="1" ht="13.35" customHeight="1">
      <c r="A529" s="787"/>
      <c r="B529" s="790" t="s">
        <v>2761</v>
      </c>
      <c r="C529" s="791"/>
      <c r="D529" s="1810" t="s">
        <v>2634</v>
      </c>
      <c r="E529" s="1810"/>
      <c r="F529" s="1810"/>
      <c r="G529" s="664"/>
      <c r="I529" s="615" t="s">
        <v>2222</v>
      </c>
    </row>
    <row r="530" spans="1:9" s="714" customFormat="1">
      <c r="A530" s="787"/>
      <c r="B530" s="787"/>
      <c r="C530" s="791"/>
      <c r="D530" s="1810"/>
      <c r="E530" s="1810"/>
      <c r="F530" s="1810"/>
      <c r="G530" s="664"/>
      <c r="I530" s="615"/>
    </row>
    <row r="531" spans="1:9" s="714" customFormat="1" ht="12" customHeight="1">
      <c r="A531" s="792"/>
      <c r="B531" s="792"/>
      <c r="C531" s="800"/>
      <c r="D531" s="792"/>
      <c r="E531" s="664"/>
      <c r="F531" s="827"/>
      <c r="G531" s="664"/>
      <c r="I531" s="615"/>
    </row>
    <row r="532" spans="1:9">
      <c r="A532" s="1731" t="s">
        <v>1135</v>
      </c>
      <c r="B532" s="1731"/>
      <c r="C532" s="1731"/>
      <c r="D532" s="1731"/>
      <c r="E532" s="1731"/>
      <c r="F532" s="1731"/>
      <c r="G532" s="1731"/>
      <c r="H532" s="1130"/>
      <c r="I532" s="1131"/>
    </row>
    <row r="533" spans="1:9">
      <c r="A533" s="792"/>
      <c r="B533" s="792"/>
      <c r="C533" s="821"/>
      <c r="F533" s="828"/>
    </row>
    <row r="534" spans="1:9">
      <c r="B534" s="1819" t="s">
        <v>463</v>
      </c>
      <c r="C534" s="1819"/>
      <c r="D534" s="1819"/>
      <c r="E534" s="1819"/>
      <c r="F534" s="1819"/>
    </row>
    <row r="535" spans="1:9">
      <c r="A535" s="792"/>
      <c r="B535" s="792"/>
      <c r="C535" s="821"/>
      <c r="D535" s="792"/>
      <c r="F535" s="792"/>
    </row>
    <row r="536" spans="1:9">
      <c r="A536" s="1732" t="s">
        <v>1136</v>
      </c>
      <c r="B536" s="1732"/>
      <c r="C536" s="1732"/>
      <c r="D536" s="1732"/>
      <c r="E536" s="1732"/>
      <c r="F536" s="1732"/>
      <c r="G536" s="1732"/>
      <c r="H536" s="1130"/>
      <c r="I536" s="1131"/>
    </row>
    <row r="537" spans="1:9">
      <c r="A537" s="792"/>
      <c r="B537" s="792"/>
      <c r="C537" s="821"/>
      <c r="D537" s="792"/>
      <c r="F537" s="792"/>
    </row>
    <row r="538" spans="1:9">
      <c r="C538" s="821"/>
      <c r="D538" s="1721" t="s">
        <v>708</v>
      </c>
      <c r="E538" s="1721"/>
      <c r="F538" s="1721"/>
    </row>
    <row r="539" spans="1:9">
      <c r="C539" s="821"/>
      <c r="D539" s="1771" t="s">
        <v>1193</v>
      </c>
      <c r="E539" s="1771"/>
      <c r="F539" s="1771"/>
    </row>
    <row r="540" spans="1:9">
      <c r="C540" s="821"/>
      <c r="D540" s="777"/>
      <c r="E540" s="777"/>
      <c r="F540" s="777"/>
    </row>
    <row r="541" spans="1:9" ht="13.65" customHeight="1">
      <c r="A541" s="789"/>
      <c r="B541" s="790" t="s">
        <v>2760</v>
      </c>
      <c r="C541" s="821"/>
      <c r="D541" s="1771" t="s">
        <v>930</v>
      </c>
      <c r="E541" s="1771"/>
      <c r="F541" s="1771"/>
      <c r="G541" s="782"/>
      <c r="I541" s="1082" t="s">
        <v>2272</v>
      </c>
    </row>
    <row r="542" spans="1:9" ht="13.65" customHeight="1">
      <c r="A542" s="821"/>
      <c r="B542" s="821"/>
      <c r="C542" s="821"/>
      <c r="D542" s="777"/>
      <c r="E542" s="611"/>
      <c r="F542" s="611"/>
      <c r="G542" s="782"/>
    </row>
    <row r="543" spans="1:9" ht="14.4">
      <c r="A543" s="789"/>
      <c r="B543" s="790" t="s">
        <v>2760</v>
      </c>
      <c r="C543" s="821"/>
      <c r="D543" s="1766" t="s">
        <v>1194</v>
      </c>
      <c r="E543" s="1766"/>
      <c r="F543" s="1766"/>
      <c r="G543" s="782"/>
      <c r="I543" s="1082" t="s">
        <v>2272</v>
      </c>
    </row>
    <row r="544" spans="1:9">
      <c r="A544" s="821"/>
      <c r="B544" s="821"/>
      <c r="C544" s="821"/>
      <c r="D544" s="1766"/>
      <c r="E544" s="1766"/>
      <c r="F544" s="1766"/>
      <c r="G544" s="782"/>
    </row>
    <row r="545" spans="1:9">
      <c r="A545" s="821"/>
      <c r="B545" s="821"/>
      <c r="C545" s="821"/>
      <c r="D545" s="792"/>
      <c r="E545" s="792"/>
      <c r="F545" s="792"/>
      <c r="G545" s="782"/>
    </row>
    <row r="546" spans="1:9" ht="14.4">
      <c r="A546" s="789"/>
      <c r="B546" s="790" t="s">
        <v>2760</v>
      </c>
      <c r="C546" s="821"/>
      <c r="D546" s="1766" t="s">
        <v>1195</v>
      </c>
      <c r="E546" s="1766"/>
      <c r="F546" s="1766"/>
      <c r="G546" s="782"/>
      <c r="I546" s="1082" t="s">
        <v>2223</v>
      </c>
    </row>
    <row r="547" spans="1:9">
      <c r="A547" s="821"/>
      <c r="B547" s="821"/>
      <c r="C547" s="821"/>
      <c r="D547" s="1766"/>
      <c r="E547" s="1766"/>
      <c r="F547" s="1766"/>
      <c r="G547" s="782"/>
    </row>
    <row r="548" spans="1:9">
      <c r="A548" s="821"/>
      <c r="B548" s="821"/>
      <c r="C548" s="821"/>
      <c r="D548" s="792"/>
      <c r="E548" s="792"/>
      <c r="F548" s="792"/>
      <c r="G548" s="782"/>
    </row>
    <row r="549" spans="1:9" ht="14.4">
      <c r="A549" s="789"/>
      <c r="B549" s="790" t="s">
        <v>2760</v>
      </c>
      <c r="C549" s="821"/>
      <c r="D549" s="1766" t="s">
        <v>1196</v>
      </c>
      <c r="E549" s="1766"/>
      <c r="F549" s="1766"/>
      <c r="G549" s="782"/>
      <c r="I549" s="1082" t="s">
        <v>2224</v>
      </c>
    </row>
    <row r="550" spans="1:9">
      <c r="A550" s="821"/>
      <c r="B550" s="821"/>
      <c r="C550" s="821"/>
      <c r="D550" s="1766"/>
      <c r="E550" s="1766"/>
      <c r="F550" s="1766"/>
      <c r="G550" s="782"/>
    </row>
    <row r="551" spans="1:9">
      <c r="A551" s="821"/>
      <c r="B551" s="821"/>
      <c r="C551" s="821"/>
      <c r="D551" s="792"/>
      <c r="E551" s="792"/>
      <c r="F551" s="792"/>
      <c r="G551" s="782"/>
    </row>
    <row r="552" spans="1:9" ht="14.4">
      <c r="A552" s="789"/>
      <c r="B552" s="790" t="s">
        <v>2760</v>
      </c>
      <c r="C552" s="821"/>
      <c r="D552" s="1766" t="s">
        <v>1197</v>
      </c>
      <c r="E552" s="1766"/>
      <c r="F552" s="1766"/>
      <c r="G552" s="782"/>
      <c r="I552" s="1082" t="s">
        <v>2273</v>
      </c>
    </row>
    <row r="553" spans="1:9">
      <c r="A553" s="821"/>
      <c r="B553" s="821"/>
      <c r="C553" s="821"/>
      <c r="D553" s="1766"/>
      <c r="E553" s="1766"/>
      <c r="F553" s="1766"/>
      <c r="G553" s="782"/>
    </row>
    <row r="554" spans="1:9">
      <c r="A554" s="821"/>
      <c r="B554" s="821"/>
      <c r="C554" s="821"/>
      <c r="D554" s="1766"/>
      <c r="E554" s="1766"/>
      <c r="F554" s="1766"/>
      <c r="G554" s="782"/>
    </row>
    <row r="555" spans="1:9">
      <c r="A555" s="821"/>
      <c r="B555" s="821"/>
      <c r="C555" s="821"/>
      <c r="D555" s="792"/>
      <c r="E555" s="792"/>
      <c r="F555" s="792"/>
    </row>
    <row r="556" spans="1:9" ht="14.4">
      <c r="A556" s="789"/>
      <c r="B556" s="790" t="s">
        <v>2761</v>
      </c>
      <c r="C556" s="821"/>
      <c r="D556" s="1810" t="s">
        <v>1315</v>
      </c>
      <c r="E556" s="1810"/>
      <c r="F556" s="1810"/>
      <c r="I556" s="1082" t="s">
        <v>2272</v>
      </c>
    </row>
    <row r="557" spans="1:9">
      <c r="A557" s="821"/>
      <c r="B557" s="821"/>
      <c r="C557" s="821"/>
      <c r="D557" s="1810"/>
      <c r="E557" s="1810"/>
      <c r="F557" s="1810"/>
    </row>
    <row r="558" spans="1:9">
      <c r="A558" s="821"/>
      <c r="B558" s="821"/>
      <c r="C558" s="821"/>
      <c r="D558" s="792"/>
      <c r="E558" s="792"/>
      <c r="F558" s="792"/>
    </row>
    <row r="559" spans="1:9" ht="14.4">
      <c r="A559" s="789"/>
      <c r="B559" s="790" t="s">
        <v>2760</v>
      </c>
      <c r="C559" s="821"/>
      <c r="D559" s="1766" t="s">
        <v>1199</v>
      </c>
      <c r="E559" s="1766"/>
      <c r="F559" s="1766"/>
      <c r="I559" s="1082" t="s">
        <v>2272</v>
      </c>
    </row>
    <row r="560" spans="1:9">
      <c r="A560" s="821"/>
      <c r="B560" s="821"/>
      <c r="C560" s="821"/>
      <c r="D560" s="1766"/>
      <c r="E560" s="1766"/>
      <c r="F560" s="1766"/>
      <c r="G560" s="811"/>
    </row>
    <row r="561" spans="1:16">
      <c r="A561" s="821"/>
      <c r="B561" s="821"/>
      <c r="C561" s="821"/>
      <c r="D561" s="792"/>
      <c r="E561" s="792"/>
      <c r="F561" s="792"/>
      <c r="G561" s="811"/>
    </row>
    <row r="562" spans="1:16" ht="14.4">
      <c r="A562" s="789"/>
      <c r="B562" s="790" t="s">
        <v>2760</v>
      </c>
      <c r="C562" s="821"/>
      <c r="D562" s="1771" t="s">
        <v>1200</v>
      </c>
      <c r="E562" s="1771"/>
      <c r="F562" s="1771"/>
      <c r="G562" s="811"/>
      <c r="I562" s="1082" t="s">
        <v>2275</v>
      </c>
      <c r="P562" s="1080"/>
    </row>
    <row r="563" spans="1:16">
      <c r="A563" s="808"/>
      <c r="B563" s="808"/>
      <c r="C563" s="821"/>
      <c r="D563" s="1771" t="s">
        <v>2350</v>
      </c>
      <c r="E563" s="1771"/>
      <c r="F563" s="1771"/>
      <c r="G563" s="811"/>
    </row>
    <row r="564" spans="1:16">
      <c r="A564" s="808"/>
      <c r="B564" s="808"/>
      <c r="C564" s="821"/>
      <c r="D564" s="782"/>
      <c r="E564" s="1042" t="s">
        <v>2349</v>
      </c>
      <c r="F564" s="1190"/>
      <c r="G564" s="811"/>
    </row>
    <row r="565" spans="1:16" ht="14.4">
      <c r="A565" s="789"/>
      <c r="B565" s="789"/>
      <c r="C565" s="821"/>
      <c r="E565" s="792"/>
      <c r="F565" s="792"/>
      <c r="G565" s="811"/>
    </row>
    <row r="566" spans="1:16" ht="14.4">
      <c r="A566" s="789"/>
      <c r="B566" s="790" t="s">
        <v>2760</v>
      </c>
      <c r="C566" s="821"/>
      <c r="D566" s="1812" t="s">
        <v>1202</v>
      </c>
      <c r="E566" s="1812"/>
      <c r="F566" s="1812"/>
      <c r="G566" s="811"/>
      <c r="I566" s="1082" t="s">
        <v>2225</v>
      </c>
    </row>
    <row r="567" spans="1:16">
      <c r="C567" s="821"/>
      <c r="D567" s="1766" t="s">
        <v>1203</v>
      </c>
      <c r="E567" s="1766"/>
      <c r="F567" s="1766"/>
      <c r="G567" s="811"/>
    </row>
    <row r="568" spans="1:16">
      <c r="A568" s="821"/>
      <c r="B568" s="821"/>
      <c r="C568" s="821"/>
      <c r="D568" s="1766"/>
      <c r="E568" s="1766"/>
      <c r="F568" s="1766"/>
      <c r="G568" s="811"/>
    </row>
    <row r="569" spans="1:16">
      <c r="A569" s="821"/>
      <c r="B569" s="821"/>
      <c r="C569" s="821"/>
      <c r="D569" s="1766"/>
      <c r="E569" s="1766"/>
      <c r="F569" s="1766"/>
      <c r="G569" s="811"/>
    </row>
    <row r="570" spans="1:16">
      <c r="A570" s="821"/>
      <c r="B570" s="821"/>
      <c r="C570" s="821"/>
      <c r="D570" s="792"/>
      <c r="E570" s="792"/>
      <c r="F570" s="792"/>
      <c r="G570" s="811"/>
    </row>
    <row r="571" spans="1:16" ht="14.4">
      <c r="A571" s="789"/>
      <c r="B571" s="790" t="s">
        <v>2760</v>
      </c>
      <c r="C571" s="821"/>
      <c r="D571" s="1766" t="s">
        <v>2635</v>
      </c>
      <c r="E571" s="1766"/>
      <c r="F571" s="1766"/>
      <c r="G571" s="811"/>
      <c r="I571" s="1082" t="s">
        <v>2226</v>
      </c>
    </row>
    <row r="572" spans="1:16" ht="14.4">
      <c r="A572" s="789"/>
      <c r="B572" s="789"/>
      <c r="C572" s="821"/>
      <c r="D572" s="1766"/>
      <c r="E572" s="1766"/>
      <c r="F572" s="1766"/>
      <c r="G572" s="811"/>
    </row>
    <row r="573" spans="1:16" ht="14.4">
      <c r="A573" s="789"/>
      <c r="B573" s="789"/>
      <c r="C573" s="821"/>
      <c r="D573" s="1766"/>
      <c r="E573" s="1766"/>
      <c r="F573" s="1766"/>
      <c r="G573" s="811"/>
    </row>
    <row r="574" spans="1:16" ht="14.4">
      <c r="A574" s="789"/>
      <c r="B574" s="789"/>
      <c r="C574" s="821"/>
      <c r="D574" s="1766"/>
      <c r="E574" s="1766"/>
      <c r="F574" s="1766"/>
      <c r="G574" s="811"/>
    </row>
    <row r="575" spans="1:16" ht="14.4">
      <c r="A575" s="789"/>
      <c r="B575" s="789"/>
      <c r="C575" s="821"/>
      <c r="D575" s="792"/>
      <c r="E575" s="792"/>
      <c r="F575" s="792"/>
      <c r="G575" s="811"/>
    </row>
    <row r="576" spans="1:16">
      <c r="A576" s="1731" t="s">
        <v>1137</v>
      </c>
      <c r="B576" s="1731"/>
      <c r="C576" s="1731"/>
      <c r="D576" s="1731"/>
      <c r="E576" s="1731"/>
      <c r="F576" s="1731"/>
      <c r="G576" s="1731"/>
      <c r="H576" s="1130"/>
      <c r="I576" s="1131"/>
    </row>
    <row r="577" spans="1:9">
      <c r="A577" s="821"/>
      <c r="B577" s="821"/>
      <c r="C577" s="821"/>
      <c r="E577" s="792"/>
      <c r="F577" s="792"/>
      <c r="G577" s="811"/>
    </row>
    <row r="578" spans="1:9" ht="12.75" customHeight="1">
      <c r="C578" s="785"/>
      <c r="D578" s="1803" t="s">
        <v>215</v>
      </c>
      <c r="E578" s="1803"/>
      <c r="F578" s="1803"/>
      <c r="G578" s="811"/>
    </row>
    <row r="579" spans="1:9">
      <c r="A579" s="787"/>
      <c r="B579" s="787"/>
      <c r="C579" s="787"/>
      <c r="D579" s="1753" t="s">
        <v>1153</v>
      </c>
      <c r="E579" s="1753"/>
      <c r="F579" s="1753"/>
      <c r="G579" s="811"/>
    </row>
    <row r="580" spans="1:9">
      <c r="A580" s="782"/>
      <c r="B580" s="782"/>
      <c r="C580" s="787"/>
      <c r="D580" s="829"/>
      <c r="G580" s="811"/>
      <c r="I580" s="1082" t="s">
        <v>2227</v>
      </c>
    </row>
    <row r="581" spans="1:9">
      <c r="A581" s="787"/>
      <c r="B581" s="790" t="s">
        <v>2760</v>
      </c>
      <c r="D581" s="1753" t="s">
        <v>936</v>
      </c>
      <c r="E581" s="1753"/>
      <c r="F581" s="1753"/>
      <c r="G581" s="811"/>
    </row>
    <row r="582" spans="1:9">
      <c r="A582" s="808"/>
      <c r="B582" s="808"/>
      <c r="D582" s="806"/>
    </row>
    <row r="583" spans="1:9">
      <c r="A583" s="808"/>
      <c r="B583" s="790" t="s">
        <v>2760</v>
      </c>
      <c r="D583" s="1754" t="s">
        <v>2636</v>
      </c>
      <c r="E583" s="1754"/>
      <c r="F583" s="1754"/>
      <c r="I583" s="1082" t="s">
        <v>2229</v>
      </c>
    </row>
    <row r="584" spans="1:9">
      <c r="A584" s="808"/>
      <c r="B584" s="808"/>
      <c r="D584" s="1754"/>
      <c r="E584" s="1754"/>
      <c r="F584" s="1754"/>
      <c r="G584" s="782"/>
      <c r="I584" s="1082" t="s">
        <v>2228</v>
      </c>
    </row>
    <row r="585" spans="1:9">
      <c r="A585" s="808"/>
      <c r="B585" s="808"/>
      <c r="D585" s="1754"/>
      <c r="E585" s="1754"/>
      <c r="F585" s="1754"/>
      <c r="G585" s="782"/>
    </row>
    <row r="586" spans="1:9">
      <c r="A586" s="808"/>
      <c r="B586" s="808"/>
      <c r="D586" s="1754"/>
      <c r="E586" s="1754"/>
      <c r="F586" s="1754"/>
      <c r="G586" s="782"/>
    </row>
    <row r="587" spans="1:9">
      <c r="A587" s="808"/>
      <c r="B587" s="790" t="s">
        <v>2761</v>
      </c>
      <c r="D587" s="1754" t="s">
        <v>1155</v>
      </c>
      <c r="E587" s="1754"/>
      <c r="F587" s="1754"/>
      <c r="G587" s="782"/>
    </row>
    <row r="588" spans="1:9">
      <c r="A588" s="808"/>
      <c r="B588" s="808"/>
      <c r="D588" s="1754"/>
      <c r="E588" s="1754"/>
      <c r="F588" s="1754"/>
      <c r="G588" s="782"/>
    </row>
    <row r="589" spans="1:9">
      <c r="A589" s="808"/>
      <c r="B589" s="808"/>
      <c r="D589" s="1754"/>
      <c r="E589" s="1754"/>
      <c r="F589" s="1754"/>
      <c r="G589" s="782"/>
    </row>
    <row r="590" spans="1:9">
      <c r="A590" s="808"/>
      <c r="B590" s="808"/>
      <c r="D590" s="1754"/>
      <c r="E590" s="1754"/>
      <c r="F590" s="1754"/>
      <c r="G590" s="782"/>
    </row>
    <row r="591" spans="1:9">
      <c r="A591" s="808"/>
      <c r="B591" s="808"/>
      <c r="D591" s="775"/>
      <c r="E591" s="775"/>
      <c r="F591" s="775"/>
      <c r="G591" s="782"/>
    </row>
    <row r="592" spans="1:9">
      <c r="A592" s="808"/>
      <c r="B592" s="790" t="s">
        <v>2760</v>
      </c>
      <c r="D592" s="1754" t="s">
        <v>2637</v>
      </c>
      <c r="E592" s="1754"/>
      <c r="F592" s="1754"/>
      <c r="G592" s="782"/>
    </row>
    <row r="593" spans="1:9">
      <c r="A593" s="808"/>
      <c r="B593" s="808"/>
      <c r="D593" s="1754"/>
      <c r="E593" s="1754"/>
      <c r="F593" s="1754"/>
      <c r="G593" s="782"/>
    </row>
    <row r="594" spans="1:9">
      <c r="A594" s="808"/>
      <c r="B594" s="808"/>
      <c r="D594" s="829"/>
      <c r="G594" s="782"/>
    </row>
    <row r="595" spans="1:9">
      <c r="A595" s="808"/>
      <c r="B595" s="790" t="s">
        <v>2761</v>
      </c>
      <c r="D595" s="1753" t="s">
        <v>1157</v>
      </c>
      <c r="E595" s="1753"/>
      <c r="F595" s="1753"/>
      <c r="G595" s="782"/>
      <c r="I595" s="1082" t="s">
        <v>2276</v>
      </c>
    </row>
    <row r="596" spans="1:9">
      <c r="A596" s="808"/>
      <c r="B596" s="808"/>
      <c r="D596" s="1753"/>
      <c r="E596" s="1753"/>
      <c r="F596" s="1753"/>
      <c r="G596" s="782"/>
    </row>
    <row r="597" spans="1:9" ht="14.4">
      <c r="A597" s="789"/>
      <c r="B597" s="789"/>
      <c r="D597" s="829"/>
      <c r="G597" s="782"/>
    </row>
    <row r="598" spans="1:9">
      <c r="A598" s="1731" t="s">
        <v>1138</v>
      </c>
      <c r="B598" s="1731"/>
      <c r="C598" s="1731"/>
      <c r="D598" s="1731"/>
      <c r="E598" s="1731"/>
      <c r="F598" s="1731"/>
      <c r="G598" s="1731"/>
      <c r="H598" s="1130"/>
      <c r="I598" s="1131"/>
    </row>
    <row r="599" spans="1:9"/>
    <row r="600" spans="1:9">
      <c r="D600" s="1721" t="s">
        <v>1238</v>
      </c>
      <c r="E600" s="1721"/>
      <c r="F600" s="1721"/>
    </row>
    <row r="601" spans="1:9">
      <c r="D601" s="1722" t="s">
        <v>1239</v>
      </c>
      <c r="E601" s="1722"/>
      <c r="F601" s="1722"/>
    </row>
    <row r="602" spans="1:9">
      <c r="D602" s="772"/>
      <c r="E602" s="714"/>
      <c r="F602" s="714"/>
    </row>
    <row r="603" spans="1:9" s="783" customFormat="1" ht="14.25" customHeight="1">
      <c r="A603" s="797"/>
      <c r="B603" s="790" t="s">
        <v>2760</v>
      </c>
      <c r="C603" s="793"/>
      <c r="D603" s="1835" t="s">
        <v>2351</v>
      </c>
      <c r="E603" s="1835"/>
      <c r="F603" s="1835"/>
      <c r="G603" s="794"/>
      <c r="I603" s="1114" t="s">
        <v>2257</v>
      </c>
    </row>
    <row r="604" spans="1:9">
      <c r="D604" s="1835"/>
      <c r="E604" s="1835"/>
      <c r="F604" s="1835"/>
    </row>
    <row r="605" spans="1:9">
      <c r="D605" s="1191"/>
      <c r="E605" s="1187" t="s">
        <v>2352</v>
      </c>
      <c r="F605" s="1191"/>
    </row>
    <row r="606" spans="1:9"/>
    <row r="607" spans="1:9">
      <c r="A607" s="1731" t="s">
        <v>1139</v>
      </c>
      <c r="B607" s="1731"/>
      <c r="C607" s="1731"/>
      <c r="D607" s="1731"/>
      <c r="E607" s="1731"/>
      <c r="F607" s="1731"/>
      <c r="G607" s="1731"/>
      <c r="H607" s="1130"/>
      <c r="I607" s="1131"/>
    </row>
    <row r="608" spans="1:9">
      <c r="A608" s="792"/>
      <c r="B608" s="792"/>
      <c r="G608" s="811"/>
    </row>
    <row r="609" spans="1:13">
      <c r="A609" s="830"/>
      <c r="B609" s="830"/>
      <c r="C609" s="785"/>
      <c r="D609" s="1724" t="s">
        <v>1241</v>
      </c>
      <c r="E609" s="1724"/>
      <c r="F609" s="1724"/>
      <c r="G609" s="811"/>
    </row>
    <row r="610" spans="1:13">
      <c r="A610" s="830"/>
      <c r="B610" s="830"/>
      <c r="C610" s="785"/>
      <c r="D610" s="1724"/>
      <c r="E610" s="1724"/>
      <c r="F610" s="1724"/>
      <c r="G610" s="811"/>
    </row>
    <row r="611" spans="1:13">
      <c r="C611" s="787"/>
      <c r="D611" s="1722" t="s">
        <v>1242</v>
      </c>
      <c r="E611" s="1722"/>
      <c r="F611" s="1722"/>
      <c r="G611" s="811"/>
    </row>
    <row r="612" spans="1:13">
      <c r="C612" s="787"/>
      <c r="D612" s="772"/>
      <c r="E612" s="772"/>
      <c r="F612" s="772"/>
      <c r="G612" s="811"/>
    </row>
    <row r="613" spans="1:13" ht="12.75" customHeight="1">
      <c r="A613" s="808"/>
      <c r="B613" s="790" t="s">
        <v>2760</v>
      </c>
      <c r="D613" s="1725" t="s">
        <v>1243</v>
      </c>
      <c r="E613" s="1725"/>
      <c r="F613" s="1725"/>
      <c r="G613" s="811"/>
      <c r="I613" s="1082" t="s">
        <v>2277</v>
      </c>
    </row>
    <row r="614" spans="1:13">
      <c r="D614" s="1725"/>
      <c r="E614" s="1725"/>
      <c r="F614" s="1725"/>
      <c r="G614" s="811"/>
    </row>
    <row r="615" spans="1:13">
      <c r="D615" s="782"/>
      <c r="G615" s="811"/>
    </row>
    <row r="616" spans="1:13">
      <c r="B616" s="790" t="s">
        <v>2760</v>
      </c>
      <c r="D616" s="1725" t="s">
        <v>1244</v>
      </c>
      <c r="E616" s="1725"/>
      <c r="F616" s="1725"/>
      <c r="G616" s="811"/>
      <c r="I616" s="1082" t="s">
        <v>2230</v>
      </c>
    </row>
    <row r="617" spans="1:13">
      <c r="C617" s="831"/>
      <c r="D617" s="1725"/>
      <c r="E617" s="1725"/>
      <c r="F617" s="1725"/>
      <c r="G617" s="811"/>
    </row>
    <row r="618" spans="1:13">
      <c r="C618" s="831"/>
      <c r="G618" s="811"/>
    </row>
    <row r="619" spans="1:13">
      <c r="B619" s="790" t="s">
        <v>2761</v>
      </c>
      <c r="C619" s="831"/>
      <c r="D619" s="1725" t="s">
        <v>1245</v>
      </c>
      <c r="E619" s="1725"/>
      <c r="F619" s="1725"/>
      <c r="G619" s="811"/>
      <c r="I619" s="1082" t="s">
        <v>2278</v>
      </c>
    </row>
    <row r="620" spans="1:13">
      <c r="C620" s="831"/>
      <c r="D620" s="1725"/>
      <c r="E620" s="1725"/>
      <c r="F620" s="1725"/>
      <c r="G620" s="811"/>
      <c r="I620" s="1127" t="s">
        <v>2279</v>
      </c>
    </row>
    <row r="621" spans="1:13">
      <c r="C621" s="831"/>
      <c r="G621" s="811"/>
    </row>
    <row r="622" spans="1:13">
      <c r="A622" s="1731" t="s">
        <v>1140</v>
      </c>
      <c r="B622" s="1731"/>
      <c r="C622" s="1731"/>
      <c r="D622" s="1731"/>
      <c r="E622" s="1731"/>
      <c r="F622" s="1731"/>
      <c r="G622" s="1731"/>
      <c r="H622" s="1130"/>
      <c r="I622" s="1131"/>
    </row>
    <row r="623" spans="1:13">
      <c r="A623" s="832"/>
      <c r="B623" s="832"/>
      <c r="C623" s="832"/>
      <c r="G623" s="811"/>
    </row>
    <row r="624" spans="1:13">
      <c r="C624" s="808"/>
      <c r="D624" s="1721" t="s">
        <v>1246</v>
      </c>
      <c r="E624" s="1721"/>
      <c r="F624" s="1721"/>
      <c r="G624" s="811"/>
      <c r="M624" s="1080"/>
    </row>
    <row r="625" spans="1:13">
      <c r="A625" s="808"/>
      <c r="B625" s="808"/>
      <c r="C625" s="810"/>
      <c r="D625" s="786"/>
      <c r="G625" s="811"/>
      <c r="M625" s="1080"/>
    </row>
    <row r="626" spans="1:13" ht="14.25" customHeight="1">
      <c r="A626" s="789"/>
      <c r="B626" s="790" t="s">
        <v>2760</v>
      </c>
      <c r="C626" s="810"/>
      <c r="D626" s="1836" t="s">
        <v>2638</v>
      </c>
      <c r="E626" s="1836"/>
      <c r="F626" s="1836"/>
      <c r="G626" s="811"/>
      <c r="I626" s="1082" t="s">
        <v>2258</v>
      </c>
      <c r="M626" s="1080"/>
    </row>
    <row r="627" spans="1:13">
      <c r="C627" s="810"/>
      <c r="D627" s="1836"/>
      <c r="E627" s="1836"/>
      <c r="F627" s="1836"/>
      <c r="G627" s="811"/>
      <c r="M627" s="1080"/>
    </row>
    <row r="628" spans="1:13">
      <c r="C628" s="810"/>
      <c r="D628" s="870"/>
      <c r="E628" s="1187" t="s">
        <v>2354</v>
      </c>
      <c r="F628" s="870"/>
      <c r="G628" s="811"/>
      <c r="M628" s="1080"/>
    </row>
    <row r="629" spans="1:13">
      <c r="C629" s="810"/>
      <c r="D629" s="1766" t="s">
        <v>2353</v>
      </c>
      <c r="E629" s="1766"/>
      <c r="F629" s="1766"/>
      <c r="G629" s="811"/>
      <c r="M629" s="1080"/>
    </row>
    <row r="630" spans="1:13">
      <c r="C630" s="810"/>
      <c r="D630" s="1766"/>
      <c r="E630" s="1766"/>
      <c r="F630" s="1766"/>
      <c r="G630" s="811"/>
    </row>
    <row r="631" spans="1:13">
      <c r="C631" s="810"/>
      <c r="D631" s="1766"/>
      <c r="E631" s="1766"/>
      <c r="F631" s="1766"/>
      <c r="G631" s="811"/>
    </row>
    <row r="632" spans="1:13">
      <c r="C632" s="810"/>
      <c r="D632" s="776"/>
      <c r="E632" s="776"/>
      <c r="F632" s="776"/>
      <c r="G632" s="811"/>
    </row>
    <row r="633" spans="1:13" ht="14.4">
      <c r="A633" s="789"/>
      <c r="B633" s="790" t="s">
        <v>2761</v>
      </c>
      <c r="C633" s="810"/>
      <c r="D633" s="1766" t="s">
        <v>1248</v>
      </c>
      <c r="E633" s="1766"/>
      <c r="F633" s="1766"/>
      <c r="G633" s="811"/>
      <c r="I633" s="1082" t="s">
        <v>2280</v>
      </c>
    </row>
    <row r="634" spans="1:13">
      <c r="A634" s="821"/>
      <c r="B634" s="821"/>
      <c r="C634" s="821"/>
      <c r="D634" s="1766"/>
      <c r="E634" s="1766"/>
      <c r="F634" s="1766"/>
      <c r="G634" s="811"/>
    </row>
    <row r="635" spans="1:13">
      <c r="A635" s="821"/>
      <c r="B635" s="821"/>
      <c r="C635" s="821"/>
      <c r="D635" s="777"/>
      <c r="E635" s="833"/>
      <c r="F635" s="833"/>
      <c r="G635" s="811"/>
    </row>
    <row r="636" spans="1:13" ht="14.4">
      <c r="A636" s="789"/>
      <c r="B636" s="790" t="s">
        <v>2761</v>
      </c>
      <c r="C636" s="821"/>
      <c r="D636" s="1723" t="s">
        <v>1391</v>
      </c>
      <c r="E636" s="1723"/>
      <c r="F636" s="1723"/>
      <c r="G636" s="811"/>
      <c r="I636" s="1082" t="s">
        <v>2231</v>
      </c>
    </row>
    <row r="637" spans="1:13" ht="14.4">
      <c r="A637" s="789"/>
      <c r="B637" s="789"/>
      <c r="C637" s="821"/>
      <c r="D637" s="1723"/>
      <c r="E637" s="1723"/>
      <c r="F637" s="1723"/>
      <c r="G637" s="811"/>
    </row>
    <row r="638" spans="1:13" ht="14.4">
      <c r="A638" s="789"/>
      <c r="B638" s="789"/>
      <c r="C638" s="821"/>
      <c r="D638" s="1723"/>
      <c r="E638" s="1723"/>
      <c r="F638" s="1723"/>
      <c r="G638" s="811"/>
    </row>
    <row r="639" spans="1:13">
      <c r="A639" s="821"/>
      <c r="B639" s="790" t="s">
        <v>2761</v>
      </c>
      <c r="C639" s="821"/>
      <c r="D639" s="1771" t="s">
        <v>1250</v>
      </c>
      <c r="E639" s="1771"/>
      <c r="F639" s="1771"/>
      <c r="G639" s="811"/>
      <c r="I639" s="1082" t="s">
        <v>2231</v>
      </c>
    </row>
    <row r="640" spans="1:13">
      <c r="A640" s="821"/>
      <c r="B640" s="821"/>
      <c r="C640" s="821"/>
      <c r="D640" s="719"/>
      <c r="E640" s="719"/>
      <c r="F640" s="719"/>
      <c r="G640" s="811"/>
    </row>
    <row r="641" spans="1:9">
      <c r="A641" s="1731" t="s">
        <v>1141</v>
      </c>
      <c r="B641" s="1731"/>
      <c r="C641" s="1731"/>
      <c r="D641" s="1731"/>
      <c r="E641" s="1731"/>
      <c r="F641" s="1731"/>
      <c r="G641" s="1731"/>
      <c r="H641" s="1130"/>
      <c r="I641" s="1131"/>
    </row>
    <row r="642" spans="1:9">
      <c r="A642" s="792"/>
      <c r="B642" s="792"/>
      <c r="C642" s="821"/>
      <c r="D642" s="833"/>
      <c r="E642" s="833"/>
      <c r="F642" s="833"/>
      <c r="G642" s="811"/>
    </row>
    <row r="643" spans="1:9">
      <c r="C643" s="832"/>
      <c r="D643" s="1831" t="s">
        <v>1300</v>
      </c>
      <c r="E643" s="1831"/>
      <c r="F643" s="1831"/>
      <c r="G643" s="811"/>
    </row>
    <row r="644" spans="1:9">
      <c r="A644" s="787"/>
      <c r="B644" s="787"/>
      <c r="C644" s="787"/>
      <c r="D644" s="1832" t="s">
        <v>1301</v>
      </c>
      <c r="E644" s="1832"/>
      <c r="F644" s="1832"/>
      <c r="G644" s="811"/>
    </row>
    <row r="645" spans="1:9">
      <c r="A645" s="787"/>
      <c r="B645" s="787"/>
      <c r="C645" s="787"/>
      <c r="D645" s="719"/>
      <c r="E645" s="719"/>
      <c r="F645" s="719"/>
      <c r="G645" s="811"/>
    </row>
    <row r="646" spans="1:9" ht="12.75" customHeight="1">
      <c r="B646" s="790" t="s">
        <v>2760</v>
      </c>
      <c r="C646" s="821"/>
      <c r="D646" s="1807" t="s">
        <v>1463</v>
      </c>
      <c r="E646" s="1807"/>
      <c r="F646" s="1807"/>
      <c r="I646" s="1082" t="s">
        <v>2283</v>
      </c>
    </row>
    <row r="647" spans="1:9">
      <c r="D647" s="1807"/>
      <c r="E647" s="1807"/>
      <c r="F647" s="1807"/>
    </row>
    <row r="648" spans="1:9">
      <c r="D648" s="1807"/>
      <c r="E648" s="1807"/>
      <c r="F648" s="1807"/>
    </row>
    <row r="649" spans="1:9">
      <c r="D649" s="1807"/>
      <c r="E649" s="1807"/>
      <c r="F649" s="1807"/>
    </row>
    <row r="650" spans="1:9" ht="14.4" customHeight="1">
      <c r="A650" s="789"/>
      <c r="B650" s="789"/>
      <c r="C650" s="821"/>
      <c r="D650" s="892"/>
      <c r="E650" s="892"/>
      <c r="F650" s="892"/>
      <c r="G650" s="811"/>
    </row>
    <row r="651" spans="1:9" ht="12.75" customHeight="1">
      <c r="A651" s="787"/>
      <c r="B651" s="790" t="s">
        <v>2760</v>
      </c>
      <c r="C651" s="821"/>
      <c r="D651" s="1807" t="s">
        <v>1465</v>
      </c>
      <c r="E651" s="1807"/>
      <c r="F651" s="1807"/>
      <c r="G651" s="811"/>
      <c r="I651" s="1082" t="s">
        <v>2283</v>
      </c>
    </row>
    <row r="652" spans="1:9" ht="14.4">
      <c r="A652" s="787"/>
      <c r="B652" s="789"/>
      <c r="C652" s="821"/>
      <c r="D652" s="1807"/>
      <c r="E652" s="1807"/>
      <c r="F652" s="1807"/>
      <c r="G652" s="811"/>
    </row>
    <row r="653" spans="1:9" ht="14.4">
      <c r="A653" s="787"/>
      <c r="B653" s="789"/>
      <c r="C653" s="821"/>
      <c r="D653" s="1807"/>
      <c r="E653" s="1807"/>
      <c r="F653" s="1807"/>
      <c r="G653" s="811"/>
    </row>
    <row r="654" spans="1:9" ht="14.4">
      <c r="A654" s="787"/>
      <c r="B654" s="789"/>
      <c r="C654" s="821"/>
      <c r="D654" s="1807"/>
      <c r="E654" s="1807"/>
      <c r="F654" s="1807"/>
      <c r="G654" s="811"/>
    </row>
    <row r="655" spans="1:9" ht="14.4">
      <c r="A655" s="787"/>
      <c r="B655" s="789"/>
      <c r="C655" s="821"/>
      <c r="D655" s="1807"/>
      <c r="E655" s="1807"/>
      <c r="F655" s="1807"/>
      <c r="G655" s="811"/>
    </row>
    <row r="656" spans="1:9" ht="14.25" customHeight="1">
      <c r="A656" s="787"/>
      <c r="B656" s="789"/>
      <c r="C656" s="821"/>
      <c r="F656" s="893"/>
      <c r="G656" s="811"/>
    </row>
    <row r="657" spans="1:11" ht="12.75" customHeight="1">
      <c r="A657" s="787"/>
      <c r="B657" s="790" t="s">
        <v>2760</v>
      </c>
      <c r="C657" s="821"/>
      <c r="D657" s="1807" t="s">
        <v>1464</v>
      </c>
      <c r="E657" s="1807"/>
      <c r="F657" s="1807"/>
      <c r="G657" s="811"/>
      <c r="I657" s="1082" t="s">
        <v>2283</v>
      </c>
    </row>
    <row r="658" spans="1:11" ht="14.4">
      <c r="A658" s="787"/>
      <c r="B658" s="789"/>
      <c r="C658" s="821"/>
      <c r="D658" s="1807"/>
      <c r="E658" s="1807"/>
      <c r="F658" s="1807"/>
      <c r="G658" s="811"/>
    </row>
    <row r="659" spans="1:11" ht="14.4">
      <c r="A659" s="789"/>
      <c r="B659" s="789"/>
      <c r="C659" s="821"/>
      <c r="D659" s="1807"/>
      <c r="E659" s="1807"/>
      <c r="F659" s="1807"/>
      <c r="G659" s="811"/>
    </row>
    <row r="660" spans="1:11" ht="14.4">
      <c r="A660" s="789"/>
      <c r="B660" s="789"/>
      <c r="C660" s="821"/>
      <c r="D660" s="1807"/>
      <c r="E660" s="1807"/>
      <c r="F660" s="1807"/>
      <c r="G660" s="811"/>
    </row>
    <row r="661" spans="1:11" ht="14.4">
      <c r="A661" s="789"/>
      <c r="B661" s="789"/>
      <c r="C661" s="821"/>
      <c r="D661" s="884"/>
      <c r="E661" s="884"/>
      <c r="F661" s="884"/>
      <c r="G661" s="811"/>
    </row>
    <row r="662" spans="1:11" ht="12.75" customHeight="1">
      <c r="A662" s="787"/>
      <c r="B662" s="790" t="s">
        <v>2761</v>
      </c>
      <c r="C662" s="821"/>
      <c r="D662" s="1807" t="s">
        <v>2639</v>
      </c>
      <c r="E662" s="1807"/>
      <c r="F662" s="1807"/>
      <c r="G662" s="811"/>
      <c r="I662" s="1082" t="s">
        <v>2283</v>
      </c>
    </row>
    <row r="663" spans="1:11" ht="12.75" customHeight="1">
      <c r="A663" s="787"/>
      <c r="B663" s="789"/>
      <c r="C663" s="821"/>
      <c r="D663" s="1807"/>
      <c r="E663" s="1807"/>
      <c r="F663" s="1807"/>
      <c r="G663" s="811"/>
    </row>
    <row r="664" spans="1:11" ht="12.75" customHeight="1">
      <c r="A664" s="787"/>
      <c r="B664" s="789"/>
      <c r="C664" s="821"/>
      <c r="D664" s="1807"/>
      <c r="E664" s="1807"/>
      <c r="F664" s="1807"/>
      <c r="G664" s="811"/>
    </row>
    <row r="665" spans="1:11" ht="12.75" customHeight="1">
      <c r="A665" s="787"/>
      <c r="B665" s="789"/>
      <c r="C665" s="821"/>
      <c r="D665" s="1807"/>
      <c r="E665" s="1807"/>
      <c r="F665" s="1807"/>
      <c r="G665" s="811"/>
    </row>
    <row r="666" spans="1:11" ht="12.75" customHeight="1">
      <c r="A666" s="787"/>
      <c r="B666" s="789"/>
      <c r="C666" s="821"/>
      <c r="D666" s="1807"/>
      <c r="E666" s="1807"/>
      <c r="F666" s="1807"/>
      <c r="G666" s="811"/>
    </row>
    <row r="667" spans="1:11" ht="12.75" customHeight="1">
      <c r="A667" s="787"/>
      <c r="B667" s="789"/>
      <c r="C667" s="821"/>
      <c r="D667" s="1807"/>
      <c r="E667" s="1807"/>
      <c r="F667" s="1807"/>
      <c r="G667" s="811"/>
    </row>
    <row r="668" spans="1:11" ht="12.75" customHeight="1">
      <c r="A668" s="787"/>
      <c r="B668" s="789"/>
      <c r="C668" s="821"/>
      <c r="D668" s="1807"/>
      <c r="E668" s="1807"/>
      <c r="F668" s="1807"/>
      <c r="G668" s="811"/>
    </row>
    <row r="669" spans="1:11" ht="12.75" customHeight="1">
      <c r="A669" s="787"/>
      <c r="B669" s="789"/>
      <c r="C669" s="821"/>
      <c r="D669" s="1807"/>
      <c r="E669" s="1807"/>
      <c r="F669" s="1807"/>
      <c r="G669" s="811"/>
    </row>
    <row r="670" spans="1:11" ht="12.75" customHeight="1">
      <c r="A670" s="787"/>
      <c r="B670" s="789"/>
      <c r="C670" s="821"/>
      <c r="D670" s="1807"/>
      <c r="E670" s="1807"/>
      <c r="F670" s="1807"/>
      <c r="G670" s="811"/>
    </row>
    <row r="671" spans="1:11">
      <c r="A671" s="821"/>
      <c r="B671" s="821"/>
      <c r="C671" s="821"/>
      <c r="D671" s="833"/>
      <c r="E671" s="833"/>
      <c r="F671" s="833"/>
      <c r="G671" s="811"/>
    </row>
    <row r="672" spans="1:11">
      <c r="A672" s="1731" t="s">
        <v>1142</v>
      </c>
      <c r="B672" s="1731"/>
      <c r="C672" s="1731"/>
      <c r="D672" s="1731"/>
      <c r="E672" s="1731"/>
      <c r="F672" s="1731"/>
      <c r="G672" s="1731"/>
      <c r="H672" s="1132"/>
      <c r="I672" s="1133"/>
      <c r="J672" s="834"/>
      <c r="K672" s="834"/>
    </row>
    <row r="673" spans="1:11">
      <c r="A673" s="727"/>
      <c r="B673" s="727"/>
      <c r="C673" s="727"/>
      <c r="D673" s="727"/>
      <c r="E673" s="727"/>
      <c r="F673" s="727"/>
      <c r="G673" s="727"/>
      <c r="H673" s="834"/>
      <c r="I673" s="1118"/>
      <c r="J673" s="834"/>
      <c r="K673" s="834"/>
    </row>
    <row r="674" spans="1:11">
      <c r="C674" s="832"/>
      <c r="D674" s="1721" t="s">
        <v>104</v>
      </c>
      <c r="E674" s="1721"/>
      <c r="F674" s="1721"/>
      <c r="G674" s="811"/>
      <c r="H674" s="834"/>
      <c r="I674" s="1118"/>
      <c r="J674" s="834"/>
      <c r="K674" s="834"/>
    </row>
    <row r="675" spans="1:11">
      <c r="A675" s="832"/>
      <c r="B675" s="832"/>
      <c r="C675" s="832"/>
      <c r="D675" s="1721" t="s">
        <v>128</v>
      </c>
      <c r="E675" s="1721"/>
      <c r="F675" s="1721"/>
      <c r="G675" s="811"/>
      <c r="H675" s="834"/>
      <c r="I675" s="1118"/>
      <c r="J675" s="834"/>
      <c r="K675" s="834"/>
    </row>
    <row r="676" spans="1:11">
      <c r="A676" s="787"/>
      <c r="B676" s="787"/>
      <c r="C676" s="787"/>
      <c r="D676" s="1771" t="s">
        <v>1178</v>
      </c>
      <c r="E676" s="1771"/>
      <c r="F676" s="1771"/>
      <c r="G676" s="811"/>
      <c r="H676" s="834"/>
      <c r="I676" s="1118"/>
      <c r="J676" s="834"/>
      <c r="K676" s="834"/>
    </row>
    <row r="677" spans="1:11">
      <c r="A677" s="787"/>
      <c r="B677" s="787"/>
      <c r="C677" s="787"/>
      <c r="G677" s="811"/>
      <c r="H677" s="834"/>
      <c r="I677" s="1118"/>
      <c r="J677" s="834"/>
      <c r="K677" s="834"/>
    </row>
    <row r="678" spans="1:11" ht="14.4">
      <c r="A678" s="789"/>
      <c r="B678" s="790" t="s">
        <v>2761</v>
      </c>
      <c r="C678" s="787"/>
      <c r="D678" s="1771" t="s">
        <v>932</v>
      </c>
      <c r="E678" s="1771"/>
      <c r="F678" s="1771"/>
      <c r="G678" s="811"/>
      <c r="H678" s="834"/>
      <c r="I678" s="1118" t="s">
        <v>2259</v>
      </c>
      <c r="J678" s="834"/>
      <c r="K678" s="834"/>
    </row>
    <row r="679" spans="1:11">
      <c r="A679" s="787"/>
      <c r="B679" s="787"/>
      <c r="C679" s="787"/>
      <c r="D679" s="1771" t="s">
        <v>943</v>
      </c>
      <c r="E679" s="1771"/>
      <c r="F679" s="1771"/>
      <c r="G679" s="811"/>
      <c r="H679" s="834"/>
      <c r="I679" s="1118"/>
      <c r="J679" s="834"/>
      <c r="K679" s="834"/>
    </row>
    <row r="680" spans="1:11" ht="12.75" customHeight="1">
      <c r="A680" s="787"/>
      <c r="B680" s="787"/>
      <c r="C680" s="787"/>
      <c r="D680" s="664"/>
      <c r="E680" s="1187" t="s">
        <v>2356</v>
      </c>
      <c r="F680" s="638"/>
      <c r="G680" s="811"/>
      <c r="H680" s="834"/>
      <c r="I680" s="1118"/>
      <c r="J680" s="834"/>
      <c r="K680" s="834"/>
    </row>
    <row r="681" spans="1:11">
      <c r="A681" s="787"/>
      <c r="B681" s="787"/>
      <c r="C681" s="787"/>
      <c r="D681" s="664"/>
      <c r="E681" s="834" t="s">
        <v>2355</v>
      </c>
      <c r="F681" s="638"/>
      <c r="G681" s="811"/>
      <c r="I681" s="1118"/>
      <c r="J681" s="834"/>
      <c r="K681" s="834"/>
    </row>
    <row r="682" spans="1:11">
      <c r="A682" s="787"/>
      <c r="B682" s="787"/>
      <c r="C682" s="787"/>
      <c r="D682" s="835"/>
      <c r="E682" s="792"/>
      <c r="G682" s="811"/>
      <c r="H682" s="834"/>
      <c r="I682" s="1118"/>
      <c r="J682" s="834"/>
      <c r="K682" s="834"/>
    </row>
    <row r="683" spans="1:11" ht="14.4">
      <c r="A683" s="789"/>
      <c r="B683" s="790" t="s">
        <v>2761</v>
      </c>
      <c r="C683" s="787"/>
      <c r="D683" s="1766" t="s">
        <v>2640</v>
      </c>
      <c r="E683" s="1766"/>
      <c r="F683" s="1766"/>
      <c r="G683" s="811"/>
      <c r="H683" s="834"/>
      <c r="I683" s="1118" t="s">
        <v>2281</v>
      </c>
      <c r="J683" s="834"/>
      <c r="K683" s="834"/>
    </row>
    <row r="684" spans="1:11">
      <c r="A684" s="808"/>
      <c r="B684" s="808"/>
      <c r="C684" s="787"/>
      <c r="D684" s="1766"/>
      <c r="E684" s="1766"/>
      <c r="F684" s="1766"/>
      <c r="G684" s="811"/>
      <c r="H684" s="834"/>
      <c r="I684" s="1118"/>
      <c r="J684" s="834"/>
      <c r="K684" s="834"/>
    </row>
    <row r="685" spans="1:11">
      <c r="A685" s="787"/>
      <c r="B685" s="787"/>
      <c r="C685" s="787"/>
      <c r="D685" s="1766"/>
      <c r="E685" s="1766"/>
      <c r="F685" s="1766"/>
      <c r="G685" s="811"/>
      <c r="H685" s="834"/>
      <c r="I685" s="1118"/>
      <c r="J685" s="834"/>
      <c r="K685" s="834"/>
    </row>
    <row r="686" spans="1:11">
      <c r="A686" s="787"/>
      <c r="B686" s="787"/>
      <c r="C686" s="787"/>
      <c r="G686" s="811"/>
      <c r="H686" s="834"/>
      <c r="I686" s="1118" t="s">
        <v>2260</v>
      </c>
      <c r="J686" s="834"/>
      <c r="K686" s="834"/>
    </row>
    <row r="687" spans="1:11" ht="14.4">
      <c r="A687" s="789"/>
      <c r="B687" s="790" t="s">
        <v>2760</v>
      </c>
      <c r="C687" s="787"/>
      <c r="D687" s="1771" t="s">
        <v>971</v>
      </c>
      <c r="E687" s="1771"/>
      <c r="F687" s="1771"/>
      <c r="G687" s="811"/>
      <c r="H687" s="834"/>
      <c r="I687" s="1118"/>
      <c r="J687" s="834"/>
      <c r="K687" s="834"/>
    </row>
    <row r="688" spans="1:11" ht="14.4">
      <c r="A688" s="789"/>
      <c r="B688" s="789"/>
      <c r="C688" s="787"/>
      <c r="D688" s="1771" t="s">
        <v>943</v>
      </c>
      <c r="E688" s="1771"/>
      <c r="F688" s="1771"/>
      <c r="G688" s="811"/>
      <c r="H688" s="834"/>
      <c r="I688" s="1118"/>
      <c r="J688" s="834"/>
      <c r="K688" s="834"/>
    </row>
    <row r="689" spans="1:11">
      <c r="A689" s="787"/>
      <c r="B689" s="787"/>
      <c r="C689" s="787"/>
      <c r="D689" s="664"/>
      <c r="E689" s="1187" t="s">
        <v>2357</v>
      </c>
      <c r="F689" s="1190"/>
      <c r="G689" s="811"/>
      <c r="H689" s="834"/>
      <c r="I689" s="1118"/>
      <c r="J689" s="834"/>
      <c r="K689" s="834"/>
    </row>
    <row r="690" spans="1:11">
      <c r="A690" s="787"/>
      <c r="B690" s="787"/>
      <c r="C690" s="787"/>
      <c r="D690" s="786"/>
      <c r="G690" s="811"/>
      <c r="H690" s="834"/>
      <c r="I690" s="1118"/>
      <c r="J690" s="834"/>
      <c r="K690" s="834"/>
    </row>
    <row r="691" spans="1:11" ht="14.4">
      <c r="A691" s="789"/>
      <c r="B691" s="790" t="s">
        <v>2760</v>
      </c>
      <c r="C691" s="787"/>
      <c r="D691" s="1810" t="s">
        <v>1191</v>
      </c>
      <c r="E691" s="1810"/>
      <c r="F691" s="1810"/>
      <c r="G691" s="811"/>
      <c r="H691" s="834"/>
      <c r="I691" s="1118" t="s">
        <v>2232</v>
      </c>
      <c r="J691" s="834"/>
      <c r="K691" s="834"/>
    </row>
    <row r="692" spans="1:11">
      <c r="A692" s="787"/>
      <c r="B692" s="787"/>
      <c r="C692" s="787"/>
      <c r="D692" s="1810"/>
      <c r="E692" s="1810"/>
      <c r="F692" s="1810"/>
      <c r="G692" s="811"/>
      <c r="H692" s="834"/>
      <c r="I692" s="1118"/>
      <c r="J692" s="834"/>
      <c r="K692" s="834"/>
    </row>
    <row r="693" spans="1:11">
      <c r="A693" s="787"/>
      <c r="B693" s="787"/>
      <c r="C693" s="787"/>
      <c r="D693" s="1810"/>
      <c r="E693" s="1810"/>
      <c r="F693" s="1810"/>
      <c r="G693" s="811"/>
      <c r="H693" s="834"/>
      <c r="I693" s="1118"/>
      <c r="J693" s="834"/>
      <c r="K693" s="834"/>
    </row>
    <row r="694" spans="1:11">
      <c r="A694" s="787"/>
      <c r="B694" s="787"/>
      <c r="C694" s="787"/>
      <c r="D694" s="1810"/>
      <c r="E694" s="1810"/>
      <c r="F694" s="1810"/>
      <c r="G694" s="811"/>
      <c r="H694" s="834"/>
      <c r="I694" s="1118"/>
      <c r="J694" s="834"/>
      <c r="K694" s="834"/>
    </row>
    <row r="695" spans="1:11">
      <c r="A695" s="787"/>
      <c r="B695" s="787"/>
      <c r="C695" s="787"/>
      <c r="D695" s="1810"/>
      <c r="E695" s="1810"/>
      <c r="F695" s="1810"/>
      <c r="G695" s="811"/>
      <c r="H695" s="834"/>
      <c r="I695" s="1118"/>
      <c r="J695" s="834"/>
      <c r="K695" s="834"/>
    </row>
    <row r="696" spans="1:11" s="783" customFormat="1">
      <c r="A696" s="826"/>
      <c r="B696" s="826"/>
      <c r="C696" s="826"/>
      <c r="D696" s="1810"/>
      <c r="E696" s="1810"/>
      <c r="F696" s="1810"/>
      <c r="G696" s="836"/>
      <c r="H696" s="837"/>
      <c r="I696" s="1119"/>
      <c r="J696" s="837"/>
      <c r="K696" s="837"/>
    </row>
    <row r="697" spans="1:11" s="783" customFormat="1">
      <c r="A697" s="826"/>
      <c r="B697" s="826"/>
      <c r="C697" s="826"/>
      <c r="D697" s="838"/>
      <c r="E697" s="838"/>
      <c r="F697" s="838"/>
      <c r="G697" s="836"/>
      <c r="H697" s="837"/>
      <c r="I697" s="1119"/>
      <c r="J697" s="837"/>
      <c r="K697" s="837"/>
    </row>
    <row r="698" spans="1:11" s="783" customFormat="1">
      <c r="A698" s="826"/>
      <c r="B698" s="790" t="s">
        <v>2760</v>
      </c>
      <c r="C698" s="826"/>
      <c r="D698" s="1810" t="s">
        <v>1362</v>
      </c>
      <c r="E698" s="1810"/>
      <c r="F698" s="1810"/>
      <c r="G698" s="836"/>
      <c r="H698" s="837"/>
      <c r="I698" s="1119" t="s">
        <v>2232</v>
      </c>
      <c r="J698" s="837"/>
      <c r="K698" s="837"/>
    </row>
    <row r="699" spans="1:11" s="783" customFormat="1">
      <c r="A699" s="826"/>
      <c r="B699" s="826"/>
      <c r="C699" s="826"/>
      <c r="D699" s="1810"/>
      <c r="E699" s="1810"/>
      <c r="F699" s="1810"/>
      <c r="G699" s="836"/>
      <c r="H699" s="837"/>
      <c r="I699" s="1119"/>
      <c r="J699" s="837"/>
      <c r="K699" s="837"/>
    </row>
    <row r="700" spans="1:11" s="783" customFormat="1">
      <c r="A700" s="826"/>
      <c r="B700" s="826"/>
      <c r="C700" s="826"/>
      <c r="D700" s="838"/>
      <c r="E700" s="838"/>
      <c r="F700" s="838"/>
      <c r="G700" s="836"/>
      <c r="H700" s="837"/>
      <c r="I700" s="1119"/>
      <c r="J700" s="837"/>
      <c r="K700" s="837"/>
    </row>
    <row r="701" spans="1:11" ht="14.4">
      <c r="A701" s="789"/>
      <c r="B701" s="790" t="s">
        <v>2761</v>
      </c>
      <c r="C701" s="787"/>
      <c r="D701" s="1810" t="s">
        <v>1182</v>
      </c>
      <c r="E701" s="1810"/>
      <c r="F701" s="1810"/>
      <c r="G701" s="811"/>
      <c r="H701" s="834"/>
      <c r="I701" s="1118" t="s">
        <v>2232</v>
      </c>
      <c r="J701" s="834"/>
      <c r="K701" s="834"/>
    </row>
    <row r="702" spans="1:11">
      <c r="A702" s="787"/>
      <c r="B702" s="787"/>
      <c r="C702" s="787"/>
      <c r="D702" s="1810"/>
      <c r="E702" s="1810"/>
      <c r="F702" s="1810"/>
      <c r="G702" s="811"/>
      <c r="H702" s="834"/>
      <c r="I702" s="1118"/>
      <c r="J702" s="834"/>
      <c r="K702" s="834"/>
    </row>
    <row r="703" spans="1:11">
      <c r="A703" s="787"/>
      <c r="B703" s="787"/>
      <c r="C703" s="787"/>
      <c r="D703" s="1810"/>
      <c r="E703" s="1810"/>
      <c r="F703" s="1810"/>
      <c r="G703" s="811"/>
      <c r="H703" s="834"/>
      <c r="I703" s="1118"/>
      <c r="J703" s="834"/>
      <c r="K703" s="834"/>
    </row>
    <row r="704" spans="1:11" ht="15" customHeight="1">
      <c r="A704" s="787"/>
      <c r="B704" s="787"/>
      <c r="C704" s="787"/>
      <c r="D704" s="1810"/>
      <c r="E704" s="1810"/>
      <c r="F704" s="1810"/>
      <c r="G704" s="811"/>
      <c r="H704" s="834"/>
      <c r="I704" s="1118"/>
      <c r="J704" s="834"/>
      <c r="K704" s="834"/>
    </row>
    <row r="705" spans="1:11" ht="15" customHeight="1">
      <c r="A705" s="787"/>
      <c r="B705" s="787"/>
      <c r="C705" s="787"/>
      <c r="D705" s="1810"/>
      <c r="E705" s="1810"/>
      <c r="F705" s="1810"/>
      <c r="G705" s="811"/>
      <c r="H705" s="834"/>
      <c r="I705" s="1118"/>
      <c r="J705" s="834"/>
      <c r="K705" s="834"/>
    </row>
    <row r="706" spans="1:11">
      <c r="A706" s="787"/>
      <c r="B706" s="787"/>
      <c r="C706" s="787"/>
      <c r="D706" s="1810"/>
      <c r="E706" s="1810"/>
      <c r="F706" s="1810"/>
      <c r="G706" s="811"/>
      <c r="H706" s="834"/>
      <c r="I706" s="1118"/>
      <c r="J706" s="834"/>
      <c r="K706" s="834"/>
    </row>
    <row r="707" spans="1:11">
      <c r="A707" s="787"/>
      <c r="B707" s="787"/>
      <c r="C707" s="787"/>
      <c r="D707" s="1810"/>
      <c r="E707" s="1810"/>
      <c r="F707" s="1810"/>
      <c r="G707" s="811"/>
      <c r="H707" s="834"/>
      <c r="I707" s="1118"/>
      <c r="J707" s="834"/>
      <c r="K707" s="834"/>
    </row>
    <row r="708" spans="1:11">
      <c r="A708" s="787"/>
      <c r="B708" s="787"/>
      <c r="C708" s="787"/>
      <c r="D708" s="1810"/>
      <c r="E708" s="1810"/>
      <c r="F708" s="1810"/>
      <c r="G708" s="811"/>
      <c r="H708" s="834"/>
      <c r="I708" s="1118"/>
      <c r="J708" s="834"/>
      <c r="K708" s="834"/>
    </row>
    <row r="709" spans="1:11" ht="15" customHeight="1">
      <c r="A709" s="787"/>
      <c r="B709" s="787"/>
      <c r="C709" s="787"/>
      <c r="D709" s="1810"/>
      <c r="E709" s="1810"/>
      <c r="F709" s="1810"/>
      <c r="G709" s="811"/>
      <c r="H709" s="834"/>
      <c r="I709" s="1118"/>
      <c r="J709" s="834"/>
      <c r="K709" s="834"/>
    </row>
    <row r="710" spans="1:11">
      <c r="A710" s="787"/>
      <c r="B710" s="787"/>
      <c r="C710" s="787"/>
      <c r="D710" s="1810"/>
      <c r="E710" s="1810"/>
      <c r="F710" s="1810"/>
      <c r="G710" s="811"/>
      <c r="H710" s="834"/>
      <c r="I710" s="1118"/>
      <c r="J710" s="834"/>
      <c r="K710" s="834"/>
    </row>
    <row r="711" spans="1:11">
      <c r="A711" s="787"/>
      <c r="B711" s="787"/>
      <c r="C711" s="787"/>
      <c r="D711" s="1810"/>
      <c r="E711" s="1810"/>
      <c r="F711" s="1810"/>
      <c r="G711" s="811"/>
      <c r="H711" s="834"/>
      <c r="I711" s="1118"/>
      <c r="J711" s="834"/>
      <c r="K711" s="834"/>
    </row>
    <row r="712" spans="1:11">
      <c r="A712" s="787"/>
      <c r="B712" s="787"/>
      <c r="C712" s="787"/>
      <c r="D712" s="1810"/>
      <c r="E712" s="1810"/>
      <c r="F712" s="1810"/>
      <c r="G712" s="811"/>
      <c r="H712" s="834"/>
      <c r="I712" s="1118"/>
      <c r="J712" s="834"/>
      <c r="K712" s="834"/>
    </row>
    <row r="713" spans="1:11">
      <c r="A713" s="787"/>
      <c r="B713" s="787"/>
      <c r="C713" s="787"/>
      <c r="D713" s="1810"/>
      <c r="E713" s="1810"/>
      <c r="F713" s="1810"/>
      <c r="G713" s="811"/>
      <c r="H713" s="834"/>
      <c r="I713" s="1118"/>
      <c r="J713" s="834"/>
      <c r="K713" s="834"/>
    </row>
    <row r="714" spans="1:11">
      <c r="A714" s="787"/>
      <c r="B714" s="790" t="s">
        <v>2761</v>
      </c>
      <c r="C714" s="787"/>
      <c r="D714" s="1810" t="s">
        <v>1189</v>
      </c>
      <c r="E714" s="1810"/>
      <c r="F714" s="1810"/>
      <c r="G714" s="811"/>
      <c r="H714" s="834"/>
      <c r="I714" s="1118" t="s">
        <v>2282</v>
      </c>
      <c r="J714" s="834"/>
      <c r="K714" s="834"/>
    </row>
    <row r="715" spans="1:11">
      <c r="A715" s="787"/>
      <c r="B715" s="787"/>
      <c r="C715" s="787"/>
      <c r="D715" s="1810"/>
      <c r="E715" s="1810"/>
      <c r="F715" s="1810"/>
      <c r="G715" s="811"/>
      <c r="H715" s="834"/>
      <c r="I715" s="1118"/>
      <c r="J715" s="834"/>
      <c r="K715" s="834"/>
    </row>
    <row r="716" spans="1:11">
      <c r="A716" s="787"/>
      <c r="B716" s="787"/>
      <c r="C716" s="787"/>
      <c r="D716" s="838"/>
      <c r="E716" s="838"/>
      <c r="F716" s="838"/>
      <c r="G716" s="811"/>
      <c r="H716" s="834"/>
      <c r="I716" s="1118"/>
      <c r="J716" s="834"/>
      <c r="K716" s="834"/>
    </row>
    <row r="717" spans="1:11">
      <c r="A717" s="787"/>
      <c r="B717" s="790" t="s">
        <v>2761</v>
      </c>
      <c r="C717" s="787"/>
      <c r="D717" s="1810" t="s">
        <v>1183</v>
      </c>
      <c r="E717" s="1810"/>
      <c r="F717" s="1810"/>
      <c r="G717" s="811"/>
      <c r="H717" s="834"/>
      <c r="I717" s="1118" t="s">
        <v>2282</v>
      </c>
      <c r="J717" s="834"/>
      <c r="K717" s="834"/>
    </row>
    <row r="718" spans="1:11">
      <c r="A718" s="787"/>
      <c r="B718" s="787"/>
      <c r="C718" s="787"/>
      <c r="D718" s="1810"/>
      <c r="E718" s="1810"/>
      <c r="F718" s="1810"/>
      <c r="G718" s="811"/>
      <c r="H718" s="834"/>
      <c r="I718" s="1118"/>
      <c r="J718" s="834"/>
      <c r="K718" s="834"/>
    </row>
    <row r="719" spans="1:11">
      <c r="A719" s="787"/>
      <c r="B719" s="787"/>
      <c r="C719" s="787"/>
      <c r="D719" s="1810"/>
      <c r="E719" s="1810"/>
      <c r="F719" s="1810"/>
      <c r="G719" s="811"/>
      <c r="H719" s="834"/>
      <c r="I719" s="1118"/>
      <c r="J719" s="834"/>
      <c r="K719" s="834"/>
    </row>
    <row r="720" spans="1:11">
      <c r="A720" s="787"/>
      <c r="B720" s="787"/>
      <c r="C720" s="787"/>
      <c r="D720" s="794"/>
      <c r="G720" s="811"/>
      <c r="H720" s="834"/>
      <c r="I720" s="1118"/>
      <c r="J720" s="834"/>
      <c r="K720" s="834"/>
    </row>
    <row r="721" spans="1:11">
      <c r="A721" s="787"/>
      <c r="B721" s="790" t="s">
        <v>2761</v>
      </c>
      <c r="C721" s="787"/>
      <c r="D721" s="1810" t="s">
        <v>1184</v>
      </c>
      <c r="E721" s="1810"/>
      <c r="F721" s="1810"/>
      <c r="G721" s="811"/>
      <c r="H721" s="834"/>
      <c r="I721" s="1118" t="s">
        <v>2282</v>
      </c>
      <c r="J721" s="834"/>
      <c r="K721" s="834"/>
    </row>
    <row r="722" spans="1:11">
      <c r="A722" s="787"/>
      <c r="B722" s="787"/>
      <c r="C722" s="787"/>
      <c r="D722" s="1810"/>
      <c r="E722" s="1810"/>
      <c r="F722" s="1810"/>
      <c r="G722" s="811"/>
      <c r="H722" s="834"/>
      <c r="I722" s="1118"/>
      <c r="J722" s="834"/>
      <c r="K722" s="834"/>
    </row>
    <row r="723" spans="1:11">
      <c r="A723" s="787"/>
      <c r="B723" s="787"/>
      <c r="C723" s="787"/>
      <c r="D723" s="1810"/>
      <c r="E723" s="1810"/>
      <c r="F723" s="1810"/>
      <c r="G723" s="811"/>
      <c r="H723" s="834"/>
      <c r="I723" s="1118"/>
      <c r="J723" s="834"/>
      <c r="K723" s="834"/>
    </row>
    <row r="724" spans="1:11">
      <c r="A724" s="787"/>
      <c r="B724" s="787"/>
      <c r="C724" s="787"/>
      <c r="D724" s="782"/>
      <c r="G724" s="811"/>
      <c r="H724" s="834"/>
      <c r="I724" s="1118"/>
      <c r="J724" s="834"/>
      <c r="K724" s="834"/>
    </row>
    <row r="725" spans="1:11" ht="14.4">
      <c r="A725" s="789"/>
      <c r="B725" s="790" t="s">
        <v>2761</v>
      </c>
      <c r="C725" s="787"/>
      <c r="D725" s="1766" t="s">
        <v>1185</v>
      </c>
      <c r="E725" s="1766"/>
      <c r="F725" s="1766"/>
      <c r="G725" s="811"/>
      <c r="H725" s="834"/>
      <c r="I725" s="1118" t="s">
        <v>2233</v>
      </c>
      <c r="J725" s="834"/>
      <c r="K725" s="834"/>
    </row>
    <row r="726" spans="1:11">
      <c r="A726" s="787"/>
      <c r="B726" s="787"/>
      <c r="C726" s="787"/>
      <c r="D726" s="1766"/>
      <c r="E726" s="1766"/>
      <c r="F726" s="1766"/>
      <c r="G726" s="811"/>
      <c r="H726" s="834"/>
      <c r="I726" s="1118"/>
      <c r="J726" s="834"/>
      <c r="K726" s="834"/>
    </row>
    <row r="727" spans="1:11">
      <c r="A727" s="787"/>
      <c r="B727" s="787"/>
      <c r="C727" s="787"/>
      <c r="D727" s="1766"/>
      <c r="E727" s="1766"/>
      <c r="F727" s="1766"/>
      <c r="G727" s="811"/>
      <c r="H727" s="834"/>
      <c r="I727" s="1118"/>
      <c r="J727" s="834"/>
      <c r="K727" s="834"/>
    </row>
    <row r="728" spans="1:11">
      <c r="A728" s="787"/>
      <c r="B728" s="787"/>
      <c r="C728" s="787"/>
      <c r="D728" s="1766"/>
      <c r="E728" s="1766"/>
      <c r="F728" s="1766"/>
      <c r="G728" s="811"/>
      <c r="H728" s="834"/>
      <c r="I728" s="1118"/>
      <c r="J728" s="834"/>
      <c r="K728" s="834"/>
    </row>
    <row r="729" spans="1:11">
      <c r="A729" s="787"/>
      <c r="B729" s="787"/>
      <c r="C729" s="787"/>
      <c r="D729" s="814"/>
      <c r="G729" s="811"/>
      <c r="H729" s="834"/>
      <c r="I729" s="1118"/>
      <c r="J729" s="834"/>
      <c r="K729" s="834"/>
    </row>
    <row r="730" spans="1:11" ht="14.4">
      <c r="A730" s="789"/>
      <c r="B730" s="790" t="s">
        <v>2761</v>
      </c>
      <c r="C730" s="787"/>
      <c r="D730" s="1810" t="s">
        <v>2641</v>
      </c>
      <c r="E730" s="1810"/>
      <c r="F730" s="1810"/>
      <c r="G730" s="811"/>
      <c r="H730" s="834"/>
      <c r="I730" s="1118" t="s">
        <v>2249</v>
      </c>
      <c r="J730" s="834"/>
      <c r="K730" s="834"/>
    </row>
    <row r="731" spans="1:11">
      <c r="A731" s="787"/>
      <c r="B731" s="787"/>
      <c r="C731" s="787"/>
      <c r="D731" s="1810"/>
      <c r="E731" s="1810"/>
      <c r="F731" s="1810"/>
      <c r="G731" s="811"/>
      <c r="H731" s="834"/>
      <c r="I731" s="1118"/>
      <c r="J731" s="834"/>
      <c r="K731" s="834"/>
    </row>
    <row r="732" spans="1:11">
      <c r="A732" s="787"/>
      <c r="B732" s="787"/>
      <c r="C732" s="787"/>
      <c r="D732" s="1810"/>
      <c r="E732" s="1810"/>
      <c r="F732" s="1810"/>
      <c r="G732" s="811"/>
      <c r="H732" s="834"/>
      <c r="I732" s="1118"/>
      <c r="J732" s="834"/>
      <c r="K732" s="834"/>
    </row>
    <row r="733" spans="1:11">
      <c r="A733" s="787"/>
      <c r="B733" s="787"/>
      <c r="C733" s="787"/>
      <c r="D733" s="1810"/>
      <c r="E733" s="1810"/>
      <c r="F733" s="1810"/>
      <c r="G733" s="811"/>
      <c r="H733" s="834"/>
      <c r="I733" s="1118"/>
      <c r="J733" s="834"/>
      <c r="K733" s="834"/>
    </row>
    <row r="734" spans="1:11">
      <c r="A734" s="787"/>
      <c r="B734" s="787"/>
      <c r="C734" s="787"/>
      <c r="D734" s="1810"/>
      <c r="E734" s="1810"/>
      <c r="F734" s="1810"/>
      <c r="G734" s="811"/>
      <c r="H734" s="834"/>
      <c r="I734" s="1118"/>
      <c r="J734" s="834"/>
      <c r="K734" s="834"/>
    </row>
    <row r="735" spans="1:11">
      <c r="A735" s="787"/>
      <c r="B735" s="787"/>
      <c r="C735" s="787"/>
      <c r="D735" s="1810"/>
      <c r="E735" s="1810"/>
      <c r="F735" s="1810"/>
      <c r="G735" s="811"/>
      <c r="H735" s="834"/>
      <c r="I735" s="1118"/>
      <c r="J735" s="834"/>
      <c r="K735" s="834"/>
    </row>
    <row r="736" spans="1:11">
      <c r="A736" s="787"/>
      <c r="B736" s="787"/>
      <c r="C736" s="787"/>
      <c r="D736" s="1810"/>
      <c r="E736" s="1810"/>
      <c r="F736" s="1810"/>
      <c r="G736" s="811"/>
      <c r="H736" s="834"/>
      <c r="I736" s="1118"/>
      <c r="J736" s="834"/>
      <c r="K736" s="834"/>
    </row>
    <row r="737" spans="1:11">
      <c r="A737" s="787"/>
      <c r="B737" s="787"/>
      <c r="C737" s="787"/>
      <c r="D737" s="1739" t="s">
        <v>2650</v>
      </c>
      <c r="E737" s="1739"/>
      <c r="F737" s="1739"/>
      <c r="G737" s="811"/>
      <c r="H737" s="834"/>
      <c r="I737" s="1118"/>
      <c r="J737" s="834"/>
      <c r="K737" s="834"/>
    </row>
    <row r="738" spans="1:11">
      <c r="A738" s="787"/>
      <c r="B738" s="787"/>
      <c r="C738" s="787"/>
      <c r="D738" s="774"/>
      <c r="G738" s="811"/>
      <c r="H738" s="834"/>
      <c r="I738" s="1118"/>
      <c r="J738" s="834"/>
      <c r="K738" s="834"/>
    </row>
    <row r="739" spans="1:11">
      <c r="A739" s="1732" t="s">
        <v>1143</v>
      </c>
      <c r="B739" s="1732"/>
      <c r="C739" s="1732"/>
      <c r="D739" s="1732"/>
      <c r="E739" s="1732"/>
      <c r="F739" s="1732"/>
      <c r="G739" s="1732"/>
      <c r="H739" s="1132"/>
      <c r="I739" s="1133"/>
      <c r="J739" s="834"/>
      <c r="K739" s="834"/>
    </row>
    <row r="740" spans="1:11">
      <c r="A740" s="787"/>
      <c r="B740" s="787"/>
      <c r="C740" s="787"/>
      <c r="D740" s="814"/>
      <c r="G740" s="839"/>
      <c r="H740" s="834"/>
      <c r="I740" s="1118"/>
      <c r="J740" s="834"/>
      <c r="K740" s="834"/>
    </row>
    <row r="741" spans="1:11" ht="13.65" customHeight="1">
      <c r="C741" s="787"/>
      <c r="D741" s="1803" t="s">
        <v>1159</v>
      </c>
      <c r="E741" s="1803"/>
      <c r="F741" s="1803"/>
      <c r="G741" s="839"/>
      <c r="H741" s="834"/>
      <c r="I741" s="1118"/>
      <c r="J741" s="834"/>
      <c r="K741" s="834"/>
    </row>
    <row r="742" spans="1:11">
      <c r="A742" s="787"/>
      <c r="B742" s="787"/>
      <c r="C742" s="787"/>
      <c r="D742" s="1745" t="s">
        <v>1160</v>
      </c>
      <c r="E742" s="1745"/>
      <c r="F742" s="1745"/>
      <c r="G742" s="839"/>
      <c r="H742" s="834"/>
      <c r="I742" s="1118"/>
      <c r="J742" s="834"/>
      <c r="K742" s="834"/>
    </row>
    <row r="743" spans="1:11">
      <c r="A743" s="787"/>
      <c r="B743" s="787"/>
      <c r="C743" s="787"/>
      <c r="G743" s="839"/>
      <c r="H743" s="834"/>
      <c r="I743" s="1118"/>
      <c r="J743" s="834"/>
      <c r="K743" s="834"/>
    </row>
    <row r="744" spans="1:11" s="783" customFormat="1" ht="14.4">
      <c r="A744" s="789"/>
      <c r="B744" s="790" t="s">
        <v>2760</v>
      </c>
      <c r="C744" s="780"/>
      <c r="D744" s="1766" t="s">
        <v>1161</v>
      </c>
      <c r="E744" s="1766"/>
      <c r="F744" s="1766"/>
      <c r="G744" s="839"/>
      <c r="H744" s="837"/>
      <c r="I744" s="1119" t="s">
        <v>2234</v>
      </c>
      <c r="J744" s="837"/>
      <c r="K744" s="837"/>
    </row>
    <row r="745" spans="1:11" s="783" customFormat="1" ht="10.5" customHeight="1">
      <c r="A745" s="780"/>
      <c r="B745" s="780"/>
      <c r="C745" s="780"/>
      <c r="D745" s="1766"/>
      <c r="E745" s="1766"/>
      <c r="F745" s="1766"/>
      <c r="G745" s="839"/>
      <c r="H745" s="837"/>
      <c r="I745" s="1119"/>
      <c r="J745" s="837"/>
      <c r="K745" s="837"/>
    </row>
    <row r="746" spans="1:11" s="783" customFormat="1">
      <c r="A746" s="780"/>
      <c r="B746" s="780"/>
      <c r="C746" s="780"/>
      <c r="D746" s="1766"/>
      <c r="E746" s="1766"/>
      <c r="F746" s="1766"/>
      <c r="G746" s="839"/>
      <c r="H746" s="837"/>
      <c r="I746" s="1119"/>
      <c r="J746" s="837"/>
      <c r="K746" s="837"/>
    </row>
    <row r="747" spans="1:11">
      <c r="D747" s="1766"/>
      <c r="E747" s="1766"/>
      <c r="F747" s="1766"/>
      <c r="G747" s="839"/>
      <c r="H747" s="834"/>
      <c r="I747" s="1118"/>
      <c r="J747" s="834"/>
      <c r="K747" s="834"/>
    </row>
    <row r="748" spans="1:11">
      <c r="A748" s="793"/>
      <c r="B748" s="793"/>
      <c r="C748" s="793"/>
      <c r="D748" s="1766"/>
      <c r="E748" s="1766"/>
      <c r="F748" s="1766"/>
      <c r="G748" s="840"/>
      <c r="H748" s="834"/>
      <c r="I748" s="1118"/>
      <c r="J748" s="834"/>
      <c r="K748" s="834"/>
    </row>
    <row r="749" spans="1:11" ht="15.6" customHeight="1">
      <c r="A749" s="793"/>
      <c r="B749" s="793"/>
      <c r="C749" s="793"/>
      <c r="D749" s="1766"/>
      <c r="E749" s="1766"/>
      <c r="F749" s="1766"/>
      <c r="G749" s="840"/>
      <c r="H749" s="834"/>
      <c r="I749" s="1118"/>
      <c r="J749" s="834"/>
      <c r="K749" s="834"/>
    </row>
    <row r="750" spans="1:11">
      <c r="A750" s="793"/>
      <c r="B750" s="793"/>
      <c r="C750" s="793"/>
      <c r="D750" s="829"/>
      <c r="E750" s="841"/>
      <c r="F750" s="841"/>
      <c r="G750" s="840"/>
      <c r="H750" s="834"/>
      <c r="I750" s="1118"/>
      <c r="J750" s="834"/>
      <c r="K750" s="834"/>
    </row>
    <row r="751" spans="1:11" s="845" customFormat="1" ht="14.4">
      <c r="A751" s="842"/>
      <c r="B751" s="790" t="s">
        <v>2760</v>
      </c>
      <c r="C751" s="843"/>
      <c r="D751" s="1723" t="s">
        <v>1407</v>
      </c>
      <c r="E751" s="1723"/>
      <c r="F751" s="1723"/>
      <c r="G751" s="844"/>
      <c r="I751" s="1120" t="s">
        <v>2234</v>
      </c>
    </row>
    <row r="752" spans="1:11" s="845" customFormat="1">
      <c r="A752" s="843"/>
      <c r="B752" s="843"/>
      <c r="C752" s="843"/>
      <c r="D752" s="1723"/>
      <c r="E752" s="1723"/>
      <c r="F752" s="1723"/>
      <c r="G752" s="844"/>
      <c r="I752" s="1120"/>
    </row>
    <row r="753" spans="1:11" s="845" customFormat="1">
      <c r="A753" s="843"/>
      <c r="B753" s="843"/>
      <c r="C753" s="843"/>
      <c r="D753" s="1723"/>
      <c r="E753" s="1723"/>
      <c r="F753" s="1723"/>
      <c r="G753" s="844"/>
      <c r="I753" s="1120"/>
    </row>
    <row r="754" spans="1:11" s="845" customFormat="1">
      <c r="A754" s="843"/>
      <c r="B754" s="843"/>
      <c r="C754" s="843"/>
      <c r="D754" s="1723"/>
      <c r="E754" s="1723"/>
      <c r="F754" s="1723"/>
      <c r="G754" s="844"/>
      <c r="I754" s="1120"/>
    </row>
    <row r="755" spans="1:11" s="845" customFormat="1">
      <c r="A755" s="843"/>
      <c r="B755" s="843"/>
      <c r="C755" s="843"/>
      <c r="D755" s="829"/>
      <c r="E755" s="844"/>
      <c r="F755" s="844"/>
      <c r="G755" s="844"/>
      <c r="I755" s="1120"/>
    </row>
    <row r="756" spans="1:11" s="845" customFormat="1" ht="14.4">
      <c r="A756" s="789"/>
      <c r="B756" s="790" t="s">
        <v>2761</v>
      </c>
      <c r="C756" s="843"/>
      <c r="D756" s="1816" t="s">
        <v>1408</v>
      </c>
      <c r="E756" s="1816"/>
      <c r="F756" s="1816"/>
      <c r="G756" s="844"/>
      <c r="I756" s="1120" t="s">
        <v>2235</v>
      </c>
    </row>
    <row r="757" spans="1:11" s="845" customFormat="1">
      <c r="A757" s="843"/>
      <c r="B757" s="843"/>
      <c r="C757" s="843"/>
      <c r="D757" s="1816"/>
      <c r="E757" s="1816"/>
      <c r="F757" s="1816"/>
      <c r="G757" s="844"/>
      <c r="I757" s="1120"/>
    </row>
    <row r="758" spans="1:11" s="845" customFormat="1">
      <c r="A758" s="843"/>
      <c r="B758" s="843"/>
      <c r="C758" s="843"/>
      <c r="D758" s="1816"/>
      <c r="E758" s="1816"/>
      <c r="F758" s="1816"/>
      <c r="G758" s="844"/>
      <c r="I758" s="1120"/>
    </row>
    <row r="759" spans="1:11">
      <c r="A759" s="793"/>
      <c r="B759" s="793"/>
      <c r="C759" s="793"/>
      <c r="D759" s="829"/>
      <c r="E759" s="841"/>
      <c r="F759" s="841"/>
      <c r="G759" s="840"/>
      <c r="H759" s="834"/>
      <c r="I759" s="1118"/>
      <c r="J759" s="834"/>
      <c r="K759" s="834"/>
    </row>
    <row r="760" spans="1:11" ht="14.4">
      <c r="A760" s="789"/>
      <c r="B760" s="790" t="s">
        <v>2761</v>
      </c>
      <c r="C760" s="793"/>
      <c r="D760" s="1723" t="s">
        <v>1359</v>
      </c>
      <c r="E760" s="1723"/>
      <c r="F760" s="1723"/>
      <c r="G760" s="840"/>
      <c r="H760" s="834"/>
      <c r="I760" s="1118" t="s">
        <v>2234</v>
      </c>
      <c r="J760" s="834"/>
      <c r="K760" s="834"/>
    </row>
    <row r="761" spans="1:11">
      <c r="A761" s="793"/>
      <c r="B761" s="793"/>
      <c r="C761" s="793"/>
      <c r="D761" s="1723"/>
      <c r="E761" s="1723"/>
      <c r="F761" s="1723"/>
      <c r="G761" s="840"/>
      <c r="H761" s="834"/>
      <c r="I761" s="1118"/>
      <c r="J761" s="834"/>
      <c r="K761" s="834"/>
    </row>
    <row r="762" spans="1:11">
      <c r="A762" s="793"/>
      <c r="B762" s="793"/>
      <c r="C762" s="793"/>
      <c r="D762" s="773"/>
      <c r="E762" s="773"/>
      <c r="F762" s="773"/>
      <c r="G762" s="840"/>
      <c r="H762" s="834"/>
      <c r="I762" s="1118"/>
      <c r="J762" s="834"/>
      <c r="K762" s="834"/>
    </row>
    <row r="763" spans="1:11">
      <c r="A763" s="793"/>
      <c r="B763" s="790" t="s">
        <v>2761</v>
      </c>
      <c r="C763" s="793"/>
      <c r="D763" s="1723" t="s">
        <v>1377</v>
      </c>
      <c r="E763" s="1723"/>
      <c r="F763" s="1723"/>
      <c r="G763" s="840"/>
      <c r="H763" s="834"/>
      <c r="I763" s="1118" t="s">
        <v>2234</v>
      </c>
      <c r="J763" s="834"/>
      <c r="K763" s="834"/>
    </row>
    <row r="764" spans="1:11">
      <c r="A764" s="793"/>
      <c r="B764" s="793"/>
      <c r="C764" s="793"/>
      <c r="D764" s="1723"/>
      <c r="E764" s="1723"/>
      <c r="F764" s="1723"/>
      <c r="G764" s="840"/>
      <c r="H764" s="834"/>
      <c r="I764" s="1118"/>
      <c r="J764" s="834"/>
      <c r="K764" s="834"/>
    </row>
    <row r="765" spans="1:11">
      <c r="A765" s="793"/>
      <c r="B765" s="793"/>
      <c r="C765" s="793"/>
      <c r="D765" s="1723"/>
      <c r="E765" s="1723"/>
      <c r="F765" s="1723"/>
      <c r="G765" s="840"/>
      <c r="H765" s="834"/>
      <c r="I765" s="1118"/>
      <c r="J765" s="834"/>
      <c r="K765" s="834"/>
    </row>
    <row r="766" spans="1:11">
      <c r="A766" s="793"/>
      <c r="B766" s="793"/>
      <c r="C766" s="793"/>
      <c r="D766" s="773"/>
      <c r="E766" s="773"/>
      <c r="F766" s="773"/>
      <c r="G766" s="840"/>
      <c r="H766" s="834"/>
      <c r="I766" s="1118"/>
      <c r="J766" s="834"/>
      <c r="K766" s="834"/>
    </row>
    <row r="767" spans="1:11">
      <c r="A767" s="1814" t="s">
        <v>2113</v>
      </c>
      <c r="B767" s="1814"/>
      <c r="C767" s="1814"/>
      <c r="D767" s="1814"/>
      <c r="E767" s="1814"/>
      <c r="F767" s="1814"/>
      <c r="G767" s="1814"/>
      <c r="H767" s="1130"/>
      <c r="I767" s="1131"/>
    </row>
    <row r="768" spans="1:11">
      <c r="A768" s="93"/>
      <c r="B768" s="93"/>
      <c r="C768" s="1043"/>
      <c r="D768" s="155"/>
      <c r="E768" s="155"/>
      <c r="F768" s="155"/>
      <c r="G768" s="678"/>
    </row>
    <row r="769" spans="1:9">
      <c r="A769" s="93"/>
      <c r="B769" s="93"/>
      <c r="C769" s="1043"/>
      <c r="D769" s="1815" t="s">
        <v>2167</v>
      </c>
      <c r="E769" s="1815"/>
      <c r="F769" s="1815"/>
      <c r="G769" s="678"/>
    </row>
    <row r="770" spans="1:9">
      <c r="A770" s="93"/>
      <c r="B770" s="93"/>
      <c r="C770" s="1043"/>
      <c r="D770" s="1830" t="s">
        <v>2066</v>
      </c>
      <c r="E770" s="1830"/>
      <c r="F770" s="1830"/>
      <c r="G770" s="678"/>
    </row>
    <row r="771" spans="1:9">
      <c r="A771" s="93"/>
      <c r="B771" s="93"/>
      <c r="C771" s="1043"/>
      <c r="D771" s="725"/>
      <c r="E771" s="725"/>
      <c r="F771" s="725"/>
      <c r="G771" s="678"/>
    </row>
    <row r="772" spans="1:9">
      <c r="A772" s="93"/>
      <c r="B772" s="790" t="s">
        <v>2760</v>
      </c>
      <c r="C772" s="1043"/>
      <c r="D772" s="1750" t="s">
        <v>2067</v>
      </c>
      <c r="E772" s="1750"/>
      <c r="F772" s="1750"/>
      <c r="G772" s="678"/>
      <c r="I772" s="1118" t="s">
        <v>2284</v>
      </c>
    </row>
    <row r="773" spans="1:9">
      <c r="A773" s="93"/>
      <c r="B773" s="93"/>
      <c r="C773" s="1043"/>
      <c r="D773" s="1750"/>
      <c r="E773" s="1750"/>
      <c r="F773" s="1750"/>
      <c r="G773" s="678"/>
    </row>
    <row r="774" spans="1:9">
      <c r="A774" s="712"/>
      <c r="B774" s="712"/>
      <c r="C774" s="313"/>
      <c r="D774" s="1750"/>
      <c r="E774" s="1750"/>
      <c r="F774" s="1750"/>
      <c r="G774" s="1044"/>
    </row>
    <row r="775" spans="1:9">
      <c r="A775" s="1038"/>
      <c r="B775" s="1038"/>
      <c r="C775" s="1045"/>
      <c r="D775" s="1023"/>
      <c r="E775" s="678"/>
      <c r="F775" s="678"/>
      <c r="G775" s="678"/>
    </row>
    <row r="776" spans="1:9">
      <c r="A776" s="267"/>
      <c r="B776" s="790" t="s">
        <v>2760</v>
      </c>
      <c r="C776" s="1046"/>
      <c r="D776" s="1750" t="s">
        <v>2068</v>
      </c>
      <c r="E776" s="1750"/>
      <c r="F776" s="1750"/>
      <c r="G776" s="678"/>
      <c r="I776" s="1118" t="s">
        <v>2284</v>
      </c>
    </row>
    <row r="777" spans="1:9">
      <c r="A777" s="1047"/>
      <c r="B777" s="1047"/>
      <c r="C777" s="1048"/>
      <c r="D777" s="1750"/>
      <c r="E777" s="1750"/>
      <c r="F777" s="1750"/>
      <c r="G777" s="678"/>
    </row>
    <row r="778" spans="1:9">
      <c r="A778" s="267"/>
      <c r="B778" s="267"/>
      <c r="C778" s="1046"/>
      <c r="D778" s="1750"/>
      <c r="E778" s="1750"/>
      <c r="F778" s="1750"/>
      <c r="G778" s="678"/>
    </row>
    <row r="779" spans="1:9">
      <c r="A779" s="712"/>
      <c r="B779" s="712"/>
      <c r="C779" s="313"/>
      <c r="D779" s="6"/>
      <c r="E779" s="1049"/>
      <c r="F779" s="1049"/>
      <c r="G779" s="1050"/>
    </row>
    <row r="780" spans="1:9" ht="14.4">
      <c r="A780" s="706"/>
      <c r="B780" s="790" t="s">
        <v>2761</v>
      </c>
      <c r="C780" s="1051"/>
      <c r="D780" s="1750" t="s">
        <v>2069</v>
      </c>
      <c r="E780" s="1750"/>
      <c r="F780" s="1750"/>
      <c r="G780" s="1050"/>
      <c r="I780" s="1118" t="s">
        <v>2284</v>
      </c>
    </row>
    <row r="781" spans="1:9" ht="14.4">
      <c r="A781" s="706"/>
      <c r="B781" s="706"/>
      <c r="C781" s="1051"/>
      <c r="D781" s="1750"/>
      <c r="E781" s="1750"/>
      <c r="F781" s="1750"/>
      <c r="G781" s="1050"/>
    </row>
    <row r="782" spans="1:9" ht="14.4">
      <c r="A782" s="706"/>
      <c r="B782" s="706"/>
      <c r="C782" s="1051"/>
      <c r="D782" s="1750"/>
      <c r="E782" s="1750"/>
      <c r="F782" s="1750"/>
      <c r="G782" s="1050"/>
    </row>
    <row r="783" spans="1:9" ht="14.4">
      <c r="A783" s="706"/>
      <c r="B783" s="706"/>
      <c r="C783" s="1051"/>
      <c r="D783" s="1021"/>
      <c r="E783" s="6"/>
      <c r="F783" s="6"/>
      <c r="G783" s="1050"/>
    </row>
    <row r="784" spans="1:9" ht="14.4">
      <c r="A784" s="706"/>
      <c r="B784" s="790" t="s">
        <v>2761</v>
      </c>
      <c r="C784" s="1051"/>
      <c r="D784" s="1750" t="s">
        <v>2070</v>
      </c>
      <c r="E784" s="1750"/>
      <c r="F784" s="1750"/>
      <c r="G784" s="1050"/>
      <c r="I784" s="1118" t="s">
        <v>2284</v>
      </c>
    </row>
    <row r="785" spans="1:9" ht="14.4">
      <c r="A785" s="706"/>
      <c r="B785" s="706"/>
      <c r="C785" s="1051"/>
      <c r="D785" s="1750"/>
      <c r="E785" s="1750"/>
      <c r="F785" s="1750"/>
      <c r="G785" s="1050"/>
    </row>
    <row r="786" spans="1:9" ht="14.4">
      <c r="A786" s="706"/>
      <c r="B786" s="706"/>
      <c r="C786" s="1051"/>
      <c r="D786" s="1750"/>
      <c r="E786" s="1750"/>
      <c r="F786" s="1750"/>
      <c r="G786" s="1050"/>
    </row>
    <row r="787" spans="1:9" ht="14.4">
      <c r="A787" s="706"/>
      <c r="B787" s="706"/>
      <c r="C787" s="1051"/>
      <c r="D787" s="1750"/>
      <c r="E787" s="1750"/>
      <c r="F787" s="1750"/>
      <c r="G787" s="1050"/>
    </row>
    <row r="788" spans="1:9" ht="14.4">
      <c r="A788" s="706"/>
      <c r="B788" s="706"/>
      <c r="C788" s="1051"/>
      <c r="D788" s="1750"/>
      <c r="E788" s="1750"/>
      <c r="F788" s="1750"/>
      <c r="G788" s="1050"/>
    </row>
    <row r="789" spans="1:9" ht="14.4">
      <c r="A789" s="706"/>
      <c r="B789" s="706"/>
      <c r="C789" s="1051"/>
      <c r="D789" s="1750"/>
      <c r="E789" s="1750"/>
      <c r="F789" s="1750"/>
      <c r="G789" s="1050"/>
    </row>
    <row r="790" spans="1:9" ht="14.4">
      <c r="A790" s="706"/>
      <c r="B790" s="706"/>
      <c r="C790" s="1051"/>
      <c r="D790" s="1750" t="s">
        <v>2114</v>
      </c>
      <c r="E790" s="1750"/>
      <c r="F790" s="1750"/>
      <c r="G790" s="1050"/>
    </row>
    <row r="791" spans="1:9" ht="14.4">
      <c r="A791" s="706"/>
      <c r="B791" s="706"/>
      <c r="C791" s="1051"/>
      <c r="D791" s="1750"/>
      <c r="E791" s="1750"/>
      <c r="F791" s="1750"/>
      <c r="G791" s="1050"/>
    </row>
    <row r="792" spans="1:9" ht="14.4">
      <c r="A792" s="706"/>
      <c r="B792" s="706"/>
      <c r="C792" s="1051"/>
      <c r="D792" s="1750"/>
      <c r="E792" s="1750"/>
      <c r="F792" s="1750"/>
      <c r="G792" s="1050"/>
    </row>
    <row r="793" spans="1:9" ht="14.4">
      <c r="A793" s="706"/>
      <c r="B793" s="549"/>
      <c r="C793" s="1051"/>
      <c r="D793" s="1052"/>
      <c r="E793" s="1052"/>
      <c r="F793" s="1052"/>
      <c r="G793" s="1050"/>
    </row>
    <row r="794" spans="1:9" ht="14.4">
      <c r="A794" s="706"/>
      <c r="B794" s="790" t="s">
        <v>2761</v>
      </c>
      <c r="C794" s="1051"/>
      <c r="D794" s="1750" t="s">
        <v>2071</v>
      </c>
      <c r="E794" s="1750"/>
      <c r="F794" s="1750"/>
      <c r="G794" s="1050"/>
      <c r="I794" s="1118" t="s">
        <v>2284</v>
      </c>
    </row>
    <row r="795" spans="1:9" ht="14.4">
      <c r="A795" s="706"/>
      <c r="B795" s="706"/>
      <c r="C795" s="1051"/>
      <c r="D795" s="1750"/>
      <c r="E795" s="1750"/>
      <c r="F795" s="1750"/>
      <c r="G795" s="1050"/>
    </row>
    <row r="796" spans="1:9" ht="14.4">
      <c r="A796" s="706"/>
      <c r="B796" s="706"/>
      <c r="C796" s="1051"/>
      <c r="D796" s="1750"/>
      <c r="E796" s="1750"/>
      <c r="F796" s="1750"/>
      <c r="G796" s="1050"/>
    </row>
    <row r="797" spans="1:9" ht="14.4">
      <c r="A797" s="706"/>
      <c r="B797" s="706"/>
      <c r="C797" s="1051"/>
      <c r="D797" s="1750"/>
      <c r="E797" s="1750"/>
      <c r="F797" s="1750"/>
      <c r="G797" s="1050"/>
    </row>
    <row r="798" spans="1:9" ht="14.4">
      <c r="A798" s="706"/>
      <c r="B798" s="706"/>
      <c r="C798" s="1051"/>
      <c r="D798" s="1750"/>
      <c r="E798" s="1750"/>
      <c r="F798" s="1750"/>
      <c r="G798" s="1050"/>
    </row>
    <row r="799" spans="1:9" ht="14.4">
      <c r="A799" s="706"/>
      <c r="B799" s="706"/>
      <c r="C799" s="1051"/>
      <c r="D799" s="1750"/>
      <c r="E799" s="1750"/>
      <c r="F799" s="1750"/>
      <c r="G799" s="1050"/>
    </row>
    <row r="800" spans="1:9" ht="14.4">
      <c r="A800" s="706"/>
      <c r="B800" s="706"/>
      <c r="C800" s="1051"/>
      <c r="D800" s="1030"/>
      <c r="E800" s="1030"/>
      <c r="F800" s="1030"/>
      <c r="G800" s="1050"/>
    </row>
    <row r="801" spans="1:9" ht="14.4">
      <c r="A801" s="706"/>
      <c r="B801" s="790" t="s">
        <v>2761</v>
      </c>
      <c r="C801" s="1051"/>
      <c r="D801" s="1750" t="s">
        <v>2072</v>
      </c>
      <c r="E801" s="1750"/>
      <c r="F801" s="1750"/>
      <c r="G801" s="1050"/>
      <c r="I801" s="1118" t="s">
        <v>2284</v>
      </c>
    </row>
    <row r="802" spans="1:9" ht="14.4">
      <c r="A802" s="706"/>
      <c r="B802" s="706"/>
      <c r="C802" s="1051"/>
      <c r="D802" s="1750"/>
      <c r="E802" s="1750"/>
      <c r="F802" s="1750"/>
      <c r="G802" s="1050"/>
    </row>
    <row r="803" spans="1:9" ht="14.4">
      <c r="A803" s="706"/>
      <c r="B803" s="706"/>
      <c r="C803" s="1051"/>
      <c r="D803" s="1750"/>
      <c r="E803" s="1750"/>
      <c r="F803" s="1750"/>
      <c r="G803" s="1050"/>
    </row>
    <row r="804" spans="1:9" ht="14.4">
      <c r="A804" s="706"/>
      <c r="B804" s="706"/>
      <c r="C804" s="1051"/>
      <c r="D804" s="1750"/>
      <c r="E804" s="1750"/>
      <c r="F804" s="1750"/>
      <c r="G804" s="1050"/>
    </row>
    <row r="805" spans="1:9" ht="14.4">
      <c r="A805" s="706"/>
      <c r="B805" s="706"/>
      <c r="C805" s="1051"/>
      <c r="D805" s="1750"/>
      <c r="E805" s="1750"/>
      <c r="F805" s="1750"/>
      <c r="G805" s="1050"/>
    </row>
    <row r="806" spans="1:9" ht="14.4">
      <c r="A806" s="706"/>
      <c r="B806" s="706"/>
      <c r="C806" s="1051"/>
      <c r="D806" s="1750"/>
      <c r="E806" s="1750"/>
      <c r="F806" s="1750"/>
      <c r="G806" s="1050"/>
    </row>
    <row r="807" spans="1:9" ht="14.4">
      <c r="A807" s="706"/>
      <c r="B807" s="706"/>
      <c r="C807" s="1051"/>
      <c r="D807" s="1030"/>
      <c r="E807" s="1030"/>
      <c r="F807" s="1030"/>
      <c r="G807" s="1050"/>
    </row>
    <row r="808" spans="1:9" ht="14.4">
      <c r="A808" s="706"/>
      <c r="B808" s="790" t="s">
        <v>2761</v>
      </c>
      <c r="C808" s="1051"/>
      <c r="D808" s="1763" t="s">
        <v>2073</v>
      </c>
      <c r="E808" s="1763"/>
      <c r="F808" s="1763"/>
      <c r="G808" s="1050"/>
      <c r="I808" s="1118" t="s">
        <v>2284</v>
      </c>
    </row>
    <row r="809" spans="1:9" ht="14.4">
      <c r="A809" s="706"/>
      <c r="B809" s="706"/>
      <c r="C809" s="1051"/>
      <c r="D809" s="1763"/>
      <c r="E809" s="1763"/>
      <c r="F809" s="1763"/>
      <c r="G809" s="1050"/>
    </row>
    <row r="810" spans="1:9">
      <c r="A810" s="1037"/>
      <c r="B810" s="1037"/>
      <c r="C810" s="1051"/>
      <c r="D810" s="1763"/>
      <c r="E810" s="1763"/>
      <c r="F810" s="1763"/>
      <c r="G810" s="1050"/>
    </row>
    <row r="811" spans="1:9" ht="14.4">
      <c r="A811" s="706"/>
      <c r="B811" s="1037"/>
      <c r="C811" s="1051"/>
      <c r="D811" s="1763"/>
      <c r="E811" s="1763"/>
      <c r="F811" s="1763"/>
      <c r="G811" s="1050"/>
    </row>
    <row r="812" spans="1:9" ht="12.75" customHeight="1">
      <c r="A812" s="706"/>
      <c r="B812" s="1037"/>
      <c r="C812" s="1051"/>
      <c r="D812" s="1763"/>
      <c r="E812" s="1763"/>
      <c r="F812" s="1763"/>
      <c r="G812" s="1050"/>
    </row>
    <row r="813" spans="1:9" ht="12.75" customHeight="1">
      <c r="A813" s="706"/>
      <c r="B813" s="1037"/>
      <c r="C813" s="1051"/>
      <c r="D813" s="1763"/>
      <c r="E813" s="1763"/>
      <c r="F813" s="1763"/>
      <c r="G813" s="1050"/>
    </row>
    <row r="814" spans="1:9" ht="12.75" customHeight="1">
      <c r="A814" s="1037"/>
      <c r="B814" s="1037"/>
      <c r="C814" s="1051"/>
      <c r="D814" s="1049"/>
      <c r="E814" s="6"/>
      <c r="F814" s="6"/>
      <c r="G814" s="1050"/>
    </row>
    <row r="815" spans="1:9" ht="12.75" customHeight="1">
      <c r="A815" s="1740" t="s">
        <v>2074</v>
      </c>
      <c r="B815" s="1740"/>
      <c r="C815" s="1740"/>
      <c r="D815" s="1740"/>
      <c r="E815" s="1740"/>
      <c r="F815" s="1740"/>
      <c r="G815" s="1740"/>
      <c r="H815" s="1130"/>
      <c r="I815" s="1131"/>
    </row>
    <row r="816" spans="1:9" ht="12.75" customHeight="1">
      <c r="A816" s="1027"/>
      <c r="B816" s="1027"/>
      <c r="C816" s="1051"/>
      <c r="D816" s="1049"/>
      <c r="E816" s="1049"/>
      <c r="F816" s="1049"/>
      <c r="G816" s="1050"/>
    </row>
    <row r="817" spans="1:9" ht="12.75" customHeight="1">
      <c r="A817" s="706"/>
      <c r="B817" s="706"/>
      <c r="C817" s="549"/>
      <c r="D817" s="1747" t="s">
        <v>2115</v>
      </c>
      <c r="E817" s="1747"/>
      <c r="F817" s="1747"/>
      <c r="G817" s="670"/>
    </row>
    <row r="818" spans="1:9" ht="14.25" customHeight="1">
      <c r="A818" s="706"/>
      <c r="B818" s="706"/>
      <c r="C818" s="549"/>
      <c r="D818" s="1705" t="s">
        <v>2075</v>
      </c>
      <c r="E818" s="1705"/>
      <c r="F818" s="1705"/>
      <c r="G818" s="670"/>
    </row>
    <row r="819" spans="1:9" ht="12.75" customHeight="1">
      <c r="A819" s="706"/>
      <c r="B819" s="706"/>
      <c r="C819" s="549"/>
      <c r="D819" s="1016"/>
      <c r="E819" s="1016"/>
      <c r="F819" s="1016"/>
      <c r="G819" s="670"/>
    </row>
    <row r="820" spans="1:9" ht="12.75" customHeight="1">
      <c r="A820" s="1053"/>
      <c r="B820" s="790" t="s">
        <v>2760</v>
      </c>
      <c r="C820" s="1051"/>
      <c r="D820" s="1705" t="s">
        <v>2076</v>
      </c>
      <c r="E820" s="1705"/>
      <c r="F820" s="1705"/>
      <c r="G820" s="670"/>
      <c r="I820" s="1082" t="s">
        <v>2252</v>
      </c>
    </row>
    <row r="821" spans="1:9" ht="14.25" customHeight="1">
      <c r="A821" s="1037"/>
      <c r="B821" s="1037"/>
      <c r="C821" s="1051"/>
      <c r="D821" s="782"/>
      <c r="E821" s="1187" t="s">
        <v>2339</v>
      </c>
      <c r="F821" s="1192"/>
      <c r="G821" s="670"/>
    </row>
    <row r="822" spans="1:9" ht="12.75" customHeight="1">
      <c r="A822" s="1037"/>
      <c r="B822" s="1037"/>
      <c r="C822" s="1051"/>
      <c r="D822" s="1054"/>
      <c r="E822" s="6"/>
      <c r="F822" s="6"/>
      <c r="G822" s="670"/>
    </row>
    <row r="823" spans="1:9" ht="14.25" hidden="1" customHeight="1">
      <c r="A823" s="1037"/>
      <c r="B823" s="790" t="s">
        <v>312</v>
      </c>
      <c r="C823" s="1051"/>
      <c r="D823" s="1839" t="s">
        <v>2651</v>
      </c>
      <c r="E823" s="1839"/>
      <c r="F823" s="1839"/>
      <c r="G823" s="670"/>
    </row>
    <row r="824" spans="1:9" ht="12.75" hidden="1" customHeight="1">
      <c r="A824" s="1037"/>
      <c r="B824" s="1037"/>
      <c r="C824" s="1051"/>
      <c r="D824" s="1839"/>
      <c r="E824" s="1839"/>
      <c r="F824" s="1839"/>
      <c r="G824" s="670"/>
    </row>
    <row r="825" spans="1:9" ht="12.75" hidden="1" customHeight="1">
      <c r="A825" s="1037"/>
      <c r="B825" s="1037"/>
      <c r="C825" s="1051"/>
      <c r="D825" s="1839"/>
      <c r="E825" s="1839"/>
      <c r="F825" s="1839"/>
      <c r="G825" s="670"/>
    </row>
    <row r="826" spans="1:9" ht="12.75" hidden="1" customHeight="1">
      <c r="A826" s="1037"/>
      <c r="B826" s="1037"/>
      <c r="C826" s="1051"/>
      <c r="D826" s="1839"/>
      <c r="E826" s="1839"/>
      <c r="F826" s="1839"/>
      <c r="G826" s="670"/>
    </row>
    <row r="827" spans="1:9" ht="12.75" hidden="1" customHeight="1">
      <c r="A827" s="1037"/>
      <c r="B827" s="1037"/>
      <c r="C827" s="1051"/>
      <c r="D827" s="1839"/>
      <c r="E827" s="1839"/>
      <c r="F827" s="1839"/>
      <c r="G827" s="670"/>
    </row>
    <row r="828" spans="1:9" ht="12.75" hidden="1" customHeight="1">
      <c r="A828" s="1037"/>
      <c r="B828" s="1037"/>
      <c r="C828" s="1051"/>
      <c r="D828" s="1839"/>
      <c r="E828" s="1839"/>
      <c r="F828" s="1839"/>
      <c r="G828" s="670"/>
    </row>
    <row r="829" spans="1:9" ht="12.75" hidden="1" customHeight="1">
      <c r="A829" s="1037"/>
      <c r="B829" s="1037"/>
      <c r="C829" s="1051"/>
      <c r="D829" s="1839"/>
      <c r="E829" s="1839"/>
      <c r="F829" s="1839"/>
      <c r="G829" s="670"/>
    </row>
    <row r="830" spans="1:9" ht="12.75" hidden="1" customHeight="1">
      <c r="A830" s="1037"/>
      <c r="B830" s="1037"/>
      <c r="C830" s="1051"/>
      <c r="D830" s="1839"/>
      <c r="E830" s="1839"/>
      <c r="F830" s="1839"/>
      <c r="G830" s="670"/>
    </row>
    <row r="831" spans="1:9" ht="12.75" hidden="1" customHeight="1">
      <c r="A831" s="1037"/>
      <c r="B831" s="1037"/>
      <c r="C831" s="1051"/>
      <c r="D831" s="1839"/>
      <c r="E831" s="1839"/>
      <c r="F831" s="1839"/>
      <c r="G831" s="670"/>
    </row>
    <row r="832" spans="1:9" ht="12.75" hidden="1" customHeight="1">
      <c r="A832" s="1037"/>
      <c r="B832" s="1037"/>
      <c r="C832" s="1051"/>
      <c r="D832" s="1839"/>
      <c r="E832" s="1839"/>
      <c r="F832" s="1839"/>
      <c r="G832" s="670"/>
    </row>
    <row r="833" spans="1:9" ht="12.75" hidden="1" customHeight="1">
      <c r="A833" s="1037"/>
      <c r="B833" s="1037"/>
      <c r="C833" s="1051"/>
      <c r="D833" s="1054"/>
      <c r="E833" s="6"/>
      <c r="F833" s="6"/>
      <c r="G833" s="670"/>
    </row>
    <row r="834" spans="1:9" ht="12.75" customHeight="1">
      <c r="A834" s="706"/>
      <c r="B834" s="790" t="s">
        <v>2760</v>
      </c>
      <c r="C834" s="1051"/>
      <c r="D834" s="1705" t="s">
        <v>2077</v>
      </c>
      <c r="E834" s="1705"/>
      <c r="F834" s="1705"/>
      <c r="G834" s="670"/>
      <c r="I834" s="1082" t="s">
        <v>2270</v>
      </c>
    </row>
    <row r="835" spans="1:9" ht="12.75" customHeight="1">
      <c r="A835" s="706"/>
      <c r="B835" s="706"/>
      <c r="C835" s="1051"/>
      <c r="D835" s="1705"/>
      <c r="E835" s="1705"/>
      <c r="F835" s="1705"/>
      <c r="G835" s="670"/>
    </row>
    <row r="836" spans="1:9" ht="12.75" customHeight="1">
      <c r="A836" s="706"/>
      <c r="B836" s="706"/>
      <c r="C836" s="1051"/>
      <c r="D836" s="1705"/>
      <c r="E836" s="1705"/>
      <c r="F836" s="1705"/>
      <c r="G836" s="670"/>
    </row>
    <row r="837" spans="1:9" ht="12.75" customHeight="1">
      <c r="A837" s="400"/>
      <c r="B837" s="400"/>
      <c r="C837" s="1055"/>
      <c r="D837" s="1033"/>
      <c r="E837" s="670"/>
      <c r="F837" s="670"/>
      <c r="G837" s="670"/>
    </row>
    <row r="838" spans="1:9" ht="12.75" customHeight="1">
      <c r="A838" s="1056"/>
      <c r="B838" s="790" t="s">
        <v>2761</v>
      </c>
      <c r="C838" s="1055"/>
      <c r="D838" s="1837" t="s">
        <v>2078</v>
      </c>
      <c r="E838" s="1837"/>
      <c r="F838" s="1837"/>
      <c r="G838" s="670"/>
    </row>
    <row r="839" spans="1:9" ht="12.75" customHeight="1">
      <c r="A839" s="549"/>
      <c r="B839" s="1056"/>
      <c r="C839" s="1055"/>
      <c r="D839" s="1837"/>
      <c r="E839" s="1837"/>
      <c r="F839" s="1837"/>
      <c r="G839" s="670"/>
    </row>
    <row r="840" spans="1:9" ht="12.75" customHeight="1">
      <c r="A840" s="400"/>
      <c r="B840" s="549"/>
      <c r="C840" s="1055"/>
      <c r="D840" s="1707" t="s">
        <v>2642</v>
      </c>
      <c r="E840" s="1707"/>
      <c r="F840" s="1707"/>
      <c r="G840" s="670"/>
    </row>
    <row r="841" spans="1:9" ht="12.75" customHeight="1">
      <c r="A841" s="400"/>
      <c r="B841" s="400"/>
      <c r="C841" s="1055"/>
      <c r="D841" s="1707"/>
      <c r="E841" s="1707"/>
      <c r="F841" s="1707"/>
      <c r="G841" s="670"/>
    </row>
    <row r="842" spans="1:9" ht="12.75" customHeight="1">
      <c r="A842" s="400"/>
      <c r="B842" s="400"/>
      <c r="C842" s="1055"/>
      <c r="D842" s="1707"/>
      <c r="E842" s="1707"/>
      <c r="F842" s="1707"/>
      <c r="G842" s="670"/>
    </row>
    <row r="843" spans="1:9" ht="12.75" customHeight="1">
      <c r="A843" s="400"/>
      <c r="B843" s="400"/>
      <c r="C843" s="1055"/>
      <c r="D843" s="1707"/>
      <c r="E843" s="1707"/>
      <c r="F843" s="1707"/>
      <c r="G843" s="670"/>
    </row>
    <row r="844" spans="1:9" ht="12.75" customHeight="1">
      <c r="A844" s="400"/>
      <c r="B844" s="400"/>
      <c r="C844" s="1055"/>
      <c r="D844" s="1707"/>
      <c r="E844" s="1707"/>
      <c r="F844" s="1707"/>
      <c r="G844" s="670"/>
    </row>
    <row r="845" spans="1:9" ht="12.75" customHeight="1">
      <c r="A845" s="400"/>
      <c r="B845" s="400"/>
      <c r="C845" s="1055"/>
      <c r="D845" s="1707"/>
      <c r="E845" s="1707"/>
      <c r="F845" s="1707"/>
      <c r="G845" s="670"/>
    </row>
    <row r="846" spans="1:9" ht="12.75" customHeight="1">
      <c r="A846" s="400"/>
      <c r="B846" s="400"/>
      <c r="C846" s="1055"/>
      <c r="D846" s="1033"/>
      <c r="E846" s="670"/>
      <c r="F846" s="670"/>
      <c r="G846" s="670"/>
    </row>
    <row r="847" spans="1:9" ht="12.75" customHeight="1">
      <c r="A847" s="400"/>
      <c r="B847" s="790" t="s">
        <v>2761</v>
      </c>
      <c r="C847" s="1055"/>
      <c r="D847" s="1707" t="s">
        <v>2079</v>
      </c>
      <c r="E847" s="1707"/>
      <c r="F847" s="1707"/>
      <c r="G847" s="670"/>
      <c r="I847" s="1082" t="s">
        <v>2253</v>
      </c>
    </row>
    <row r="848" spans="1:9" ht="12.75" customHeight="1">
      <c r="A848" s="400"/>
      <c r="B848" s="400"/>
      <c r="C848" s="1055"/>
      <c r="D848" s="1707" t="s">
        <v>2080</v>
      </c>
      <c r="E848" s="1707"/>
      <c r="F848" s="1707"/>
      <c r="G848" s="670"/>
    </row>
    <row r="849" spans="1:9" ht="12.75" customHeight="1">
      <c r="A849" s="400"/>
      <c r="B849" s="400"/>
      <c r="C849" s="1055"/>
      <c r="D849" s="782"/>
      <c r="E849" s="1187" t="s">
        <v>2341</v>
      </c>
      <c r="F849" s="1193"/>
      <c r="G849" s="670"/>
    </row>
    <row r="850" spans="1:9" ht="12.75" customHeight="1">
      <c r="A850" s="400"/>
      <c r="B850" s="400"/>
      <c r="C850" s="1055"/>
      <c r="D850" s="1033"/>
      <c r="E850" s="670"/>
      <c r="F850" s="670"/>
      <c r="G850" s="670"/>
    </row>
    <row r="851" spans="1:9" ht="12.75" customHeight="1">
      <c r="A851" s="400"/>
      <c r="B851" s="790" t="s">
        <v>2761</v>
      </c>
      <c r="C851" s="1055"/>
      <c r="D851" s="1707" t="s">
        <v>2081</v>
      </c>
      <c r="E851" s="1707"/>
      <c r="F851" s="1707"/>
      <c r="G851" s="670"/>
      <c r="I851" s="1082" t="s">
        <v>2271</v>
      </c>
    </row>
    <row r="852" spans="1:9" ht="12.75" customHeight="1">
      <c r="A852" s="400"/>
      <c r="B852" s="400"/>
      <c r="C852" s="1055"/>
      <c r="D852" s="1707"/>
      <c r="E852" s="1707"/>
      <c r="F852" s="1707"/>
      <c r="G852" s="670"/>
    </row>
    <row r="853" spans="1:9" ht="12.75" customHeight="1">
      <c r="A853" s="400"/>
      <c r="B853" s="400"/>
      <c r="C853" s="1055"/>
      <c r="D853" s="1707"/>
      <c r="E853" s="1707"/>
      <c r="F853" s="1707"/>
      <c r="G853" s="670"/>
    </row>
    <row r="854" spans="1:9" ht="12.75" customHeight="1">
      <c r="A854" s="400"/>
      <c r="B854" s="400"/>
      <c r="C854" s="1055"/>
      <c r="D854" s="1707"/>
      <c r="E854" s="1707"/>
      <c r="F854" s="1707"/>
      <c r="G854" s="670"/>
    </row>
    <row r="855" spans="1:9" ht="12.75" customHeight="1">
      <c r="A855" s="1027"/>
      <c r="B855" s="1027"/>
      <c r="C855" s="1057"/>
      <c r="D855" s="1021"/>
      <c r="E855" s="6"/>
      <c r="F855" s="6"/>
      <c r="G855" s="670"/>
    </row>
    <row r="856" spans="1:9" ht="12.75" customHeight="1">
      <c r="A856" s="1032" t="s">
        <v>2082</v>
      </c>
      <c r="B856" s="1032"/>
      <c r="C856" s="1058"/>
      <c r="D856" s="1058"/>
      <c r="E856" s="1058"/>
      <c r="F856" s="1058"/>
      <c r="G856" s="1059"/>
      <c r="H856" s="1130"/>
      <c r="I856" s="1131"/>
    </row>
    <row r="857" spans="1:9" ht="12.75" customHeight="1">
      <c r="A857" s="1027"/>
      <c r="B857" s="1027"/>
      <c r="C857" s="1057"/>
      <c r="D857" s="1060"/>
      <c r="E857" s="6"/>
      <c r="F857" s="6"/>
      <c r="G857" s="670"/>
    </row>
    <row r="858" spans="1:9" ht="12.75" customHeight="1">
      <c r="A858" s="1053"/>
      <c r="B858" s="1053"/>
      <c r="C858" s="313"/>
      <c r="D858" s="1729" t="s">
        <v>2116</v>
      </c>
      <c r="E858" s="1729"/>
      <c r="F858" s="1729"/>
      <c r="G858" s="1050"/>
    </row>
    <row r="859" spans="1:9" ht="12.75" customHeight="1">
      <c r="A859" s="1053"/>
      <c r="B859" s="1053"/>
      <c r="C859" s="313"/>
      <c r="D859" s="1838" t="s">
        <v>2083</v>
      </c>
      <c r="E859" s="1838"/>
      <c r="F859" s="1838"/>
      <c r="G859" s="1050"/>
    </row>
    <row r="860" spans="1:9" ht="12.75" customHeight="1">
      <c r="A860" s="1053"/>
      <c r="B860" s="1053"/>
      <c r="C860" s="313"/>
      <c r="D860" s="1061"/>
      <c r="E860" s="1061"/>
      <c r="F860" s="1061"/>
      <c r="G860" s="1050"/>
    </row>
    <row r="861" spans="1:9" ht="12.75" customHeight="1">
      <c r="A861" s="706"/>
      <c r="B861" s="790" t="s">
        <v>2760</v>
      </c>
      <c r="C861" s="549"/>
      <c r="D861" s="1730" t="s">
        <v>2084</v>
      </c>
      <c r="E861" s="1730"/>
      <c r="F861" s="1730"/>
      <c r="G861" s="1050"/>
      <c r="I861" s="1082" t="s">
        <v>2253</v>
      </c>
    </row>
    <row r="862" spans="1:9" ht="12.75" customHeight="1">
      <c r="A862" s="1053"/>
      <c r="B862" s="1053"/>
      <c r="C862" s="549"/>
      <c r="D862" s="5" t="s">
        <v>2059</v>
      </c>
      <c r="E862" s="1187" t="s">
        <v>2341</v>
      </c>
      <c r="F862" s="1194"/>
      <c r="G862" s="1050"/>
    </row>
    <row r="863" spans="1:9" ht="12.75" customHeight="1">
      <c r="A863" s="1053"/>
      <c r="B863" s="1053"/>
      <c r="C863" s="549"/>
      <c r="D863" s="1021"/>
      <c r="E863" s="1049"/>
      <c r="F863" s="1049"/>
      <c r="G863" s="1050"/>
    </row>
    <row r="864" spans="1:9" ht="12.75" customHeight="1">
      <c r="A864" s="706"/>
      <c r="B864" s="790" t="s">
        <v>2760</v>
      </c>
      <c r="C864" s="549"/>
      <c r="D864" s="1705" t="s">
        <v>2085</v>
      </c>
      <c r="E864" s="1779"/>
      <c r="F864" s="1779"/>
      <c r="G864" s="670"/>
      <c r="I864" s="1082" t="s">
        <v>2271</v>
      </c>
    </row>
    <row r="865" spans="1:9" ht="12.75" customHeight="1">
      <c r="A865" s="1053"/>
      <c r="B865" s="1053"/>
      <c r="C865" s="549"/>
      <c r="D865" s="1779"/>
      <c r="E865" s="1779"/>
      <c r="F865" s="1779"/>
      <c r="G865" s="670"/>
    </row>
    <row r="866" spans="1:9" ht="12.75" customHeight="1">
      <c r="A866" s="1053"/>
      <c r="B866" s="1053"/>
      <c r="C866" s="549"/>
      <c r="D866" s="1021"/>
      <c r="E866" s="6"/>
      <c r="F866" s="6"/>
      <c r="G866" s="670"/>
    </row>
    <row r="867" spans="1:9" ht="12.75" customHeight="1">
      <c r="A867" s="549"/>
      <c r="B867" s="790" t="s">
        <v>2761</v>
      </c>
      <c r="C867" s="550"/>
      <c r="D867" s="1840" t="s">
        <v>2086</v>
      </c>
      <c r="E867" s="1840"/>
      <c r="F867" s="1840"/>
      <c r="G867" s="1050"/>
    </row>
    <row r="868" spans="1:9" ht="12.75" customHeight="1">
      <c r="A868" s="549"/>
      <c r="B868" s="1062"/>
      <c r="C868" s="550"/>
      <c r="D868" s="1840"/>
      <c r="E868" s="1840"/>
      <c r="F868" s="1840"/>
      <c r="G868" s="1050"/>
    </row>
    <row r="869" spans="1:9" ht="12.75" customHeight="1">
      <c r="A869" s="706"/>
      <c r="B869" s="669"/>
      <c r="C869" s="549"/>
      <c r="D869" s="1707" t="s">
        <v>2642</v>
      </c>
      <c r="E869" s="1707"/>
      <c r="F869" s="1707"/>
      <c r="G869" s="1050"/>
    </row>
    <row r="870" spans="1:9" ht="12.75" customHeight="1">
      <c r="A870" s="706"/>
      <c r="B870" s="706"/>
      <c r="C870" s="549"/>
      <c r="D870" s="1707"/>
      <c r="E870" s="1707"/>
      <c r="F870" s="1707"/>
      <c r="G870" s="1050"/>
    </row>
    <row r="871" spans="1:9" ht="12.75" customHeight="1">
      <c r="A871" s="706"/>
      <c r="B871" s="706"/>
      <c r="C871" s="549"/>
      <c r="D871" s="1707"/>
      <c r="E871" s="1707"/>
      <c r="F871" s="1707"/>
      <c r="G871" s="1050"/>
    </row>
    <row r="872" spans="1:9" ht="12.75" customHeight="1">
      <c r="A872" s="706"/>
      <c r="B872" s="706"/>
      <c r="C872" s="549"/>
      <c r="D872" s="1707"/>
      <c r="E872" s="1707"/>
      <c r="F872" s="1707"/>
      <c r="G872" s="1050"/>
    </row>
    <row r="873" spans="1:9" ht="12.75" customHeight="1">
      <c r="A873" s="706"/>
      <c r="B873" s="706"/>
      <c r="C873" s="549"/>
      <c r="D873" s="1707"/>
      <c r="E873" s="1707"/>
      <c r="F873" s="1707"/>
      <c r="G873" s="1050"/>
    </row>
    <row r="874" spans="1:9" ht="12.75" customHeight="1">
      <c r="A874" s="706"/>
      <c r="B874" s="706"/>
      <c r="C874" s="549"/>
      <c r="D874" s="1707"/>
      <c r="E874" s="1707"/>
      <c r="F874" s="1707"/>
      <c r="G874" s="1050"/>
    </row>
    <row r="875" spans="1:9" ht="12.75" customHeight="1">
      <c r="A875" s="706"/>
      <c r="B875" s="706"/>
      <c r="C875" s="549"/>
      <c r="D875" s="1021"/>
      <c r="E875" s="1049"/>
      <c r="F875" s="1049"/>
      <c r="G875" s="1050"/>
    </row>
    <row r="876" spans="1:9" ht="12.75" customHeight="1">
      <c r="A876" s="706"/>
      <c r="B876" s="790" t="s">
        <v>2761</v>
      </c>
      <c r="C876" s="549"/>
      <c r="D876" s="1734" t="s">
        <v>2079</v>
      </c>
      <c r="E876" s="1734"/>
      <c r="F876" s="1734"/>
      <c r="G876" s="1050"/>
      <c r="I876" s="1082" t="s">
        <v>2253</v>
      </c>
    </row>
    <row r="877" spans="1:9" ht="12.75" customHeight="1">
      <c r="A877" s="706"/>
      <c r="B877" s="706"/>
      <c r="C877" s="549"/>
      <c r="D877" s="1734" t="s">
        <v>2080</v>
      </c>
      <c r="E877" s="1734"/>
      <c r="F877" s="1734"/>
      <c r="G877" s="1050"/>
    </row>
    <row r="878" spans="1:9" ht="12.75" customHeight="1">
      <c r="A878" s="706"/>
      <c r="B878" s="706"/>
      <c r="C878" s="549"/>
      <c r="D878" s="5" t="s">
        <v>1446</v>
      </c>
      <c r="E878" s="1187" t="s">
        <v>2341</v>
      </c>
      <c r="F878" s="1195"/>
      <c r="G878" s="1050"/>
    </row>
    <row r="879" spans="1:9" ht="12.75" customHeight="1">
      <c r="A879" s="706"/>
      <c r="B879" s="706"/>
      <c r="C879" s="549"/>
      <c r="D879" s="1021"/>
      <c r="E879" s="1049"/>
      <c r="F879" s="1049"/>
      <c r="G879" s="1050"/>
    </row>
    <row r="880" spans="1:9" ht="12.75" customHeight="1">
      <c r="A880" s="706"/>
      <c r="B880" s="790" t="s">
        <v>2761</v>
      </c>
      <c r="C880" s="549"/>
      <c r="D880" s="1705" t="s">
        <v>2081</v>
      </c>
      <c r="E880" s="1705"/>
      <c r="F880" s="1705"/>
      <c r="G880" s="1050"/>
      <c r="I880" s="1082" t="s">
        <v>2271</v>
      </c>
    </row>
    <row r="881" spans="1:9" ht="12.75" customHeight="1">
      <c r="A881" s="706"/>
      <c r="B881" s="706"/>
      <c r="C881" s="549"/>
      <c r="D881" s="1705"/>
      <c r="E881" s="1705"/>
      <c r="F881" s="1705"/>
      <c r="G881" s="1050"/>
    </row>
    <row r="882" spans="1:9" ht="12.75" customHeight="1">
      <c r="A882" s="706"/>
      <c r="B882" s="706"/>
      <c r="C882" s="549"/>
      <c r="D882" s="1705"/>
      <c r="E882" s="1705"/>
      <c r="F882" s="1705"/>
      <c r="G882" s="1050"/>
    </row>
    <row r="883" spans="1:9" ht="12.75" customHeight="1">
      <c r="A883" s="706"/>
      <c r="B883" s="706"/>
      <c r="C883" s="549"/>
      <c r="D883" s="1705"/>
      <c r="E883" s="1705"/>
      <c r="F883" s="1705"/>
      <c r="G883" s="1050"/>
    </row>
    <row r="884" spans="1:9" ht="12.75" customHeight="1">
      <c r="A884" s="1022"/>
      <c r="B884" s="1022"/>
      <c r="C884" s="1051"/>
      <c r="D884" s="1049"/>
      <c r="E884" s="1049"/>
      <c r="F884" s="1049"/>
      <c r="G884" s="1050"/>
    </row>
    <row r="885" spans="1:9" ht="12.75" customHeight="1">
      <c r="A885" s="1740" t="s">
        <v>2117</v>
      </c>
      <c r="B885" s="1740"/>
      <c r="C885" s="1740"/>
      <c r="D885" s="1740"/>
      <c r="E885" s="1740"/>
      <c r="F885" s="1740"/>
      <c r="G885" s="1740"/>
      <c r="H885" s="1130"/>
      <c r="I885" s="1131"/>
    </row>
    <row r="886" spans="1:9" s="1080" customFormat="1" ht="12.75" customHeight="1">
      <c r="A886" s="93"/>
      <c r="B886" s="93"/>
      <c r="C886" s="93"/>
      <c r="D886" s="93"/>
      <c r="E886" s="93"/>
      <c r="F886" s="93"/>
      <c r="G886" s="93"/>
      <c r="I886" s="1082"/>
    </row>
    <row r="887" spans="1:9" s="1080" customFormat="1" ht="12.75" customHeight="1">
      <c r="A887" s="93"/>
      <c r="B887" s="93"/>
      <c r="C887" s="93"/>
      <c r="D887" s="1749" t="s">
        <v>2123</v>
      </c>
      <c r="E887" s="1749"/>
      <c r="F887" s="1749"/>
      <c r="G887" s="93"/>
      <c r="I887" s="1082"/>
    </row>
    <row r="888" spans="1:9" s="1080" customFormat="1" ht="12.75" customHeight="1">
      <c r="A888" s="93"/>
      <c r="B888" s="93"/>
      <c r="C888" s="93"/>
      <c r="D888" s="1029"/>
      <c r="E888" s="1029"/>
      <c r="F888" s="1029"/>
      <c r="G888" s="93"/>
      <c r="I888" s="1082"/>
    </row>
    <row r="889" spans="1:9" s="1080" customFormat="1" ht="12.75" customHeight="1">
      <c r="A889" s="93"/>
      <c r="B889" s="1083" t="s">
        <v>2760</v>
      </c>
      <c r="C889" s="93"/>
      <c r="D889" s="1034" t="s">
        <v>2124</v>
      </c>
      <c r="E889" s="1029"/>
      <c r="F889" s="1029"/>
      <c r="G889" s="93"/>
      <c r="I889" s="1082" t="s">
        <v>2285</v>
      </c>
    </row>
    <row r="890" spans="1:9" s="1080" customFormat="1" ht="12.75" customHeight="1">
      <c r="A890" s="93"/>
      <c r="B890" s="93"/>
      <c r="C890" s="93"/>
      <c r="D890" s="1029"/>
      <c r="E890" s="1029"/>
      <c r="F890" s="1029"/>
      <c r="G890" s="93"/>
      <c r="I890" s="1082"/>
    </row>
    <row r="891" spans="1:9" ht="12.75" customHeight="1">
      <c r="A891" s="1053"/>
      <c r="B891" s="1053"/>
      <c r="C891" s="1051"/>
      <c r="D891" s="1749" t="s">
        <v>2118</v>
      </c>
      <c r="E891" s="1749"/>
      <c r="F891" s="1749"/>
      <c r="G891" s="1050"/>
    </row>
    <row r="892" spans="1:9" ht="12.75" customHeight="1">
      <c r="A892" s="1027"/>
      <c r="B892" s="1027"/>
      <c r="C892" s="1057"/>
      <c r="D892" s="1730" t="s">
        <v>2087</v>
      </c>
      <c r="E892" s="1730"/>
      <c r="F892" s="1730"/>
      <c r="G892" s="1050"/>
    </row>
    <row r="893" spans="1:9" ht="12.75" customHeight="1">
      <c r="A893" s="1067"/>
      <c r="B893" s="1067"/>
      <c r="C893" s="1051"/>
      <c r="D893" s="5"/>
      <c r="E893" s="1049"/>
      <c r="F893" s="1049"/>
      <c r="G893" s="1050"/>
    </row>
    <row r="894" spans="1:9" ht="12.75" customHeight="1">
      <c r="A894" s="706"/>
      <c r="B894" s="790" t="s">
        <v>2760</v>
      </c>
      <c r="C894" s="549"/>
      <c r="D894" s="1705" t="s">
        <v>2091</v>
      </c>
      <c r="E894" s="1705"/>
      <c r="F894" s="1705"/>
      <c r="G894" s="670"/>
      <c r="I894" s="1082" t="s">
        <v>2237</v>
      </c>
    </row>
    <row r="895" spans="1:9" ht="12.75" customHeight="1">
      <c r="A895" s="1053"/>
      <c r="B895" s="1053"/>
      <c r="C895" s="549"/>
      <c r="D895" s="1705"/>
      <c r="E895" s="1705"/>
      <c r="F895" s="1705"/>
      <c r="G895" s="670"/>
    </row>
    <row r="896" spans="1:9" s="1080" customFormat="1" ht="12.75" customHeight="1">
      <c r="A896" s="1123"/>
      <c r="B896" s="1123"/>
      <c r="C896" s="1057"/>
      <c r="D896" s="1705" t="s">
        <v>2090</v>
      </c>
      <c r="E896" s="1705"/>
      <c r="F896" s="1705"/>
      <c r="G896" s="1050"/>
      <c r="I896" s="1082"/>
    </row>
    <row r="897" spans="1:9" s="1080" customFormat="1" ht="12.75" customHeight="1">
      <c r="A897" s="1123"/>
      <c r="B897" s="1123"/>
      <c r="C897" s="1057"/>
      <c r="D897" s="1705"/>
      <c r="E897" s="1705"/>
      <c r="F897" s="1705"/>
      <c r="G897" s="1050"/>
      <c r="I897" s="1082"/>
    </row>
    <row r="898" spans="1:9" ht="12.75" customHeight="1">
      <c r="A898" s="1027"/>
      <c r="B898" s="1027"/>
      <c r="C898" s="1057"/>
      <c r="D898" s="6"/>
      <c r="E898" s="6"/>
      <c r="F898" s="1049"/>
      <c r="G898" s="1050"/>
    </row>
    <row r="899" spans="1:9" ht="12.75" customHeight="1">
      <c r="A899" s="400"/>
      <c r="B899" s="790" t="s">
        <v>2760</v>
      </c>
      <c r="C899" s="481"/>
      <c r="D899" s="1841" t="s">
        <v>2088</v>
      </c>
      <c r="E899" s="1841"/>
      <c r="F899" s="1841"/>
      <c r="G899" s="1050"/>
      <c r="I899" s="1082" t="s">
        <v>2236</v>
      </c>
    </row>
    <row r="900" spans="1:9" ht="12.75" customHeight="1">
      <c r="A900" s="400"/>
      <c r="B900" s="400"/>
      <c r="C900" s="481"/>
      <c r="D900" s="1841"/>
      <c r="E900" s="1841"/>
      <c r="F900" s="1841"/>
      <c r="G900" s="1050"/>
    </row>
    <row r="901" spans="1:9" ht="12.75" customHeight="1">
      <c r="A901" s="400"/>
      <c r="B901" s="400"/>
      <c r="C901" s="481"/>
      <c r="D901" s="1841"/>
      <c r="E901" s="1841"/>
      <c r="F901" s="1841"/>
      <c r="G901" s="1050"/>
    </row>
    <row r="902" spans="1:9" s="1080" customFormat="1" ht="12.75" customHeight="1">
      <c r="A902" s="400"/>
      <c r="B902" s="400"/>
      <c r="C902" s="481"/>
      <c r="D902" s="1841"/>
      <c r="E902" s="1841"/>
      <c r="F902" s="1841"/>
      <c r="G902" s="1050"/>
      <c r="I902" s="1082"/>
    </row>
    <row r="903" spans="1:9" ht="12.75" customHeight="1">
      <c r="A903" s="400"/>
      <c r="B903" s="400"/>
      <c r="C903" s="481"/>
      <c r="D903" s="1841"/>
      <c r="E903" s="1841"/>
      <c r="F903" s="1841"/>
      <c r="G903" s="1050"/>
    </row>
    <row r="904" spans="1:9" ht="12.75" customHeight="1">
      <c r="A904" s="482"/>
      <c r="B904" s="482"/>
      <c r="C904" s="481"/>
      <c r="D904" s="1841"/>
      <c r="E904" s="1841"/>
      <c r="F904" s="1841"/>
      <c r="G904" s="1050"/>
    </row>
    <row r="905" spans="1:9" ht="12.75" customHeight="1">
      <c r="A905" s="482"/>
      <c r="B905" s="482"/>
      <c r="C905" s="481"/>
      <c r="D905" s="1841"/>
      <c r="E905" s="1841"/>
      <c r="F905" s="1841"/>
      <c r="G905" s="1050"/>
    </row>
    <row r="906" spans="1:9" ht="12.75" customHeight="1">
      <c r="A906" s="482"/>
      <c r="B906" s="482"/>
      <c r="C906" s="481"/>
      <c r="D906" s="1841"/>
      <c r="E906" s="1841"/>
      <c r="F906" s="1841"/>
      <c r="G906" s="1050"/>
    </row>
    <row r="907" spans="1:9" s="1080" customFormat="1" ht="12.75" customHeight="1">
      <c r="A907" s="482"/>
      <c r="B907" s="482"/>
      <c r="C907" s="481"/>
      <c r="D907" s="1124"/>
      <c r="E907" s="1124"/>
      <c r="F907" s="1124"/>
      <c r="G907" s="1050"/>
      <c r="I907" s="1082"/>
    </row>
    <row r="908" spans="1:9" ht="12.75" customHeight="1">
      <c r="A908" s="1067"/>
      <c r="B908" s="790" t="s">
        <v>2761</v>
      </c>
      <c r="C908" s="1051"/>
      <c r="D908" s="1705" t="s">
        <v>2092</v>
      </c>
      <c r="E908" s="1705"/>
      <c r="F908" s="1705"/>
      <c r="G908" s="1050"/>
    </row>
    <row r="909" spans="1:9" ht="12.75" customHeight="1">
      <c r="A909" s="1067"/>
      <c r="B909" s="1067"/>
      <c r="C909" s="1051"/>
      <c r="D909" s="1705"/>
      <c r="E909" s="1705"/>
      <c r="F909" s="1705"/>
      <c r="G909" s="1050"/>
    </row>
    <row r="910" spans="1:9" ht="12.75" customHeight="1">
      <c r="A910" s="1067"/>
      <c r="B910" s="1067"/>
      <c r="C910" s="1051"/>
      <c r="D910" s="1049"/>
      <c r="E910" s="1049"/>
      <c r="F910" s="1049"/>
      <c r="G910" s="1050"/>
    </row>
    <row r="911" spans="1:9" ht="12.75" customHeight="1">
      <c r="A911" s="1067"/>
      <c r="B911" s="790" t="s">
        <v>2761</v>
      </c>
      <c r="C911" s="1051"/>
      <c r="D911" s="1763" t="s">
        <v>2093</v>
      </c>
      <c r="E911" s="1763"/>
      <c r="F911" s="1763"/>
      <c r="G911" s="1050"/>
    </row>
    <row r="912" spans="1:9" ht="12.75" customHeight="1">
      <c r="A912" s="1067"/>
      <c r="B912" s="1067"/>
      <c r="C912" s="1051"/>
      <c r="D912" s="1763"/>
      <c r="E912" s="1763"/>
      <c r="F912" s="1763"/>
      <c r="G912" s="1050"/>
    </row>
    <row r="913" spans="1:9" ht="12.75" customHeight="1">
      <c r="A913" s="1067"/>
      <c r="B913" s="1067"/>
      <c r="C913" s="1051"/>
      <c r="D913" s="1763"/>
      <c r="E913" s="1763"/>
      <c r="F913" s="1763"/>
      <c r="G913" s="1050"/>
    </row>
    <row r="914" spans="1:9" ht="12.75" customHeight="1">
      <c r="A914" s="1067"/>
      <c r="B914" s="1067"/>
      <c r="C914" s="1051"/>
      <c r="D914" s="1763"/>
      <c r="E914" s="1763"/>
      <c r="F914" s="1763"/>
      <c r="G914" s="1050"/>
    </row>
    <row r="915" spans="1:9" ht="12.75" customHeight="1">
      <c r="A915" s="1067"/>
      <c r="B915" s="1067"/>
      <c r="C915" s="1051"/>
      <c r="D915" s="1021"/>
      <c r="E915" s="1049"/>
      <c r="F915" s="1049"/>
      <c r="G915" s="1050"/>
    </row>
    <row r="916" spans="1:9" ht="12.75" customHeight="1">
      <c r="A916" s="1067"/>
      <c r="B916" s="790" t="s">
        <v>2761</v>
      </c>
      <c r="C916" s="1051"/>
      <c r="D916" s="1730" t="s">
        <v>2643</v>
      </c>
      <c r="E916" s="1730"/>
      <c r="F916" s="1730"/>
      <c r="G916" s="1050"/>
    </row>
    <row r="917" spans="1:9" ht="12.75" customHeight="1">
      <c r="A917" s="1067"/>
      <c r="B917" s="1067"/>
      <c r="C917" s="1051"/>
      <c r="D917" s="1021"/>
      <c r="E917" s="1049"/>
      <c r="F917" s="1049"/>
      <c r="G917" s="1050"/>
    </row>
    <row r="918" spans="1:9" ht="12.75" customHeight="1">
      <c r="A918" s="1067"/>
      <c r="B918" s="790" t="s">
        <v>2761</v>
      </c>
      <c r="C918" s="1051"/>
      <c r="D918" s="1730" t="s">
        <v>2644</v>
      </c>
      <c r="E918" s="1730"/>
      <c r="F918" s="1730"/>
      <c r="G918" s="1050"/>
    </row>
    <row r="919" spans="1:9" ht="12.75" customHeight="1">
      <c r="A919" s="482"/>
      <c r="B919" s="482"/>
      <c r="C919" s="481"/>
      <c r="D919" s="183"/>
      <c r="E919" s="670"/>
      <c r="F919" s="1050"/>
      <c r="G919" s="1050"/>
    </row>
    <row r="920" spans="1:9" ht="12.75" customHeight="1">
      <c r="A920" s="1063"/>
      <c r="B920" s="790" t="s">
        <v>2761</v>
      </c>
      <c r="C920" s="1064"/>
      <c r="D920" s="1841" t="s">
        <v>2089</v>
      </c>
      <c r="E920" s="1841"/>
      <c r="F920" s="1841"/>
      <c r="G920" s="1065"/>
      <c r="I920" s="1082" t="s">
        <v>2286</v>
      </c>
    </row>
    <row r="921" spans="1:9" ht="12.75" customHeight="1">
      <c r="A921" s="1063"/>
      <c r="B921" s="1063"/>
      <c r="C921" s="1064"/>
      <c r="D921" s="1841"/>
      <c r="E921" s="1841"/>
      <c r="F921" s="1841"/>
      <c r="G921" s="1065"/>
    </row>
    <row r="922" spans="1:9" ht="12.75" customHeight="1">
      <c r="A922" s="1063"/>
      <c r="B922" s="1063"/>
      <c r="C922" s="1064"/>
      <c r="D922" s="1841"/>
      <c r="E922" s="1841"/>
      <c r="F922" s="1841"/>
      <c r="G922" s="1065"/>
    </row>
    <row r="923" spans="1:9" ht="12.75" customHeight="1">
      <c r="A923" s="1063"/>
      <c r="B923" s="1063"/>
      <c r="C923" s="1064"/>
      <c r="D923" s="1841"/>
      <c r="E923" s="1841"/>
      <c r="F923" s="1841"/>
      <c r="G923" s="1065"/>
    </row>
    <row r="924" spans="1:9" ht="12.75" customHeight="1">
      <c r="A924" s="1063"/>
      <c r="B924" s="1063"/>
      <c r="C924" s="1064"/>
      <c r="D924" s="1841"/>
      <c r="E924" s="1841"/>
      <c r="F924" s="1841"/>
      <c r="G924" s="1065"/>
    </row>
    <row r="925" spans="1:9" ht="12.75" customHeight="1">
      <c r="A925" s="1063"/>
      <c r="B925" s="1063"/>
      <c r="C925" s="1064"/>
      <c r="D925" s="1841"/>
      <c r="E925" s="1841"/>
      <c r="F925" s="1841"/>
      <c r="G925" s="1065"/>
    </row>
    <row r="926" spans="1:9" ht="12.75" customHeight="1">
      <c r="A926" s="1063"/>
      <c r="B926" s="1063"/>
      <c r="C926" s="1064"/>
      <c r="D926" s="1841"/>
      <c r="E926" s="1841"/>
      <c r="F926" s="1841"/>
      <c r="G926" s="1065"/>
    </row>
    <row r="927" spans="1:9" ht="12.75" customHeight="1">
      <c r="A927" s="1063"/>
      <c r="B927" s="1063"/>
      <c r="C927" s="1064"/>
      <c r="D927" s="1841"/>
      <c r="E927" s="1841"/>
      <c r="F927" s="1841"/>
      <c r="G927" s="1065"/>
    </row>
    <row r="928" spans="1:9" ht="12.75" customHeight="1">
      <c r="A928" s="1063"/>
      <c r="B928" s="1063"/>
      <c r="C928" s="1064"/>
      <c r="D928" s="1841"/>
      <c r="E928" s="1841"/>
      <c r="F928" s="1841"/>
      <c r="G928" s="1065"/>
    </row>
    <row r="929" spans="1:9" ht="12.75" customHeight="1">
      <c r="A929" s="482"/>
      <c r="B929" s="482"/>
      <c r="C929" s="481"/>
      <c r="D929" s="183"/>
      <c r="E929" s="670"/>
      <c r="F929" s="1050"/>
      <c r="G929" s="1050"/>
    </row>
    <row r="930" spans="1:9" ht="12.75" customHeight="1">
      <c r="A930" s="400"/>
      <c r="B930" s="790" t="s">
        <v>2760</v>
      </c>
      <c r="C930" s="481"/>
      <c r="D930" s="1842" t="s">
        <v>2289</v>
      </c>
      <c r="E930" s="1842"/>
      <c r="F930" s="1842"/>
      <c r="G930" s="1050"/>
      <c r="I930" s="1082" t="s">
        <v>2286</v>
      </c>
    </row>
    <row r="931" spans="1:9" ht="12.75" customHeight="1">
      <c r="A931" s="400"/>
      <c r="B931" s="400"/>
      <c r="C931" s="481"/>
      <c r="D931" s="1842"/>
      <c r="E931" s="1842"/>
      <c r="F931" s="1842"/>
      <c r="G931" s="1050"/>
    </row>
    <row r="932" spans="1:9" ht="12.75" customHeight="1">
      <c r="A932" s="400"/>
      <c r="B932" s="400"/>
      <c r="C932" s="481"/>
      <c r="D932" s="1842"/>
      <c r="E932" s="1842"/>
      <c r="F932" s="1842"/>
      <c r="G932" s="1050"/>
    </row>
    <row r="933" spans="1:9" ht="12.75" customHeight="1">
      <c r="A933" s="400"/>
      <c r="B933" s="400"/>
      <c r="C933" s="481"/>
      <c r="D933" s="1842"/>
      <c r="E933" s="1842"/>
      <c r="F933" s="1842"/>
      <c r="G933" s="1050"/>
    </row>
    <row r="934" spans="1:9" ht="12.75" customHeight="1">
      <c r="A934" s="400"/>
      <c r="B934" s="400"/>
      <c r="C934" s="481"/>
      <c r="D934" s="1842"/>
      <c r="E934" s="1842"/>
      <c r="F934" s="1842"/>
      <c r="G934" s="1050"/>
    </row>
    <row r="935" spans="1:9" ht="12.75" customHeight="1">
      <c r="A935" s="400"/>
      <c r="B935" s="400"/>
      <c r="C935" s="481"/>
      <c r="D935" s="1842"/>
      <c r="E935" s="1842"/>
      <c r="F935" s="1842"/>
      <c r="G935" s="1050"/>
    </row>
    <row r="936" spans="1:9" ht="12.75" customHeight="1">
      <c r="A936" s="400"/>
      <c r="B936" s="400"/>
      <c r="C936" s="481"/>
      <c r="D936" s="1842"/>
      <c r="E936" s="1842"/>
      <c r="F936" s="1842"/>
      <c r="G936" s="1050"/>
    </row>
    <row r="937" spans="1:9" s="1080" customFormat="1" ht="12.75" customHeight="1">
      <c r="A937" s="400"/>
      <c r="B937" s="400"/>
      <c r="C937" s="481"/>
      <c r="D937" s="1125"/>
      <c r="E937" s="1125"/>
      <c r="F937" s="1125"/>
      <c r="G937" s="1050"/>
      <c r="I937" s="1082"/>
    </row>
    <row r="938" spans="1:9" s="1080" customFormat="1" ht="12.75" customHeight="1">
      <c r="A938" s="400"/>
      <c r="B938" s="1083" t="s">
        <v>2760</v>
      </c>
      <c r="C938" s="481"/>
      <c r="D938" s="1765" t="s">
        <v>2287</v>
      </c>
      <c r="E938" s="1765"/>
      <c r="F938" s="1765"/>
      <c r="G938" s="1050"/>
      <c r="I938" s="1082"/>
    </row>
    <row r="939" spans="1:9" s="1080" customFormat="1" ht="12.75" customHeight="1">
      <c r="A939" s="400"/>
      <c r="B939" s="400"/>
      <c r="C939" s="481"/>
      <c r="D939" s="1765"/>
      <c r="E939" s="1765"/>
      <c r="F939" s="1765"/>
      <c r="G939" s="1050"/>
      <c r="I939" s="1082"/>
    </row>
    <row r="940" spans="1:9" s="1080" customFormat="1" ht="12.75" customHeight="1">
      <c r="A940" s="400"/>
      <c r="B940" s="400"/>
      <c r="C940" s="481"/>
      <c r="D940" s="1765"/>
      <c r="E940" s="1765"/>
      <c r="F940" s="1765"/>
      <c r="G940" s="1050"/>
      <c r="I940" s="1082"/>
    </row>
    <row r="941" spans="1:9" s="1080" customFormat="1" ht="12.75" customHeight="1">
      <c r="A941" s="400"/>
      <c r="B941" s="400"/>
      <c r="C941" s="481"/>
      <c r="D941" s="1765"/>
      <c r="E941" s="1765"/>
      <c r="F941" s="1765"/>
      <c r="G941" s="1050"/>
      <c r="I941" s="1082"/>
    </row>
    <row r="942" spans="1:9" s="1080" customFormat="1" ht="12.75" customHeight="1">
      <c r="A942" s="400"/>
      <c r="B942" s="400"/>
      <c r="C942" s="481"/>
      <c r="D942" s="1765"/>
      <c r="E942" s="1765"/>
      <c r="F942" s="1765"/>
      <c r="G942" s="1050"/>
      <c r="I942" s="1082"/>
    </row>
    <row r="943" spans="1:9" s="1080" customFormat="1" ht="12.75" customHeight="1">
      <c r="A943" s="400"/>
      <c r="B943" s="400"/>
      <c r="C943" s="481"/>
      <c r="D943" s="1765"/>
      <c r="E943" s="1765"/>
      <c r="F943" s="1765"/>
      <c r="G943" s="1050"/>
      <c r="I943" s="1082"/>
    </row>
    <row r="944" spans="1:9" s="1080" customFormat="1" ht="12.75" customHeight="1">
      <c r="A944" s="400"/>
      <c r="B944" s="400"/>
      <c r="C944" s="481"/>
      <c r="D944" s="1125"/>
      <c r="E944" s="1125"/>
      <c r="F944" s="1125"/>
      <c r="G944" s="1050"/>
      <c r="I944" s="1082"/>
    </row>
    <row r="945" spans="1:9" ht="12.75" customHeight="1">
      <c r="A945" s="1067"/>
      <c r="B945" s="790" t="s">
        <v>2761</v>
      </c>
      <c r="C945" s="1051"/>
      <c r="D945" s="1856" t="s">
        <v>2094</v>
      </c>
      <c r="E945" s="1856"/>
      <c r="F945" s="1856"/>
      <c r="G945" s="1050"/>
    </row>
    <row r="946" spans="1:9" ht="12.75" customHeight="1">
      <c r="A946" s="1067"/>
      <c r="B946" s="1067"/>
      <c r="C946" s="1051"/>
      <c r="D946" s="1856"/>
      <c r="E946" s="1856"/>
      <c r="F946" s="1856"/>
      <c r="G946" s="1050"/>
    </row>
    <row r="947" spans="1:9" ht="12.75" customHeight="1">
      <c r="A947" s="1067"/>
      <c r="B947" s="1067"/>
      <c r="C947" s="1051"/>
      <c r="D947" s="1856"/>
      <c r="E947" s="1856"/>
      <c r="F947" s="1856"/>
      <c r="G947" s="1050"/>
    </row>
    <row r="948" spans="1:9" s="1080" customFormat="1" ht="12.75" customHeight="1">
      <c r="A948" s="400"/>
      <c r="B948" s="400"/>
      <c r="C948" s="481"/>
      <c r="D948" s="1125"/>
      <c r="E948" s="1125"/>
      <c r="F948" s="1125"/>
      <c r="G948" s="1050"/>
      <c r="I948" s="1082"/>
    </row>
    <row r="949" spans="1:9" ht="12.75" customHeight="1">
      <c r="A949" s="400"/>
      <c r="B949" s="400"/>
      <c r="C949" s="481"/>
      <c r="D949" s="1066"/>
      <c r="E949" s="670"/>
      <c r="F949" s="1050"/>
      <c r="G949" s="1050"/>
    </row>
    <row r="950" spans="1:9" ht="12.75" customHeight="1">
      <c r="A950" s="400"/>
      <c r="B950" s="790" t="s">
        <v>2761</v>
      </c>
      <c r="C950" s="481"/>
      <c r="D950" s="1841" t="s">
        <v>2288</v>
      </c>
      <c r="E950" s="1841"/>
      <c r="F950" s="1841"/>
      <c r="G950" s="1050"/>
      <c r="I950" s="1082" t="s">
        <v>2286</v>
      </c>
    </row>
    <row r="951" spans="1:9" ht="12.75" customHeight="1">
      <c r="A951" s="400"/>
      <c r="B951" s="400"/>
      <c r="C951" s="481"/>
      <c r="D951" s="1841"/>
      <c r="E951" s="1841"/>
      <c r="F951" s="1841"/>
      <c r="G951" s="1050"/>
    </row>
    <row r="952" spans="1:9" ht="12.75" customHeight="1">
      <c r="A952" s="400"/>
      <c r="B952" s="400"/>
      <c r="C952" s="481"/>
      <c r="D952" s="1841"/>
      <c r="E952" s="1841"/>
      <c r="F952" s="1841"/>
      <c r="G952" s="1050"/>
    </row>
    <row r="953" spans="1:9" ht="12.75" customHeight="1">
      <c r="A953" s="400"/>
      <c r="B953" s="400"/>
      <c r="C953" s="481"/>
      <c r="D953" s="1841"/>
      <c r="E953" s="1841"/>
      <c r="F953" s="1841"/>
      <c r="G953" s="1050"/>
    </row>
    <row r="954" spans="1:9" ht="12.75" customHeight="1">
      <c r="A954" s="1069"/>
      <c r="B954" s="1069"/>
      <c r="C954" s="1055"/>
      <c r="D954" s="1018"/>
      <c r="E954" s="1018"/>
      <c r="F954" s="1018"/>
      <c r="G954" s="1018"/>
    </row>
    <row r="955" spans="1:9" ht="12.75" customHeight="1">
      <c r="A955" s="1053"/>
      <c r="B955" s="1053"/>
      <c r="C955" s="549"/>
      <c r="D955" s="1729" t="s">
        <v>2095</v>
      </c>
      <c r="E955" s="1729"/>
      <c r="F955" s="1729"/>
      <c r="G955" s="670"/>
    </row>
    <row r="956" spans="1:9" ht="12.75" customHeight="1">
      <c r="A956" s="706"/>
      <c r="B956" s="790" t="s">
        <v>2761</v>
      </c>
      <c r="C956" s="549"/>
      <c r="D956" s="1730" t="s">
        <v>2119</v>
      </c>
      <c r="E956" s="1730"/>
      <c r="F956" s="1730"/>
      <c r="G956" s="670"/>
      <c r="I956" s="1082" t="s">
        <v>2286</v>
      </c>
    </row>
    <row r="957" spans="1:9" ht="12.75" customHeight="1">
      <c r="A957" s="1053"/>
      <c r="B957" s="1053"/>
      <c r="C957" s="549"/>
      <c r="D957" s="6"/>
      <c r="E957" s="6"/>
      <c r="F957" s="6"/>
      <c r="G957" s="670"/>
    </row>
    <row r="958" spans="1:9" ht="12.75" customHeight="1">
      <c r="A958" s="1053"/>
      <c r="B958" s="1053"/>
      <c r="C958" s="549"/>
      <c r="D958" s="1729" t="s">
        <v>2096</v>
      </c>
      <c r="E958" s="1729"/>
      <c r="F958" s="1729"/>
      <c r="G958" s="669"/>
    </row>
    <row r="959" spans="1:9" ht="12.75" customHeight="1">
      <c r="A959" s="706"/>
      <c r="B959" s="790" t="s">
        <v>2761</v>
      </c>
      <c r="C959" s="549"/>
      <c r="D959" s="1705" t="s">
        <v>2645</v>
      </c>
      <c r="E959" s="1705"/>
      <c r="F959" s="1705"/>
      <c r="G959" s="669"/>
      <c r="I959" s="1082" t="s">
        <v>2286</v>
      </c>
    </row>
    <row r="960" spans="1:9" ht="12.75" customHeight="1">
      <c r="A960" s="706"/>
      <c r="B960" s="706"/>
      <c r="C960" s="549"/>
      <c r="D960" s="1705"/>
      <c r="E960" s="1705"/>
      <c r="F960" s="1705"/>
      <c r="G960" s="669"/>
    </row>
    <row r="961" spans="1:9" ht="12.75" customHeight="1">
      <c r="A961" s="706"/>
      <c r="B961" s="706"/>
      <c r="C961" s="549"/>
      <c r="D961" s="1705"/>
      <c r="E961" s="1705"/>
      <c r="F961" s="1705"/>
      <c r="G961" s="669"/>
    </row>
    <row r="962" spans="1:9" ht="12.75" customHeight="1">
      <c r="A962" s="706"/>
      <c r="B962" s="706"/>
      <c r="C962" s="549"/>
      <c r="D962" s="1705"/>
      <c r="E962" s="1705"/>
      <c r="F962" s="1705"/>
      <c r="G962" s="669"/>
    </row>
    <row r="963" spans="1:9" ht="12.75" customHeight="1">
      <c r="A963" s="706"/>
      <c r="B963" s="706"/>
      <c r="C963" s="549"/>
      <c r="D963" s="1705"/>
      <c r="E963" s="1705"/>
      <c r="F963" s="1705"/>
      <c r="G963" s="669"/>
    </row>
    <row r="964" spans="1:9" ht="12.75" customHeight="1">
      <c r="A964" s="706"/>
      <c r="B964" s="706"/>
      <c r="C964" s="549"/>
      <c r="D964" s="1705"/>
      <c r="E964" s="1705"/>
      <c r="F964" s="1705"/>
      <c r="G964" s="669"/>
    </row>
    <row r="965" spans="1:9" ht="12.75" customHeight="1">
      <c r="A965" s="706"/>
      <c r="B965" s="706"/>
      <c r="C965" s="549"/>
      <c r="D965" s="1705"/>
      <c r="E965" s="1705"/>
      <c r="F965" s="1705"/>
      <c r="G965" s="669"/>
    </row>
    <row r="966" spans="1:9" ht="12.75" customHeight="1">
      <c r="A966" s="706"/>
      <c r="B966" s="706"/>
      <c r="C966" s="549"/>
      <c r="D966" s="1705"/>
      <c r="E966" s="1705"/>
      <c r="F966" s="1705"/>
      <c r="G966" s="669"/>
    </row>
    <row r="967" spans="1:9" ht="12.75" customHeight="1">
      <c r="A967" s="706"/>
      <c r="B967" s="706"/>
      <c r="C967" s="549"/>
      <c r="D967" s="1705"/>
      <c r="E967" s="1705"/>
      <c r="F967" s="1705"/>
      <c r="G967" s="669"/>
    </row>
    <row r="968" spans="1:9" ht="12.75" customHeight="1">
      <c r="A968" s="706"/>
      <c r="B968" s="706"/>
      <c r="C968" s="549"/>
      <c r="D968" s="1705"/>
      <c r="E968" s="1705"/>
      <c r="F968" s="1705"/>
      <c r="G968" s="669"/>
    </row>
    <row r="969" spans="1:9" ht="12.75" customHeight="1">
      <c r="A969" s="706"/>
      <c r="B969" s="706"/>
      <c r="C969" s="549"/>
      <c r="D969" s="1705"/>
      <c r="E969" s="1705"/>
      <c r="F969" s="1705"/>
      <c r="G969" s="669"/>
    </row>
    <row r="970" spans="1:9" ht="12.75" customHeight="1">
      <c r="A970" s="706"/>
      <c r="B970" s="706"/>
      <c r="C970" s="549"/>
      <c r="D970" s="1705"/>
      <c r="E970" s="1705"/>
      <c r="F970" s="1705"/>
      <c r="G970" s="669"/>
    </row>
    <row r="971" spans="1:9" s="1080" customFormat="1" ht="12.75" customHeight="1">
      <c r="A971" s="706"/>
      <c r="B971" s="706"/>
      <c r="C971" s="549"/>
      <c r="D971" s="1705"/>
      <c r="E971" s="1705"/>
      <c r="F971" s="1705"/>
      <c r="G971" s="669"/>
      <c r="I971" s="1082"/>
    </row>
    <row r="972" spans="1:9" ht="12.75" customHeight="1">
      <c r="A972" s="706"/>
      <c r="B972" s="706"/>
      <c r="C972" s="549"/>
      <c r="D972" s="1705"/>
      <c r="E972" s="1705"/>
      <c r="F972" s="1705"/>
      <c r="G972" s="669"/>
    </row>
    <row r="973" spans="1:9" ht="12.75" customHeight="1">
      <c r="A973" s="706"/>
      <c r="B973" s="706"/>
      <c r="C973" s="549"/>
      <c r="D973" s="1705"/>
      <c r="E973" s="1705"/>
      <c r="F973" s="1705"/>
      <c r="G973" s="670"/>
    </row>
    <row r="974" spans="1:9" ht="12.75" customHeight="1">
      <c r="A974" s="1053"/>
      <c r="B974" s="1053"/>
      <c r="C974" s="549"/>
      <c r="D974" s="6"/>
      <c r="E974" s="6"/>
      <c r="F974" s="6"/>
      <c r="G974" s="670"/>
    </row>
    <row r="975" spans="1:9" ht="12.75" customHeight="1">
      <c r="A975" s="1740" t="s">
        <v>2097</v>
      </c>
      <c r="B975" s="1740"/>
      <c r="C975" s="1740"/>
      <c r="D975" s="1740"/>
      <c r="E975" s="1740"/>
      <c r="F975" s="1740"/>
      <c r="G975" s="1740"/>
      <c r="H975" s="1130"/>
      <c r="I975" s="1131"/>
    </row>
    <row r="976" spans="1:9" ht="12.75" customHeight="1">
      <c r="A976" s="1022"/>
      <c r="B976" s="1022"/>
      <c r="C976" s="549"/>
      <c r="D976" s="6"/>
      <c r="E976" s="6"/>
      <c r="F976" s="6"/>
      <c r="G976" s="670"/>
    </row>
    <row r="977" spans="1:9" ht="12.75" customHeight="1">
      <c r="A977" s="1053"/>
      <c r="B977" s="1053"/>
      <c r="C977" s="1051"/>
      <c r="D977" s="1729" t="s">
        <v>2120</v>
      </c>
      <c r="E977" s="1729"/>
      <c r="F977" s="1729"/>
      <c r="G977" s="670"/>
    </row>
    <row r="978" spans="1:9" ht="12.75" customHeight="1">
      <c r="A978" s="1027"/>
      <c r="B978" s="1027"/>
      <c r="C978" s="1057"/>
      <c r="D978" s="1730" t="s">
        <v>2098</v>
      </c>
      <c r="E978" s="1730"/>
      <c r="F978" s="1730"/>
      <c r="G978" s="670"/>
    </row>
    <row r="979" spans="1:9" ht="12.75" customHeight="1">
      <c r="A979" s="1027"/>
      <c r="B979" s="1027"/>
      <c r="C979" s="1057"/>
      <c r="D979" s="6"/>
      <c r="E979" s="6"/>
      <c r="F979" s="1049"/>
      <c r="G979" s="669"/>
    </row>
    <row r="980" spans="1:9" ht="12.75" customHeight="1">
      <c r="A980" s="1053"/>
      <c r="B980" s="790" t="s">
        <v>2760</v>
      </c>
      <c r="C980" s="549"/>
      <c r="D980" s="1844" t="s">
        <v>2359</v>
      </c>
      <c r="E980" s="1844"/>
      <c r="F980" s="1844"/>
      <c r="G980" s="669"/>
      <c r="I980" s="1082" t="s">
        <v>2266</v>
      </c>
    </row>
    <row r="981" spans="1:9" ht="12.75" customHeight="1">
      <c r="A981" s="1053"/>
      <c r="B981" s="1053"/>
      <c r="C981" s="549"/>
      <c r="D981" s="1844"/>
      <c r="E981" s="1844"/>
      <c r="F981" s="1844"/>
      <c r="G981" s="669"/>
    </row>
    <row r="982" spans="1:9" ht="12.75" customHeight="1">
      <c r="A982" s="1053"/>
      <c r="B982" s="1053"/>
      <c r="C982" s="549"/>
      <c r="D982" s="1192"/>
      <c r="E982" s="1187" t="s">
        <v>2360</v>
      </c>
      <c r="F982" s="1192"/>
      <c r="G982" s="669"/>
    </row>
    <row r="983" spans="1:9" ht="12.75" customHeight="1">
      <c r="A983" s="1038"/>
      <c r="B983" s="1038"/>
      <c r="C983" s="550"/>
      <c r="D983" s="1712" t="s">
        <v>2358</v>
      </c>
      <c r="E983" s="1712"/>
      <c r="F983" s="1712"/>
      <c r="G983" s="669"/>
    </row>
    <row r="984" spans="1:9" ht="12.75" customHeight="1">
      <c r="A984" s="1038"/>
      <c r="B984" s="1038"/>
      <c r="C984" s="550"/>
      <c r="D984" s="1712"/>
      <c r="E984" s="1712"/>
      <c r="F984" s="1712"/>
      <c r="G984" s="669"/>
    </row>
    <row r="985" spans="1:9" ht="12.75" customHeight="1">
      <c r="A985" s="712"/>
      <c r="B985" s="712"/>
      <c r="C985" s="313"/>
      <c r="D985" s="1712"/>
      <c r="E985" s="1712"/>
      <c r="F985" s="1712"/>
      <c r="G985" s="669"/>
    </row>
    <row r="986" spans="1:9" ht="12.75" customHeight="1">
      <c r="A986" s="712"/>
      <c r="B986" s="712"/>
      <c r="C986" s="313"/>
      <c r="D986" s="1712"/>
      <c r="E986" s="1712"/>
      <c r="F986" s="1712"/>
      <c r="G986" s="669"/>
    </row>
    <row r="987" spans="1:9" ht="12.75" customHeight="1">
      <c r="A987" s="712"/>
      <c r="B987" s="712"/>
      <c r="C987" s="313"/>
      <c r="D987" s="1019"/>
      <c r="E987" s="1019"/>
      <c r="F987" s="1019"/>
      <c r="G987" s="669"/>
    </row>
    <row r="988" spans="1:9" ht="12.75" customHeight="1">
      <c r="A988" s="712"/>
      <c r="B988" s="790" t="s">
        <v>2761</v>
      </c>
      <c r="C988" s="313"/>
      <c r="D988" s="1707" t="s">
        <v>2099</v>
      </c>
      <c r="E988" s="1707"/>
      <c r="F988" s="1707"/>
      <c r="G988" s="669"/>
    </row>
    <row r="989" spans="1:9" ht="12.75" customHeight="1">
      <c r="A989" s="712"/>
      <c r="B989" s="712"/>
      <c r="C989" s="313"/>
      <c r="D989" s="1707"/>
      <c r="E989" s="1707"/>
      <c r="F989" s="1707"/>
      <c r="G989" s="669"/>
    </row>
    <row r="990" spans="1:9" ht="12.75" customHeight="1">
      <c r="A990" s="712"/>
      <c r="B990" s="712"/>
      <c r="C990" s="313"/>
      <c r="D990" s="1707"/>
      <c r="E990" s="1707"/>
      <c r="F990" s="1707"/>
      <c r="G990" s="669"/>
    </row>
    <row r="991" spans="1:9" ht="12.75" customHeight="1">
      <c r="A991" s="712"/>
      <c r="B991" s="712"/>
      <c r="C991" s="313"/>
      <c r="D991" s="1707"/>
      <c r="E991" s="1707"/>
      <c r="F991" s="1707"/>
      <c r="G991" s="669"/>
    </row>
    <row r="992" spans="1:9" ht="12.75" customHeight="1">
      <c r="A992" s="712"/>
      <c r="B992" s="712"/>
      <c r="C992" s="313"/>
      <c r="D992" s="1017"/>
      <c r="E992" s="1017"/>
      <c r="F992" s="1017"/>
      <c r="G992" s="669"/>
    </row>
    <row r="993" spans="1:7" ht="12.75" customHeight="1">
      <c r="A993" s="712"/>
      <c r="B993" s="790" t="s">
        <v>2761</v>
      </c>
      <c r="C993" s="313"/>
      <c r="D993" s="1707" t="s">
        <v>2100</v>
      </c>
      <c r="E993" s="1707"/>
      <c r="F993" s="1707"/>
      <c r="G993" s="669"/>
    </row>
    <row r="994" spans="1:7" ht="12.75" customHeight="1">
      <c r="A994" s="712"/>
      <c r="B994" s="712"/>
      <c r="C994" s="313"/>
      <c r="D994" s="1707"/>
      <c r="E994" s="1707"/>
      <c r="F994" s="1707"/>
      <c r="G994" s="669"/>
    </row>
    <row r="995" spans="1:7" ht="12.75" customHeight="1">
      <c r="A995" s="712"/>
      <c r="B995" s="712"/>
      <c r="C995" s="313"/>
      <c r="D995" s="1017"/>
      <c r="E995" s="1017"/>
      <c r="F995" s="1017"/>
      <c r="G995" s="669"/>
    </row>
    <row r="996" spans="1:7" ht="12.75" customHeight="1">
      <c r="A996" s="706"/>
      <c r="B996" s="790" t="s">
        <v>2760</v>
      </c>
      <c r="C996" s="549"/>
      <c r="D996" s="1730" t="s">
        <v>2101</v>
      </c>
      <c r="E996" s="1730"/>
      <c r="F996" s="1730"/>
      <c r="G996" s="669"/>
    </row>
    <row r="997" spans="1:7" ht="12.75" customHeight="1">
      <c r="A997" s="1053"/>
      <c r="B997" s="1053"/>
      <c r="C997" s="549"/>
      <c r="D997" s="6"/>
      <c r="E997" s="6"/>
      <c r="F997" s="6"/>
      <c r="G997" s="669"/>
    </row>
    <row r="998" spans="1:7" ht="12.75" customHeight="1">
      <c r="A998" s="706"/>
      <c r="B998" s="790" t="s">
        <v>2761</v>
      </c>
      <c r="C998" s="549"/>
      <c r="D998" s="1730" t="s">
        <v>2102</v>
      </c>
      <c r="E998" s="1730"/>
      <c r="F998" s="1730"/>
      <c r="G998" s="669"/>
    </row>
    <row r="999" spans="1:7" ht="12.75" customHeight="1">
      <c r="A999" s="1053"/>
      <c r="B999" s="1053"/>
      <c r="C999" s="549"/>
      <c r="D999" s="1021"/>
      <c r="E999" s="6"/>
      <c r="F999" s="6"/>
      <c r="G999" s="669"/>
    </row>
    <row r="1000" spans="1:7" ht="12.75" customHeight="1">
      <c r="A1000" s="706"/>
      <c r="B1000" s="790" t="s">
        <v>2760</v>
      </c>
      <c r="C1000" s="549"/>
      <c r="D1000" s="1730" t="s">
        <v>2103</v>
      </c>
      <c r="E1000" s="1730"/>
      <c r="F1000" s="1730"/>
      <c r="G1000" s="669"/>
    </row>
    <row r="1001" spans="1:7" ht="12.75" customHeight="1">
      <c r="A1001" s="1053"/>
      <c r="B1001" s="1053"/>
      <c r="C1001" s="549"/>
      <c r="D1001" s="1021"/>
      <c r="E1001" s="6"/>
      <c r="F1001" s="6"/>
      <c r="G1001" s="669"/>
    </row>
    <row r="1002" spans="1:7" ht="12.75" customHeight="1">
      <c r="A1002" s="706"/>
      <c r="B1002" s="790" t="s">
        <v>2761</v>
      </c>
      <c r="C1002" s="549"/>
      <c r="D1002" s="1705" t="s">
        <v>2104</v>
      </c>
      <c r="E1002" s="1705"/>
      <c r="F1002" s="1705"/>
      <c r="G1002" s="669"/>
    </row>
    <row r="1003" spans="1:7" ht="12.75" customHeight="1">
      <c r="A1003" s="706"/>
      <c r="B1003" s="706"/>
      <c r="C1003" s="549"/>
      <c r="D1003" s="1705"/>
      <c r="E1003" s="1705"/>
      <c r="F1003" s="1705"/>
      <c r="G1003" s="669"/>
    </row>
    <row r="1004" spans="1:7" ht="12.75" customHeight="1">
      <c r="A1004" s="706"/>
      <c r="B1004" s="706"/>
      <c r="C1004" s="549"/>
      <c r="D1004" s="1021"/>
      <c r="E1004" s="6"/>
      <c r="F1004" s="6"/>
      <c r="G1004" s="670"/>
    </row>
    <row r="1005" spans="1:7" ht="12.75" customHeight="1">
      <c r="A1005" s="404"/>
      <c r="B1005" s="790" t="s">
        <v>2761</v>
      </c>
      <c r="C1005" s="1070"/>
      <c r="D1005" s="1748" t="s">
        <v>2105</v>
      </c>
      <c r="E1005" s="1748"/>
      <c r="F1005" s="1748"/>
      <c r="G1005" s="1071"/>
    </row>
    <row r="1006" spans="1:7" ht="12.75" customHeight="1">
      <c r="A1006" s="1070"/>
      <c r="B1006" s="1070"/>
      <c r="C1006" s="1070"/>
      <c r="D1006" s="1748"/>
      <c r="E1006" s="1748"/>
      <c r="F1006" s="1748"/>
      <c r="G1006" s="1071"/>
    </row>
    <row r="1007" spans="1:7" ht="12.75" customHeight="1">
      <c r="A1007" s="1070"/>
      <c r="B1007" s="1070"/>
      <c r="C1007" s="1070"/>
      <c r="D1007" s="1072"/>
      <c r="E1007" s="1073"/>
      <c r="F1007" s="1073"/>
      <c r="G1007" s="1071"/>
    </row>
    <row r="1008" spans="1:7" ht="12.75" customHeight="1">
      <c r="A1008" s="404"/>
      <c r="B1008" s="790" t="s">
        <v>2761</v>
      </c>
      <c r="C1008" s="1070"/>
      <c r="D1008" s="1843" t="s">
        <v>2106</v>
      </c>
      <c r="E1008" s="1843"/>
      <c r="F1008" s="1843"/>
      <c r="G1008" s="1071"/>
    </row>
    <row r="1009" spans="1:9" ht="12.75" customHeight="1">
      <c r="A1009" s="1070"/>
      <c r="B1009" s="1070"/>
      <c r="C1009" s="1070"/>
      <c r="D1009" s="1072"/>
      <c r="E1009" s="1073"/>
      <c r="F1009" s="1073"/>
      <c r="G1009" s="1071"/>
    </row>
    <row r="1010" spans="1:9" ht="12.75" customHeight="1">
      <c r="A1010" s="706"/>
      <c r="B1010" s="790" t="s">
        <v>2761</v>
      </c>
      <c r="C1010" s="549"/>
      <c r="D1010" s="1730" t="s">
        <v>2107</v>
      </c>
      <c r="E1010" s="1730"/>
      <c r="F1010" s="1730"/>
      <c r="G1010" s="670"/>
    </row>
    <row r="1011" spans="1:9" ht="12.75" customHeight="1">
      <c r="A1011" s="706"/>
      <c r="B1011" s="706"/>
      <c r="C1011" s="549"/>
      <c r="D1011" s="1021"/>
      <c r="E1011" s="6"/>
      <c r="F1011" s="6"/>
      <c r="G1011" s="670"/>
    </row>
    <row r="1012" spans="1:9" ht="12.75" customHeight="1">
      <c r="A1012" s="706"/>
      <c r="B1012" s="790" t="s">
        <v>2761</v>
      </c>
      <c r="C1012" s="549"/>
      <c r="D1012" s="1705" t="s">
        <v>2108</v>
      </c>
      <c r="E1012" s="1705"/>
      <c r="F1012" s="1705"/>
      <c r="G1012" s="670"/>
    </row>
    <row r="1013" spans="1:9" ht="12.75" customHeight="1">
      <c r="A1013" s="706"/>
      <c r="B1013" s="706"/>
      <c r="C1013" s="549"/>
      <c r="D1013" s="1705"/>
      <c r="E1013" s="1705"/>
      <c r="F1013" s="1705"/>
      <c r="G1013" s="670"/>
    </row>
    <row r="1014" spans="1:9" ht="12.75" customHeight="1">
      <c r="A1014" s="1053"/>
      <c r="B1014" s="1053"/>
      <c r="C1014" s="549"/>
      <c r="D1014" s="6"/>
      <c r="E1014" s="6"/>
      <c r="F1014" s="6"/>
      <c r="G1014" s="670"/>
    </row>
    <row r="1015" spans="1:9" ht="12.75" customHeight="1">
      <c r="A1015" s="1740" t="s">
        <v>2109</v>
      </c>
      <c r="B1015" s="1740"/>
      <c r="C1015" s="1740"/>
      <c r="D1015" s="1740"/>
      <c r="E1015" s="1740"/>
      <c r="F1015" s="1740"/>
      <c r="G1015" s="1740"/>
      <c r="H1015" s="1130"/>
      <c r="I1015" s="1131"/>
    </row>
    <row r="1016" spans="1:9" ht="12.75" customHeight="1">
      <c r="A1016" s="1053"/>
      <c r="B1016" s="1053"/>
      <c r="C1016" s="549"/>
      <c r="D1016" s="6"/>
      <c r="E1016" s="6"/>
      <c r="F1016" s="6"/>
      <c r="G1016" s="670"/>
    </row>
    <row r="1017" spans="1:9" ht="12.75" customHeight="1">
      <c r="A1017" s="1038"/>
      <c r="B1017" s="1038"/>
      <c r="C1017" s="550"/>
      <c r="D1017" s="1749" t="s">
        <v>2110</v>
      </c>
      <c r="E1017" s="1749"/>
      <c r="F1017" s="1749"/>
      <c r="G1017" s="670"/>
    </row>
    <row r="1018" spans="1:9" ht="12.75" customHeight="1">
      <c r="A1018" s="1038"/>
      <c r="B1018" s="1038"/>
      <c r="C1018" s="550"/>
      <c r="D1018" s="1855" t="s">
        <v>2111</v>
      </c>
      <c r="E1018" s="1855"/>
      <c r="F1018" s="1855"/>
      <c r="G1018" s="670"/>
    </row>
    <row r="1019" spans="1:9" ht="12.75" customHeight="1">
      <c r="A1019" s="666"/>
      <c r="B1019" s="666"/>
      <c r="C1019" s="1028"/>
      <c r="D1019" s="670"/>
      <c r="E1019" s="670"/>
      <c r="F1019" s="670"/>
      <c r="G1019" s="670"/>
    </row>
    <row r="1020" spans="1:9" ht="12.75" customHeight="1">
      <c r="A1020" s="706"/>
      <c r="B1020" s="706"/>
      <c r="C1020" s="313"/>
      <c r="D1020" s="1749" t="s">
        <v>2125</v>
      </c>
      <c r="E1020" s="1749"/>
      <c r="F1020" s="1749"/>
      <c r="G1020" s="670"/>
      <c r="I1020" s="1082" t="s">
        <v>2238</v>
      </c>
    </row>
    <row r="1021" spans="1:9" ht="12.75" customHeight="1">
      <c r="A1021" s="1053"/>
      <c r="B1021" s="790" t="s">
        <v>2760</v>
      </c>
      <c r="C1021" s="549"/>
      <c r="D1021" s="1855" t="s">
        <v>1447</v>
      </c>
      <c r="E1021" s="1855"/>
      <c r="F1021" s="1855"/>
      <c r="G1021" s="670"/>
    </row>
    <row r="1022" spans="1:9" s="1080" customFormat="1" ht="12.75" customHeight="1">
      <c r="A1022" s="1053"/>
      <c r="B1022" s="706"/>
      <c r="C1022" s="549"/>
      <c r="D1022" s="1852" t="s">
        <v>2112</v>
      </c>
      <c r="E1022" s="1852"/>
      <c r="F1022" s="1852"/>
      <c r="G1022" s="670"/>
      <c r="I1022" s="1082"/>
    </row>
    <row r="1023" spans="1:9" ht="12.75" customHeight="1">
      <c r="A1023" s="1053"/>
      <c r="B1023" s="1053"/>
      <c r="C1023" s="549"/>
      <c r="D1023" s="1855"/>
      <c r="E1023" s="1855"/>
      <c r="F1023" s="1855"/>
      <c r="G1023" s="670"/>
    </row>
    <row r="1024" spans="1:9" ht="12.75" customHeight="1">
      <c r="A1024" s="1848" t="s">
        <v>2121</v>
      </c>
      <c r="B1024" s="1848"/>
      <c r="C1024" s="1848"/>
      <c r="D1024" s="1848"/>
      <c r="E1024" s="1848"/>
      <c r="F1024" s="1848"/>
      <c r="G1024" s="1848"/>
      <c r="H1024" s="1130"/>
      <c r="I1024" s="1131"/>
    </row>
    <row r="1025" spans="1:9" ht="12.75" customHeight="1">
      <c r="A1025" s="254"/>
      <c r="B1025" s="254"/>
      <c r="C1025" s="1045"/>
      <c r="D1025" s="678"/>
      <c r="E1025" s="678"/>
      <c r="F1025" s="678"/>
      <c r="G1025" s="678"/>
    </row>
    <row r="1026" spans="1:9" ht="12.75" customHeight="1">
      <c r="A1026" s="254"/>
      <c r="B1026" s="1077"/>
      <c r="C1026" s="1084"/>
      <c r="D1026" s="1743" t="s">
        <v>1448</v>
      </c>
      <c r="E1026" s="1743"/>
      <c r="F1026" s="1743"/>
      <c r="G1026" s="678"/>
    </row>
    <row r="1027" spans="1:9" ht="12.75" customHeight="1">
      <c r="A1027" s="254"/>
      <c r="B1027" s="1083" t="s">
        <v>2761</v>
      </c>
      <c r="C1027" s="1084"/>
      <c r="D1027" s="1722" t="s">
        <v>1447</v>
      </c>
      <c r="E1027" s="1722"/>
      <c r="F1027" s="1722"/>
      <c r="G1027" s="678"/>
    </row>
    <row r="1028" spans="1:9" ht="12.75" customHeight="1">
      <c r="A1028" s="254"/>
      <c r="B1028" s="1080"/>
      <c r="C1028" s="1084"/>
      <c r="D1028" s="1722" t="s">
        <v>2122</v>
      </c>
      <c r="E1028" s="1722"/>
      <c r="F1028" s="1722"/>
      <c r="G1028" s="678"/>
    </row>
    <row r="1029" spans="1:9" s="1080" customFormat="1" ht="12.75" customHeight="1">
      <c r="A1029" s="254"/>
      <c r="C1029" s="1084"/>
      <c r="D1029" s="1078"/>
      <c r="E1029" s="1078"/>
      <c r="F1029" s="1078"/>
      <c r="G1029" s="678"/>
      <c r="I1029" s="1082"/>
    </row>
    <row r="1030" spans="1:9" ht="12.75" customHeight="1">
      <c r="A1030" s="254"/>
      <c r="B1030" s="254"/>
      <c r="C1030" s="1045"/>
      <c r="D1030" s="1853" t="s">
        <v>1150</v>
      </c>
      <c r="E1030" s="1853"/>
      <c r="F1030" s="1853"/>
      <c r="G1030" s="678"/>
      <c r="I1030" s="1082" t="s">
        <v>2267</v>
      </c>
    </row>
    <row r="1031" spans="1:9" ht="12.75" customHeight="1">
      <c r="A1031" s="496"/>
      <c r="B1031" s="496"/>
      <c r="C1031" s="495"/>
      <c r="D1031" s="1854" t="s">
        <v>1167</v>
      </c>
      <c r="E1031" s="1854"/>
      <c r="F1031" s="1854"/>
      <c r="G1031" s="1074"/>
    </row>
    <row r="1032" spans="1:9" ht="12.75" customHeight="1">
      <c r="A1032" s="706"/>
      <c r="B1032" s="1083" t="s">
        <v>2761</v>
      </c>
      <c r="C1032" s="550"/>
      <c r="D1032" s="1734" t="s">
        <v>1042</v>
      </c>
      <c r="E1032" s="1734"/>
      <c r="F1032" s="1734"/>
      <c r="G1032" s="670"/>
    </row>
    <row r="1033" spans="1:9" ht="12.75" customHeight="1">
      <c r="A1033" s="1038"/>
      <c r="B1033" s="1038"/>
      <c r="C1033" s="550"/>
      <c r="D1033" s="1187" t="s">
        <v>2361</v>
      </c>
      <c r="E1033" s="1042"/>
      <c r="F1033" s="1042"/>
      <c r="G1033" s="670"/>
    </row>
    <row r="1034" spans="1:9">
      <c r="A1034" s="782"/>
      <c r="B1034" s="782"/>
      <c r="C1034" s="782"/>
      <c r="D1034" s="782"/>
      <c r="E1034" s="782"/>
      <c r="F1034" s="782"/>
      <c r="G1034" s="782"/>
    </row>
    <row r="1035" spans="1:9">
      <c r="A1035" s="1848" t="s">
        <v>2142</v>
      </c>
      <c r="B1035" s="1848"/>
      <c r="C1035" s="1848"/>
      <c r="D1035" s="1848"/>
      <c r="E1035" s="1848"/>
      <c r="F1035" s="1848"/>
      <c r="G1035" s="1848"/>
      <c r="H1035" s="1130"/>
      <c r="I1035" s="1131"/>
    </row>
    <row r="1036" spans="1:9">
      <c r="A1036" s="782"/>
      <c r="B1036" s="782"/>
      <c r="C1036" s="782"/>
      <c r="D1036" s="782"/>
      <c r="E1036" s="782"/>
      <c r="F1036" s="782"/>
      <c r="G1036" s="782"/>
    </row>
    <row r="1037" spans="1:9">
      <c r="A1037" s="782"/>
      <c r="B1037" s="782"/>
      <c r="C1037" s="782"/>
      <c r="D1037" s="1082" t="s">
        <v>2128</v>
      </c>
      <c r="E1037" s="782"/>
      <c r="F1037" s="782"/>
      <c r="G1037" s="782"/>
    </row>
    <row r="1038" spans="1:9" s="1080" customFormat="1">
      <c r="D1038" s="1079" t="s">
        <v>2127</v>
      </c>
      <c r="I1038" s="1082"/>
    </row>
    <row r="1039" spans="1:9" s="1080" customFormat="1">
      <c r="D1039" s="1082"/>
      <c r="I1039" s="1082"/>
    </row>
    <row r="1040" spans="1:9">
      <c r="A1040" s="782"/>
      <c r="B1040" s="1083" t="s">
        <v>2761</v>
      </c>
      <c r="C1040" s="782"/>
      <c r="D1040" s="1847" t="s">
        <v>2126</v>
      </c>
      <c r="E1040" s="1847"/>
      <c r="F1040" s="1847"/>
      <c r="G1040" s="782"/>
      <c r="I1040" s="1082" t="s">
        <v>2239</v>
      </c>
    </row>
    <row r="1041" spans="1:9">
      <c r="A1041" s="782"/>
      <c r="B1041" s="782"/>
      <c r="C1041" s="782"/>
      <c r="D1041" s="1847"/>
      <c r="E1041" s="1847"/>
      <c r="F1041" s="1847"/>
      <c r="G1041" s="782"/>
    </row>
    <row r="1042" spans="1:9">
      <c r="A1042" s="782"/>
      <c r="B1042" s="782"/>
      <c r="C1042" s="782"/>
      <c r="D1042" s="1847"/>
      <c r="E1042" s="1847"/>
      <c r="F1042" s="1847"/>
      <c r="G1042" s="782"/>
    </row>
    <row r="1043" spans="1:9">
      <c r="A1043" s="782"/>
      <c r="B1043" s="782"/>
      <c r="C1043" s="782"/>
      <c r="D1043" s="1847"/>
      <c r="E1043" s="1847"/>
      <c r="F1043" s="1847"/>
      <c r="G1043" s="782"/>
    </row>
    <row r="1044" spans="1:9">
      <c r="A1044" s="782"/>
      <c r="B1044" s="782"/>
      <c r="C1044" s="782"/>
      <c r="D1044" s="782"/>
      <c r="E1044" s="782"/>
      <c r="F1044" s="782"/>
      <c r="G1044" s="782"/>
    </row>
    <row r="1045" spans="1:9">
      <c r="A1045" s="782"/>
      <c r="B1045" s="1080"/>
      <c r="C1045" s="782"/>
      <c r="D1045" s="1082" t="s">
        <v>1504</v>
      </c>
      <c r="E1045" s="782"/>
      <c r="F1045" s="782"/>
      <c r="G1045" s="782"/>
    </row>
    <row r="1046" spans="1:9">
      <c r="A1046" s="782"/>
      <c r="B1046" s="782"/>
      <c r="C1046" s="782"/>
      <c r="D1046" s="1080" t="s">
        <v>2129</v>
      </c>
      <c r="E1046" s="782"/>
      <c r="F1046" s="782"/>
      <c r="G1046" s="782"/>
    </row>
    <row r="1047" spans="1:9">
      <c r="A1047" s="782"/>
      <c r="B1047" s="782"/>
      <c r="C1047" s="782"/>
      <c r="D1047" s="782"/>
      <c r="E1047" s="782"/>
      <c r="F1047" s="782"/>
      <c r="G1047" s="782"/>
    </row>
    <row r="1048" spans="1:9">
      <c r="A1048" s="782"/>
      <c r="B1048" s="1083" t="s">
        <v>2760</v>
      </c>
      <c r="C1048" s="782"/>
      <c r="D1048" s="1080" t="s">
        <v>2124</v>
      </c>
      <c r="E1048" s="782"/>
      <c r="F1048" s="782"/>
      <c r="G1048" s="782"/>
      <c r="I1048" s="1082" t="s">
        <v>2240</v>
      </c>
    </row>
    <row r="1049" spans="1:9">
      <c r="A1049" s="782"/>
      <c r="B1049" s="782"/>
      <c r="C1049" s="782"/>
      <c r="D1049" s="782"/>
      <c r="E1049" s="782"/>
      <c r="F1049" s="782"/>
      <c r="G1049" s="782"/>
    </row>
    <row r="1050" spans="1:9">
      <c r="A1050" s="782"/>
      <c r="B1050" s="1083" t="s">
        <v>2760</v>
      </c>
      <c r="C1050" s="782"/>
      <c r="D1050" s="1847" t="s">
        <v>2130</v>
      </c>
      <c r="E1050" s="1847"/>
      <c r="F1050" s="1847"/>
      <c r="G1050" s="782"/>
      <c r="I1050" s="1082" t="s">
        <v>2241</v>
      </c>
    </row>
    <row r="1051" spans="1:9">
      <c r="A1051" s="782"/>
      <c r="B1051" s="782"/>
      <c r="C1051" s="782"/>
      <c r="D1051" s="1847"/>
      <c r="E1051" s="1847"/>
      <c r="F1051" s="1847"/>
      <c r="G1051" s="782"/>
    </row>
    <row r="1052" spans="1:9">
      <c r="A1052" s="782"/>
      <c r="B1052" s="782"/>
      <c r="C1052" s="782"/>
      <c r="D1052" s="1847"/>
      <c r="E1052" s="1847"/>
      <c r="F1052" s="1847"/>
      <c r="G1052" s="782"/>
    </row>
    <row r="1053" spans="1:9">
      <c r="A1053" s="782"/>
      <c r="B1053" s="782"/>
      <c r="C1053" s="782"/>
      <c r="D1053" s="1847"/>
      <c r="E1053" s="1847"/>
      <c r="F1053" s="1847"/>
      <c r="G1053" s="782"/>
    </row>
    <row r="1054" spans="1:9">
      <c r="A1054" s="782"/>
      <c r="B1054" s="782"/>
      <c r="C1054" s="782"/>
      <c r="D1054" s="1847"/>
      <c r="E1054" s="1847"/>
      <c r="F1054" s="1847"/>
      <c r="G1054" s="782"/>
    </row>
    <row r="1055" spans="1:9">
      <c r="A1055" s="782"/>
      <c r="B1055" s="782"/>
      <c r="C1055" s="782"/>
      <c r="D1055" s="782"/>
      <c r="E1055" s="782"/>
      <c r="F1055" s="782"/>
      <c r="G1055" s="782"/>
    </row>
    <row r="1056" spans="1:9">
      <c r="A1056" s="1848" t="s">
        <v>2131</v>
      </c>
      <c r="B1056" s="1848"/>
      <c r="C1056" s="1848"/>
      <c r="D1056" s="1848"/>
      <c r="E1056" s="1848"/>
      <c r="F1056" s="1848"/>
      <c r="G1056" s="1848"/>
      <c r="H1056" s="1130"/>
      <c r="I1056" s="1131"/>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083" t="s">
        <v>2760</v>
      </c>
      <c r="C1059" s="782"/>
      <c r="D1059" s="1076" t="s">
        <v>2134</v>
      </c>
      <c r="E1059" s="1079"/>
      <c r="F1059" s="782"/>
      <c r="G1059" s="782"/>
      <c r="I1059" s="1082" t="s">
        <v>2242</v>
      </c>
    </row>
    <row r="1060" spans="1:9">
      <c r="A1060" s="782"/>
      <c r="B1060" s="782"/>
      <c r="C1060" s="782"/>
      <c r="D1060" s="1076" t="s">
        <v>2136</v>
      </c>
      <c r="E1060" s="1079"/>
      <c r="F1060" s="782"/>
      <c r="G1060" s="782"/>
    </row>
    <row r="1061" spans="1:9" s="1080" customFormat="1">
      <c r="D1061" s="1076"/>
      <c r="E1061" s="1079"/>
      <c r="I1061" s="1082"/>
    </row>
    <row r="1062" spans="1:9">
      <c r="A1062" s="782"/>
      <c r="B1062" s="1083" t="s">
        <v>2761</v>
      </c>
      <c r="C1062" s="782"/>
      <c r="D1062" s="1076" t="s">
        <v>2137</v>
      </c>
      <c r="E1062" s="1079"/>
      <c r="F1062" s="782"/>
      <c r="G1062" s="782"/>
      <c r="I1062" s="1082" t="s">
        <v>2243</v>
      </c>
    </row>
    <row r="1063" spans="1:9" s="1080" customFormat="1">
      <c r="D1063" s="1076" t="s">
        <v>2135</v>
      </c>
      <c r="E1063" s="1079"/>
      <c r="I1063" s="1082"/>
    </row>
    <row r="1064" spans="1:9" s="1080" customFormat="1">
      <c r="D1064" s="1076"/>
      <c r="E1064" s="1079"/>
      <c r="I1064" s="1082"/>
    </row>
    <row r="1065" spans="1:9">
      <c r="A1065" s="782"/>
      <c r="B1065" s="1083" t="s">
        <v>2761</v>
      </c>
      <c r="C1065" s="782"/>
      <c r="D1065" s="1075" t="s">
        <v>2140</v>
      </c>
      <c r="E1065" s="1079"/>
      <c r="F1065" s="782"/>
      <c r="G1065" s="782"/>
      <c r="I1065" s="1082" t="s">
        <v>2244</v>
      </c>
    </row>
    <row r="1066" spans="1:9" s="1080" customFormat="1">
      <c r="D1066" s="1849" t="s">
        <v>2141</v>
      </c>
      <c r="E1066" s="1849"/>
      <c r="F1066" s="1849"/>
      <c r="I1066" s="1082"/>
    </row>
    <row r="1067" spans="1:9" s="1080" customFormat="1">
      <c r="D1067" s="1849"/>
      <c r="E1067" s="1849"/>
      <c r="F1067" s="1849"/>
      <c r="I1067" s="1082"/>
    </row>
    <row r="1068" spans="1:9" s="1080" customFormat="1">
      <c r="D1068" s="1849"/>
      <c r="E1068" s="1849"/>
      <c r="F1068" s="1849"/>
      <c r="I1068" s="1082"/>
    </row>
    <row r="1069" spans="1:9" s="1080" customFormat="1">
      <c r="D1069" s="1849"/>
      <c r="E1069" s="1849"/>
      <c r="F1069" s="1849"/>
      <c r="I1069" s="1082"/>
    </row>
    <row r="1070" spans="1:9" s="1080" customFormat="1">
      <c r="D1070" s="1075" t="s">
        <v>2139</v>
      </c>
      <c r="E1070" s="1079"/>
      <c r="I1070" s="1082"/>
    </row>
    <row r="1071" spans="1:9" s="1080" customFormat="1">
      <c r="D1071" s="1075"/>
      <c r="E1071" s="1079"/>
      <c r="I1071" s="1082"/>
    </row>
    <row r="1072" spans="1:9">
      <c r="A1072" s="782"/>
      <c r="B1072" s="782"/>
      <c r="C1072" s="782"/>
      <c r="D1072" s="1076" t="s">
        <v>2132</v>
      </c>
      <c r="E1072" s="1079"/>
      <c r="F1072" s="782"/>
      <c r="G1072" s="782"/>
      <c r="I1072" s="1082" t="s">
        <v>2245</v>
      </c>
    </row>
    <row r="1073" spans="1:9">
      <c r="A1073" s="782"/>
      <c r="B1073" s="1083" t="s">
        <v>2761</v>
      </c>
      <c r="C1073" s="782"/>
      <c r="D1073" s="1845" t="s">
        <v>2133</v>
      </c>
      <c r="E1073" s="1845"/>
      <c r="F1073" s="1845"/>
      <c r="G1073" s="782"/>
    </row>
    <row r="1074" spans="1:9" s="1080" customFormat="1">
      <c r="D1074" s="1845"/>
      <c r="E1074" s="1845"/>
      <c r="F1074" s="1845"/>
      <c r="I1074" s="1082"/>
    </row>
    <row r="1075" spans="1:9" s="1080" customFormat="1">
      <c r="D1075" s="1845"/>
      <c r="E1075" s="1845"/>
      <c r="F1075" s="1845"/>
      <c r="I1075" s="1082"/>
    </row>
    <row r="1076" spans="1:9" s="1080" customFormat="1">
      <c r="D1076" s="1845"/>
      <c r="E1076" s="1845"/>
      <c r="F1076" s="1845"/>
      <c r="I1076" s="1082"/>
    </row>
    <row r="1077" spans="1:9">
      <c r="A1077" s="782"/>
      <c r="B1077" s="782"/>
      <c r="C1077" s="782"/>
      <c r="D1077" s="1845"/>
      <c r="E1077" s="1845"/>
      <c r="F1077" s="1845"/>
      <c r="G1077" s="782"/>
    </row>
    <row r="1078" spans="1:9">
      <c r="A1078" s="782"/>
      <c r="B1078" s="782"/>
      <c r="C1078" s="782"/>
      <c r="D1078" s="1076" t="s">
        <v>2138</v>
      </c>
      <c r="E1078" s="782"/>
      <c r="F1078" s="782"/>
      <c r="G1078" s="782"/>
    </row>
    <row r="1079" spans="1:9">
      <c r="A1079" s="782"/>
      <c r="B1079" s="782"/>
      <c r="C1079" s="782"/>
      <c r="D1079" s="782"/>
      <c r="E1079" s="782"/>
      <c r="F1079" s="782"/>
      <c r="G1079" s="782"/>
    </row>
    <row r="1080" spans="1:9">
      <c r="A1080" s="1848" t="s">
        <v>2143</v>
      </c>
      <c r="B1080" s="1848"/>
      <c r="C1080" s="1848"/>
      <c r="D1080" s="1848"/>
      <c r="E1080" s="1848"/>
      <c r="F1080" s="1848"/>
      <c r="G1080" s="1848"/>
      <c r="H1080" s="1130"/>
      <c r="I1080" s="1131"/>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083" t="s">
        <v>2761</v>
      </c>
      <c r="C1083" s="782"/>
      <c r="D1083" s="1850" t="s">
        <v>2373</v>
      </c>
      <c r="E1083" s="1850"/>
      <c r="F1083" s="1850"/>
      <c r="G1083" s="782"/>
      <c r="I1083" s="1082" t="s">
        <v>2246</v>
      </c>
    </row>
    <row r="1084" spans="1:9" s="1080" customFormat="1">
      <c r="D1084" s="1850"/>
      <c r="E1084" s="1850"/>
      <c r="F1084" s="1850"/>
      <c r="I1084" s="1082"/>
    </row>
    <row r="1085" spans="1:9" s="1080" customFormat="1">
      <c r="D1085" s="1851" t="s">
        <v>2652</v>
      </c>
      <c r="E1085" s="1849"/>
      <c r="F1085" s="1849"/>
      <c r="I1085" s="1082"/>
    </row>
    <row r="1086" spans="1:9" s="1080" customFormat="1">
      <c r="D1086" s="1076"/>
      <c r="I1086" s="1082"/>
    </row>
    <row r="1087" spans="1:9">
      <c r="A1087" s="782"/>
      <c r="B1087" s="1083" t="s">
        <v>2761</v>
      </c>
      <c r="C1087" s="782"/>
      <c r="D1087" s="1845" t="s">
        <v>2144</v>
      </c>
      <c r="E1087" s="1845"/>
      <c r="F1087" s="1845"/>
      <c r="G1087" s="782"/>
      <c r="I1087" s="1082" t="s">
        <v>2247</v>
      </c>
    </row>
    <row r="1088" spans="1:9" s="1080" customFormat="1">
      <c r="D1088" s="1845"/>
      <c r="E1088" s="1845"/>
      <c r="F1088" s="1845"/>
      <c r="I1088" s="1082"/>
    </row>
    <row r="1089" spans="1:9" s="1080" customFormat="1">
      <c r="D1089" s="1076"/>
      <c r="I1089" s="1082"/>
    </row>
    <row r="1090" spans="1:9">
      <c r="A1090" s="782"/>
      <c r="B1090" s="1083" t="s">
        <v>2761</v>
      </c>
      <c r="C1090" s="782"/>
      <c r="D1090" s="1845" t="s">
        <v>2292</v>
      </c>
      <c r="E1090" s="1845"/>
      <c r="F1090" s="1845"/>
      <c r="G1090" s="782"/>
      <c r="I1090" s="1082" t="s">
        <v>2290</v>
      </c>
    </row>
    <row r="1091" spans="1:9" s="1080" customFormat="1">
      <c r="D1091" s="1845"/>
      <c r="E1091" s="1845"/>
      <c r="F1091" s="1845"/>
      <c r="I1091" s="1082"/>
    </row>
    <row r="1092" spans="1:9" s="1080" customFormat="1">
      <c r="D1092" s="1845"/>
      <c r="E1092" s="1845"/>
      <c r="F1092" s="1845"/>
      <c r="I1092" s="1082"/>
    </row>
    <row r="1093" spans="1:9" s="1080" customFormat="1">
      <c r="D1093" s="1845"/>
      <c r="E1093" s="1845"/>
      <c r="F1093" s="1845"/>
      <c r="I1093" s="1082"/>
    </row>
    <row r="1094" spans="1:9" s="1080" customFormat="1">
      <c r="D1094" s="1845"/>
      <c r="E1094" s="1845"/>
      <c r="F1094" s="1845"/>
      <c r="I1094" s="1082"/>
    </row>
    <row r="1095" spans="1:9" s="1080" customFormat="1">
      <c r="D1095" s="1845"/>
      <c r="E1095" s="1845"/>
      <c r="F1095" s="1845"/>
      <c r="I1095" s="1082"/>
    </row>
    <row r="1096" spans="1:9" s="1081" customFormat="1">
      <c r="B1096" s="1080"/>
      <c r="D1096" s="1076" t="s">
        <v>2291</v>
      </c>
    </row>
    <row r="1097" spans="1:9">
      <c r="A1097" s="782"/>
      <c r="B1097" s="1083" t="s">
        <v>2761</v>
      </c>
      <c r="C1097" s="782"/>
      <c r="D1097" s="1845" t="s">
        <v>2145</v>
      </c>
      <c r="E1097" s="1845"/>
      <c r="F1097" s="1845"/>
      <c r="G1097" s="782"/>
      <c r="I1097" s="1114" t="s">
        <v>2248</v>
      </c>
    </row>
    <row r="1098" spans="1:9" s="1080" customFormat="1">
      <c r="D1098" s="1845"/>
      <c r="E1098" s="1845"/>
      <c r="F1098" s="1845"/>
      <c r="I1098" s="1082"/>
    </row>
    <row r="1099" spans="1:9" s="1080" customFormat="1">
      <c r="D1099" s="1845"/>
      <c r="E1099" s="1845"/>
      <c r="F1099" s="1845"/>
      <c r="I1099" s="1082"/>
    </row>
    <row r="1100" spans="1:9" s="1080" customFormat="1">
      <c r="D1100" s="1076"/>
      <c r="I1100" s="1082"/>
    </row>
    <row r="1101" spans="1:9">
      <c r="A1101" s="782"/>
      <c r="B1101" s="1083" t="s">
        <v>2760</v>
      </c>
      <c r="C1101" s="782"/>
      <c r="D1101" s="1846" t="s">
        <v>2293</v>
      </c>
      <c r="E1101" s="1846"/>
      <c r="F1101" s="1846"/>
      <c r="G1101" s="782"/>
      <c r="I1101" s="1082" t="s">
        <v>2249</v>
      </c>
    </row>
    <row r="1102" spans="1:9">
      <c r="A1102" s="782"/>
      <c r="B1102" s="782"/>
      <c r="C1102" s="782"/>
      <c r="D1102" s="1846"/>
      <c r="E1102" s="1846"/>
      <c r="F1102" s="1846"/>
      <c r="G1102" s="782"/>
    </row>
    <row r="1103" spans="1:9">
      <c r="A1103" s="782"/>
      <c r="B1103" s="782"/>
      <c r="C1103" s="782"/>
      <c r="D1103" s="1846"/>
      <c r="E1103" s="1846"/>
      <c r="F1103" s="1846"/>
      <c r="G1103" s="782"/>
    </row>
    <row r="1104" spans="1:9" s="1080" customFormat="1">
      <c r="D1104" s="1126"/>
      <c r="E1104" s="1126"/>
      <c r="F1104" s="1126"/>
      <c r="I1104" s="1082"/>
    </row>
    <row r="1105" spans="1:9" s="1080" customFormat="1" ht="15.75" customHeight="1">
      <c r="B1105" s="1083" t="s">
        <v>2760</v>
      </c>
      <c r="D1105" s="1707" t="s">
        <v>2295</v>
      </c>
      <c r="E1105" s="1707"/>
      <c r="F1105" s="1707"/>
      <c r="I1105" s="1082" t="s">
        <v>2294</v>
      </c>
    </row>
    <row r="1106" spans="1:9" s="1080" customFormat="1">
      <c r="D1106" s="1707"/>
      <c r="E1106" s="1707"/>
      <c r="F1106" s="1707"/>
      <c r="I1106" s="1082"/>
    </row>
    <row r="1107" spans="1:9" s="1080" customFormat="1">
      <c r="D1107" s="1707"/>
      <c r="E1107" s="1707"/>
      <c r="F1107" s="1707"/>
      <c r="I1107" s="1082"/>
    </row>
    <row r="1108" spans="1:9" s="1080" customFormat="1">
      <c r="D1108" s="1707"/>
      <c r="E1108" s="1707"/>
      <c r="F1108" s="1707"/>
      <c r="I1108" s="1082"/>
    </row>
    <row r="1109" spans="1:9" s="1080" customFormat="1">
      <c r="D1109" s="1126"/>
      <c r="E1109" s="1126"/>
      <c r="F1109" s="1126"/>
      <c r="I1109" s="1082"/>
    </row>
    <row r="1110" spans="1:9" ht="39.6">
      <c r="A1110" s="782"/>
      <c r="B1110" s="782"/>
      <c r="C1110" s="782"/>
      <c r="D1110" s="782"/>
      <c r="E1110" s="782"/>
      <c r="F1110" s="782"/>
      <c r="G1110" s="782"/>
      <c r="I1110" s="1121" t="s">
        <v>2646</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721"/>
      <c r="H1523" s="1721"/>
      <c r="I1523" s="172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ipm2nUKEHbTxIJ2ZI1p1+FEALnbR+1Bhq1XlOIHF8wH5uO4ghJK9mxSvmg60Gc/ysDqZufT8R77cDl9XRja2Qw==" saltValue="fVP3aSXpHyDMvJ7mhfS4tA=="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5" zoomScale="110" zoomScaleNormal="110" zoomScaleSheetLayoutView="80" workbookViewId="0">
      <selection activeCell="W124" sqref="W124"/>
    </sheetView>
  </sheetViews>
  <sheetFormatPr defaultColWidth="0" defaultRowHeight="0" customHeight="1" zeroHeight="1"/>
  <cols>
    <col min="1" max="36" width="2.44140625" style="12" customWidth="1"/>
    <col min="37" max="37" width="2.88671875" style="12" customWidth="1"/>
    <col min="38" max="38" width="2.44140625" style="12" customWidth="1"/>
    <col min="39" max="45" width="2.44140625" style="39" customWidth="1"/>
    <col min="46" max="46" width="3.6640625" style="39" customWidth="1"/>
    <col min="47" max="48" width="3.6640625" style="39" hidden="1"/>
    <col min="49" max="49" width="4.33203125" style="39" hidden="1"/>
    <col min="50" max="50" width="4.8867187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134">
        <v>4</v>
      </c>
      <c r="AT1" s="673"/>
      <c r="AU1" s="673"/>
      <c r="AV1" s="673"/>
      <c r="AW1" s="673"/>
      <c r="AX1" s="673"/>
      <c r="AY1" s="673"/>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2"/>
    <row r="8" spans="1:96" ht="17.399999999999999">
      <c r="A8" s="2255" t="s">
        <v>105</v>
      </c>
      <c r="B8" s="2255"/>
      <c r="C8" s="2255"/>
      <c r="D8" s="2255"/>
      <c r="E8" s="2255"/>
      <c r="F8" s="2255"/>
      <c r="G8" s="2255"/>
      <c r="H8" s="2255"/>
      <c r="I8" s="2255"/>
      <c r="J8" s="2255"/>
      <c r="K8" s="2255"/>
      <c r="L8" s="2255"/>
      <c r="M8" s="2255"/>
      <c r="N8" s="2255"/>
      <c r="O8" s="2255"/>
      <c r="P8" s="2255"/>
      <c r="Q8" s="2255"/>
      <c r="R8" s="2255"/>
      <c r="S8" s="2255"/>
      <c r="T8" s="2255"/>
      <c r="U8" s="2255"/>
      <c r="V8" s="2255"/>
      <c r="W8" s="2255"/>
      <c r="X8" s="2255"/>
      <c r="Y8" s="2255"/>
      <c r="Z8" s="2255"/>
      <c r="AA8" s="2255"/>
      <c r="AB8" s="2255"/>
      <c r="AC8" s="2255"/>
      <c r="AD8" s="2255"/>
      <c r="AE8" s="2255"/>
      <c r="AF8" s="2255"/>
      <c r="AG8" s="2255"/>
      <c r="AH8" s="2255"/>
      <c r="AI8" s="2255"/>
      <c r="AJ8" s="2255"/>
      <c r="AK8" s="2255"/>
      <c r="AL8" s="2255"/>
      <c r="AM8" s="949"/>
      <c r="AN8" s="949"/>
      <c r="AO8" s="949"/>
      <c r="AP8" s="949"/>
      <c r="AQ8" s="949"/>
      <c r="AR8" s="949"/>
      <c r="AS8" s="949"/>
      <c r="AT8" s="949"/>
      <c r="AU8" s="949"/>
      <c r="AV8" s="949"/>
      <c r="AW8" s="949"/>
      <c r="AX8" s="949"/>
      <c r="AY8" s="949"/>
    </row>
    <row r="9" spans="1:96" s="711" customFormat="1" ht="13.2">
      <c r="A9" s="1938" t="s">
        <v>2654</v>
      </c>
      <c r="B9" s="1938"/>
      <c r="C9" s="1938"/>
      <c r="D9" s="1938"/>
      <c r="E9" s="1938"/>
      <c r="F9" s="1938"/>
      <c r="G9" s="1938"/>
      <c r="H9" s="1938"/>
      <c r="I9" s="1938"/>
      <c r="J9" s="1938"/>
      <c r="K9" s="1938"/>
      <c r="L9" s="1938"/>
      <c r="M9" s="1938"/>
      <c r="N9" s="1938"/>
      <c r="O9" s="1938"/>
      <c r="P9" s="1938"/>
      <c r="Q9" s="1938"/>
      <c r="R9" s="1938"/>
      <c r="S9" s="1938"/>
      <c r="T9" s="1938"/>
      <c r="U9" s="1938"/>
      <c r="V9" s="1938"/>
      <c r="W9" s="1938"/>
      <c r="X9" s="1938"/>
      <c r="Y9" s="1938"/>
      <c r="Z9" s="1938"/>
      <c r="AA9" s="1938"/>
      <c r="AB9" s="1938"/>
      <c r="AC9" s="1938"/>
      <c r="AD9" s="1938"/>
      <c r="AE9" s="1938"/>
      <c r="AF9" s="1938"/>
      <c r="AG9" s="1938"/>
      <c r="AH9" s="1938"/>
      <c r="AI9" s="1938"/>
      <c r="AJ9" s="1938"/>
      <c r="AK9" s="1938"/>
      <c r="AL9" s="1938"/>
      <c r="AM9" s="933"/>
      <c r="AN9" s="933"/>
      <c r="AO9" s="933"/>
      <c r="AP9" s="933"/>
      <c r="AQ9" s="933"/>
      <c r="AR9" s="933"/>
      <c r="AS9" s="933"/>
      <c r="AT9" s="933"/>
      <c r="AU9" s="933"/>
      <c r="AV9" s="933"/>
      <c r="AW9" s="933"/>
      <c r="AX9" s="933"/>
      <c r="AY9" s="933"/>
      <c r="CR9" s="25"/>
    </row>
    <row r="10" spans="1:96" ht="15" customHeight="1">
      <c r="A10" s="2069" t="s">
        <v>2308</v>
      </c>
      <c r="B10" s="2069"/>
      <c r="C10" s="2069"/>
      <c r="D10" s="2069"/>
      <c r="E10" s="2069"/>
      <c r="F10" s="2069"/>
      <c r="G10" s="2069"/>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c r="AM10" s="20"/>
      <c r="AN10" s="20"/>
      <c r="AO10" s="20"/>
      <c r="AP10" s="20"/>
      <c r="AQ10" s="20"/>
      <c r="AR10" s="20"/>
      <c r="AS10" s="20"/>
      <c r="AT10" s="20"/>
      <c r="AU10" s="20"/>
      <c r="AV10" s="20"/>
      <c r="AW10" s="20"/>
      <c r="AX10" s="20"/>
      <c r="AY10" s="20"/>
    </row>
    <row r="11" spans="1:96" ht="15" customHeight="1">
      <c r="A11" s="1938" t="s">
        <v>1861</v>
      </c>
      <c r="B11" s="1938"/>
      <c r="C11" s="1938"/>
      <c r="D11" s="1938"/>
      <c r="E11" s="1938"/>
      <c r="F11" s="1938"/>
      <c r="G11" s="1938"/>
      <c r="H11" s="1938"/>
      <c r="I11" s="1938"/>
      <c r="J11" s="1938"/>
      <c r="K11" s="1938"/>
      <c r="L11" s="1938"/>
      <c r="M11" s="1938"/>
      <c r="N11" s="1938"/>
      <c r="O11" s="1938"/>
      <c r="P11" s="1938"/>
      <c r="Q11" s="1938"/>
      <c r="R11" s="1938"/>
      <c r="S11" s="1938"/>
      <c r="T11" s="1938"/>
      <c r="U11" s="1938"/>
      <c r="V11" s="1938"/>
      <c r="W11" s="1938"/>
      <c r="X11" s="1938"/>
      <c r="Y11" s="1938"/>
      <c r="Z11" s="1938"/>
      <c r="AA11" s="1938"/>
      <c r="AB11" s="1938"/>
      <c r="AC11" s="1938"/>
      <c r="AD11" s="1938"/>
      <c r="AE11" s="1938"/>
      <c r="AF11" s="1938"/>
      <c r="AG11" s="1938"/>
      <c r="AH11" s="1938"/>
      <c r="AI11" s="1938"/>
      <c r="AJ11" s="1938"/>
      <c r="AK11" s="1938"/>
      <c r="AL11" s="1938"/>
      <c r="AM11" s="933"/>
      <c r="AN11" s="933"/>
      <c r="AO11" s="933"/>
      <c r="AP11" s="933"/>
      <c r="AQ11" s="933"/>
      <c r="AR11" s="933"/>
      <c r="AS11" s="933"/>
      <c r="AT11" s="933"/>
      <c r="AU11" s="933"/>
      <c r="AV11" s="933"/>
      <c r="AW11" s="933"/>
      <c r="AX11" s="933"/>
      <c r="AY11" s="933"/>
    </row>
    <row r="12" spans="1:96" ht="13.2">
      <c r="A12" s="2074" t="s">
        <v>2653</v>
      </c>
      <c r="B12" s="2075"/>
      <c r="C12" s="2075"/>
      <c r="D12" s="2075"/>
      <c r="E12" s="2075"/>
      <c r="F12" s="2075"/>
      <c r="G12" s="2075"/>
      <c r="H12" s="2075"/>
      <c r="I12" s="2075"/>
      <c r="J12" s="2075"/>
      <c r="K12" s="2075"/>
      <c r="L12" s="2075"/>
      <c r="M12" s="2075"/>
      <c r="N12" s="2075"/>
      <c r="O12" s="2075"/>
      <c r="P12" s="2075"/>
      <c r="Q12" s="2075"/>
      <c r="R12" s="2075"/>
      <c r="S12" s="2075"/>
      <c r="T12" s="2075"/>
      <c r="U12" s="2075"/>
      <c r="V12" s="2075"/>
      <c r="W12" s="2075"/>
      <c r="X12" s="2075"/>
      <c r="Y12" s="2075"/>
      <c r="Z12" s="2075"/>
      <c r="AA12" s="2075"/>
      <c r="AB12" s="2075"/>
      <c r="AC12" s="2075"/>
      <c r="AD12" s="2075"/>
      <c r="AE12" s="2075"/>
      <c r="AF12" s="2075"/>
      <c r="AG12" s="2075"/>
      <c r="AH12" s="2075"/>
      <c r="AI12" s="2075"/>
      <c r="AJ12" s="2075"/>
      <c r="AK12" s="2075"/>
      <c r="AL12" s="2075"/>
      <c r="AM12" s="939"/>
      <c r="AN12" s="939"/>
      <c r="AO12" s="939"/>
      <c r="AP12" s="939"/>
      <c r="AQ12" s="939"/>
      <c r="AR12" s="939"/>
      <c r="AS12" s="939"/>
      <c r="AT12" s="939"/>
      <c r="AU12" s="939"/>
      <c r="AV12" s="939"/>
      <c r="AW12" s="939"/>
      <c r="AX12" s="939"/>
      <c r="AY12" s="939"/>
    </row>
    <row r="13" spans="1:96" ht="13.2">
      <c r="A13" s="1717" t="s">
        <v>2655</v>
      </c>
      <c r="B13" s="1717"/>
      <c r="C13" s="1717"/>
      <c r="D13" s="1717"/>
      <c r="E13" s="1717"/>
      <c r="F13" s="1717"/>
      <c r="G13" s="1717"/>
      <c r="H13" s="1717"/>
      <c r="I13" s="1717"/>
      <c r="J13" s="1717"/>
      <c r="K13" s="1717"/>
      <c r="L13" s="1717"/>
      <c r="M13" s="1717"/>
      <c r="N13" s="1717"/>
      <c r="O13" s="1717"/>
      <c r="P13" s="1717"/>
      <c r="Q13" s="1717"/>
      <c r="R13" s="1717"/>
      <c r="S13" s="1717"/>
      <c r="T13" s="1717"/>
      <c r="U13" s="1717"/>
      <c r="V13" s="1717"/>
      <c r="W13" s="1717"/>
      <c r="X13" s="1717"/>
      <c r="Y13" s="1717"/>
      <c r="Z13" s="1717"/>
      <c r="AA13" s="1717"/>
      <c r="AB13" s="1717"/>
      <c r="AC13" s="1717"/>
      <c r="AD13" s="1717"/>
      <c r="AE13" s="1717"/>
      <c r="AF13" s="1717"/>
      <c r="AG13" s="1717"/>
      <c r="AH13" s="1717"/>
      <c r="AI13" s="1717"/>
      <c r="AJ13" s="1717"/>
      <c r="AK13" s="1717"/>
      <c r="AL13" s="1717"/>
      <c r="AM13" s="950"/>
      <c r="AN13" s="950"/>
      <c r="AO13" s="950"/>
      <c r="AP13" s="950"/>
      <c r="AQ13" s="950"/>
      <c r="AR13" s="950"/>
      <c r="AS13" s="950"/>
      <c r="AT13" s="950"/>
      <c r="AU13" s="950"/>
      <c r="AV13" s="950"/>
      <c r="AW13" s="950"/>
      <c r="AX13" s="950"/>
      <c r="AY13" s="950"/>
    </row>
    <row r="14" spans="1:96" ht="12.75" customHeight="1" thickBot="1">
      <c r="A14" s="1718"/>
      <c r="B14" s="1718"/>
      <c r="C14" s="1718"/>
      <c r="D14" s="1718"/>
      <c r="E14" s="1718"/>
      <c r="F14" s="1718"/>
      <c r="G14" s="1718"/>
      <c r="H14" s="1718"/>
      <c r="I14" s="1718"/>
      <c r="J14" s="1718"/>
      <c r="K14" s="1718"/>
      <c r="L14" s="1718"/>
      <c r="M14" s="1718"/>
      <c r="N14" s="1718"/>
      <c r="O14" s="1718"/>
      <c r="P14" s="1718"/>
      <c r="Q14" s="1718"/>
      <c r="R14" s="1718"/>
      <c r="S14" s="1718"/>
      <c r="T14" s="1718"/>
      <c r="U14" s="1718"/>
      <c r="V14" s="1718"/>
      <c r="W14" s="1718"/>
      <c r="X14" s="1718"/>
      <c r="Y14" s="1718"/>
      <c r="Z14" s="1718"/>
      <c r="AA14" s="1718"/>
      <c r="AB14" s="1718"/>
      <c r="AC14" s="1718"/>
      <c r="AD14" s="1718"/>
      <c r="AE14" s="1718"/>
      <c r="AF14" s="1718"/>
      <c r="AG14" s="1718"/>
      <c r="AH14" s="1718"/>
      <c r="AI14" s="1718"/>
      <c r="AJ14" s="1718"/>
      <c r="AK14" s="1718"/>
      <c r="AL14" s="1718"/>
      <c r="AM14" s="950"/>
      <c r="AN14" s="950"/>
      <c r="AO14" s="950"/>
      <c r="AP14" s="950"/>
      <c r="AQ14" s="950"/>
      <c r="AR14" s="950"/>
      <c r="AS14" s="950"/>
      <c r="AT14" s="950"/>
      <c r="AU14" s="950"/>
      <c r="AV14" s="950"/>
      <c r="AW14" s="950"/>
      <c r="AX14" s="950"/>
      <c r="AY14" s="950"/>
    </row>
    <row r="15" spans="1:96" ht="12.75" customHeight="1" thickTop="1">
      <c r="A15" s="145"/>
      <c r="B15" s="145"/>
      <c r="C15" s="145"/>
      <c r="D15" s="145"/>
      <c r="E15" s="145"/>
      <c r="F15" s="145"/>
      <c r="G15" s="145"/>
      <c r="AC15" s="145"/>
      <c r="AD15" s="145"/>
      <c r="AE15" s="145"/>
      <c r="AF15" s="145"/>
      <c r="AG15" s="145"/>
      <c r="AH15" s="145"/>
      <c r="AI15" s="145"/>
      <c r="AJ15" s="145"/>
      <c r="AK15" s="145"/>
      <c r="AL15" s="145"/>
      <c r="AM15" s="951"/>
      <c r="AN15" s="951"/>
      <c r="AO15" s="951"/>
      <c r="AP15" s="951"/>
      <c r="AQ15" s="951"/>
      <c r="AR15" s="951"/>
      <c r="AS15" s="951"/>
      <c r="AT15" s="951"/>
      <c r="AU15" s="951"/>
      <c r="AV15" s="951"/>
      <c r="AW15" s="951"/>
      <c r="AX15" s="951"/>
      <c r="AY15" s="951"/>
    </row>
    <row r="16" spans="1:96" ht="12.75" customHeight="1">
      <c r="A16" s="134" t="s">
        <v>2656</v>
      </c>
      <c r="C16" s="7"/>
      <c r="D16" s="7"/>
      <c r="E16" s="7"/>
      <c r="F16" s="7"/>
      <c r="G16" s="7"/>
      <c r="H16" s="2060" t="s">
        <v>2465</v>
      </c>
      <c r="I16" s="2061"/>
      <c r="J16" s="2061"/>
      <c r="K16" s="2061"/>
      <c r="L16" s="2061"/>
      <c r="M16" s="2061"/>
      <c r="N16" s="2061"/>
      <c r="O16" s="2061"/>
      <c r="P16" s="2061"/>
      <c r="Q16" s="2061"/>
      <c r="R16" s="2061"/>
      <c r="S16" s="2061"/>
      <c r="T16" s="2061"/>
      <c r="U16" s="2061"/>
      <c r="V16" s="2061"/>
      <c r="W16" s="2061"/>
      <c r="X16" s="2061"/>
      <c r="Y16" s="2061"/>
      <c r="Z16" s="2061"/>
      <c r="AA16" s="2061"/>
      <c r="AB16" s="2061"/>
      <c r="AC16" s="2061"/>
      <c r="AD16" s="2061"/>
      <c r="AE16" s="2061"/>
      <c r="AF16" s="2061"/>
      <c r="AG16" s="2061"/>
      <c r="AH16" s="2061"/>
      <c r="AI16" s="2061"/>
      <c r="AJ16" s="2061"/>
    </row>
    <row r="17" spans="1:96" ht="12.75" customHeight="1"/>
    <row r="18" spans="1:96" ht="12.75" customHeight="1">
      <c r="A18" s="134" t="s">
        <v>106</v>
      </c>
      <c r="C18" s="7"/>
      <c r="D18" s="7"/>
      <c r="E18" s="7"/>
      <c r="F18" s="7"/>
      <c r="G18" s="7"/>
      <c r="H18" s="2048" t="s">
        <v>2466</v>
      </c>
      <c r="I18" s="2046"/>
      <c r="J18" s="2046"/>
      <c r="K18" s="2046"/>
      <c r="L18" s="2046"/>
      <c r="M18" s="2046"/>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row>
    <row r="19" spans="1:96" ht="12.75" customHeight="1"/>
    <row r="20" spans="1:96" ht="14.25" customHeight="1">
      <c r="A20" s="2071" t="s">
        <v>918</v>
      </c>
      <c r="B20" s="2071"/>
      <c r="C20" s="2071"/>
      <c r="D20" s="2071"/>
      <c r="E20" s="2071"/>
      <c r="F20" s="2071"/>
      <c r="G20" s="2071"/>
      <c r="H20" s="2071"/>
      <c r="I20" s="2071"/>
      <c r="J20" s="2071"/>
      <c r="K20" s="2071"/>
      <c r="L20" s="2071"/>
      <c r="M20" s="2071"/>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c r="AL20" s="2071"/>
      <c r="AM20" s="952"/>
      <c r="AN20" s="952"/>
      <c r="AO20" s="952"/>
      <c r="AP20" s="952"/>
      <c r="AQ20" s="952"/>
      <c r="AR20" s="952"/>
      <c r="AS20" s="952"/>
      <c r="AT20" s="952"/>
      <c r="AU20" s="952"/>
      <c r="AV20" s="952"/>
      <c r="AW20" s="952"/>
      <c r="AX20" s="952"/>
      <c r="AY20" s="952"/>
    </row>
    <row r="21" spans="1:96" ht="12.75" customHeight="1">
      <c r="A21" s="2077" t="s">
        <v>1083</v>
      </c>
      <c r="B21" s="2077"/>
      <c r="C21" s="2077"/>
      <c r="D21" s="2077"/>
      <c r="E21" s="2077"/>
      <c r="F21" s="2077"/>
      <c r="G21" s="2077"/>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c r="AL21" s="2077"/>
      <c r="AM21" s="953"/>
      <c r="AN21" s="953"/>
      <c r="AO21" s="953"/>
      <c r="AP21" s="953"/>
      <c r="AQ21" s="953"/>
      <c r="AR21" s="953"/>
      <c r="AS21" s="953"/>
      <c r="AT21" s="953"/>
      <c r="AU21" s="953"/>
      <c r="AV21" s="953"/>
      <c r="AW21" s="953"/>
      <c r="AX21" s="953"/>
      <c r="AY21" s="95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2657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954"/>
      <c r="AN23" s="954"/>
      <c r="AO23" s="954"/>
      <c r="AP23" s="954"/>
      <c r="AQ23" s="954"/>
      <c r="AR23" s="954"/>
      <c r="AS23" s="954"/>
      <c r="AT23" s="954"/>
      <c r="AU23" s="954"/>
      <c r="AV23" s="954"/>
      <c r="AW23" s="954"/>
      <c r="AX23" s="954"/>
      <c r="AY23" s="954"/>
      <c r="AZ23" s="28"/>
    </row>
    <row r="24" spans="1:96" ht="12.75" customHeight="1">
      <c r="A24" s="173" t="s">
        <v>1043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954"/>
      <c r="AN24" s="954"/>
      <c r="AO24" s="954"/>
      <c r="AP24" s="954"/>
      <c r="AQ24" s="954"/>
      <c r="AR24" s="954"/>
      <c r="AS24" s="954"/>
      <c r="AT24" s="954"/>
      <c r="AU24" s="954"/>
      <c r="AV24" s="954"/>
      <c r="AW24" s="954"/>
      <c r="AX24" s="954"/>
      <c r="AY24" s="95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076">
        <f>'Basis &amp; Credits'!AB56</f>
        <v>4278071</v>
      </c>
      <c r="N26" s="2076"/>
      <c r="O26" s="2076"/>
      <c r="P26" s="2076"/>
      <c r="Q26" s="2076"/>
      <c r="R26" s="7" t="s">
        <v>800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3">
        <f>'Basis &amp; Credits'!AB77</f>
        <v>0</v>
      </c>
      <c r="N27" s="2093"/>
      <c r="O27" s="2093"/>
      <c r="P27" s="2093"/>
      <c r="Q27" s="2093"/>
      <c r="R27" s="58" t="s">
        <v>1443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2658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1454</v>
      </c>
      <c r="C33" s="890"/>
      <c r="D33" s="890"/>
      <c r="E33" s="890"/>
      <c r="F33" s="890"/>
      <c r="G33" s="890"/>
      <c r="H33" s="890"/>
      <c r="I33" s="890"/>
      <c r="J33" s="890"/>
      <c r="K33" s="890"/>
      <c r="L33" s="890"/>
      <c r="M33" s="890"/>
      <c r="N33" s="890"/>
      <c r="O33" s="1886" t="s">
        <v>694</v>
      </c>
      <c r="P33" s="1886"/>
      <c r="Q33" s="890" t="s">
        <v>1455</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1457</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1456</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1458</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1459</v>
      </c>
      <c r="AZ37" s="31"/>
    </row>
    <row r="38" spans="1:96" ht="12.75" customHeight="1">
      <c r="A38" s="58" t="s">
        <v>1460</v>
      </c>
      <c r="AZ38" s="31"/>
    </row>
    <row r="39" spans="1:96" ht="12.75" customHeight="1">
      <c r="AZ39" s="31"/>
    </row>
    <row r="40" spans="1:96" ht="12.75" customHeight="1">
      <c r="A40" s="890" t="s">
        <v>2659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2660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934"/>
      <c r="AN42" s="934"/>
      <c r="AO42" s="934"/>
      <c r="AP42" s="934"/>
      <c r="AQ42" s="934"/>
      <c r="AR42" s="934"/>
      <c r="AS42" s="934"/>
      <c r="AT42" s="934"/>
      <c r="AU42" s="934"/>
      <c r="AV42" s="934"/>
      <c r="AW42" s="934"/>
      <c r="AX42" s="934"/>
      <c r="AY42" s="934"/>
      <c r="AZ42" s="31"/>
    </row>
    <row r="43" spans="1:96" ht="12.75" customHeight="1">
      <c r="A43" s="900" t="s">
        <v>2661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2662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1488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2663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1489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934"/>
      <c r="AN55" s="934"/>
      <c r="AO55" s="934"/>
      <c r="AP55" s="934"/>
      <c r="AQ55" s="934"/>
      <c r="AR55" s="934"/>
      <c r="AS55" s="934"/>
      <c r="AT55" s="934"/>
      <c r="AU55" s="934"/>
      <c r="AV55" s="934"/>
      <c r="AW55" s="934"/>
      <c r="AX55" s="934"/>
      <c r="AY55" s="934"/>
      <c r="AZ55" s="33"/>
    </row>
    <row r="56" spans="1:52" ht="12.75" customHeight="1">
      <c r="A56" s="138" t="s">
        <v>856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934"/>
      <c r="AN56" s="934"/>
      <c r="AO56" s="934"/>
      <c r="AP56" s="934"/>
      <c r="AQ56" s="934"/>
      <c r="AR56" s="934"/>
      <c r="AS56" s="934"/>
      <c r="AT56" s="934"/>
      <c r="AU56" s="934"/>
      <c r="AV56" s="934"/>
      <c r="AW56" s="934"/>
      <c r="AX56" s="934"/>
      <c r="AY56" s="934"/>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934"/>
      <c r="AN57" s="934"/>
      <c r="AO57" s="934"/>
      <c r="AP57" s="934"/>
      <c r="AQ57" s="934"/>
      <c r="AR57" s="934"/>
      <c r="AS57" s="934"/>
      <c r="AT57" s="934"/>
      <c r="AU57" s="934"/>
      <c r="AV57" s="934"/>
      <c r="AW57" s="934"/>
      <c r="AX57" s="934"/>
      <c r="AY57" s="934"/>
      <c r="AZ57" s="32"/>
    </row>
    <row r="58" spans="1:52" ht="13.2">
      <c r="A58" s="138" t="s">
        <v>1046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934"/>
      <c r="AN58" s="934"/>
      <c r="AO58" s="934"/>
      <c r="AP58" s="934"/>
      <c r="AQ58" s="934"/>
      <c r="AR58" s="934"/>
      <c r="AS58" s="934"/>
      <c r="AT58" s="934"/>
      <c r="AU58" s="934"/>
      <c r="AV58" s="934"/>
      <c r="AW58" s="934"/>
      <c r="AX58" s="934"/>
      <c r="AY58" s="934"/>
      <c r="AZ58" s="32"/>
    </row>
    <row r="59" spans="1:52" ht="13.2">
      <c r="A59" s="175" t="s">
        <v>1047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1049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2664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1009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955"/>
      <c r="AN65" s="955"/>
      <c r="AO65" s="955"/>
      <c r="AP65" s="955"/>
      <c r="AQ65" s="955"/>
      <c r="AR65" s="955"/>
      <c r="AS65" s="955"/>
      <c r="AT65" s="955"/>
      <c r="AU65" s="955"/>
      <c r="AV65" s="955"/>
      <c r="AW65" s="955"/>
      <c r="AX65" s="955"/>
      <c r="AY65" s="955"/>
      <c r="AZ65" s="31"/>
    </row>
    <row r="66" spans="1:52" ht="13.2">
      <c r="A66" s="175" t="s">
        <v>973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955"/>
      <c r="AN66" s="955"/>
      <c r="AO66" s="955"/>
      <c r="AP66" s="955"/>
      <c r="AQ66" s="955"/>
      <c r="AR66" s="955"/>
      <c r="AS66" s="955"/>
      <c r="AT66" s="955"/>
      <c r="AU66" s="955"/>
      <c r="AV66" s="955"/>
      <c r="AW66" s="955"/>
      <c r="AX66" s="955"/>
      <c r="AY66" s="95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934"/>
      <c r="AN67" s="934"/>
      <c r="AO67" s="934"/>
      <c r="AP67" s="934"/>
      <c r="AQ67" s="934"/>
      <c r="AR67" s="934"/>
      <c r="AS67" s="934"/>
      <c r="AT67" s="934"/>
      <c r="AU67" s="934"/>
      <c r="AV67" s="934"/>
      <c r="AW67" s="934"/>
      <c r="AX67" s="934"/>
      <c r="AY67" s="934"/>
      <c r="AZ67" s="31"/>
    </row>
    <row r="68" spans="1:52" ht="12.75" customHeight="1">
      <c r="A68" s="135" t="s">
        <v>2665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934"/>
      <c r="AN68" s="934"/>
      <c r="AO68" s="934"/>
      <c r="AP68" s="934"/>
      <c r="AQ68" s="934"/>
      <c r="AR68" s="934"/>
      <c r="AS68" s="934"/>
      <c r="AT68" s="934"/>
      <c r="AU68" s="934"/>
      <c r="AV68" s="934"/>
      <c r="AW68" s="934"/>
      <c r="AX68" s="934"/>
      <c r="AY68" s="934"/>
      <c r="AZ68" s="31"/>
    </row>
    <row r="69" spans="1:52" ht="12.75" customHeight="1">
      <c r="A69" s="135" t="s">
        <v>789</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934"/>
      <c r="AN69" s="934"/>
      <c r="AO69" s="934"/>
      <c r="AP69" s="934"/>
      <c r="AQ69" s="934"/>
      <c r="AR69" s="934"/>
      <c r="AS69" s="934"/>
      <c r="AT69" s="934"/>
      <c r="AU69" s="934"/>
      <c r="AV69" s="934"/>
      <c r="AW69" s="934"/>
      <c r="AX69" s="934"/>
      <c r="AY69" s="934"/>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2666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2667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790</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791</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792</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793</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731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1087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2668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1045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1044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794</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956"/>
      <c r="AN89" s="956"/>
      <c r="AO89" s="956"/>
      <c r="AP89" s="956"/>
      <c r="AQ89" s="956"/>
      <c r="AR89" s="956"/>
      <c r="AS89" s="956"/>
      <c r="AT89" s="956"/>
      <c r="AU89" s="956"/>
      <c r="AV89" s="956"/>
      <c r="AW89" s="956"/>
      <c r="AX89" s="956"/>
      <c r="AY89" s="956"/>
      <c r="AZ89" s="279"/>
      <c r="CR89" s="673"/>
    </row>
    <row r="90" spans="1:96" s="39" customFormat="1" ht="13.2">
      <c r="A90" s="138" t="s">
        <v>2669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956"/>
      <c r="AN90" s="956"/>
      <c r="AO90" s="956"/>
      <c r="AP90" s="956"/>
      <c r="AQ90" s="956"/>
      <c r="AR90" s="956"/>
      <c r="AS90" s="956"/>
      <c r="AT90" s="956"/>
      <c r="AU90" s="956"/>
      <c r="AV90" s="956"/>
      <c r="AW90" s="956"/>
      <c r="AX90" s="956"/>
      <c r="AY90" s="956"/>
      <c r="AZ90" s="279"/>
      <c r="CR90" s="673"/>
    </row>
    <row r="91" spans="1:96" s="39" customFormat="1" ht="12.75" customHeight="1">
      <c r="A91" s="138" t="s">
        <v>2670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956"/>
      <c r="AN91" s="956"/>
      <c r="AO91" s="956"/>
      <c r="AP91" s="956"/>
      <c r="AQ91" s="956"/>
      <c r="AR91" s="956"/>
      <c r="AS91" s="956"/>
      <c r="AT91" s="956"/>
      <c r="AU91" s="956"/>
      <c r="AV91" s="956"/>
      <c r="AW91" s="956"/>
      <c r="AX91" s="956"/>
      <c r="AY91" s="956"/>
      <c r="AZ91" s="279"/>
      <c r="CR91" s="673"/>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2">
      <c r="A93" s="206" t="s">
        <v>1054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2">
      <c r="A94" s="173" t="s">
        <v>1053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2">
      <c r="A95" s="138" t="s">
        <v>1052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2">
      <c r="A97" s="175" t="s">
        <v>795</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2">
      <c r="A98" s="175" t="s">
        <v>937</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2">
      <c r="A100" s="872" t="s">
        <v>2671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2">
      <c r="A101" s="39" t="s">
        <v>2672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2">
      <c r="A102" s="673" t="s">
        <v>1412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2">
      <c r="A103" s="873" t="s">
        <v>1413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1414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3" t="s">
        <v>1415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3" t="s">
        <v>1416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3" t="s">
        <v>1417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3" t="s">
        <v>1418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4" t="s">
        <v>1095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9" t="s">
        <v>2673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2">
      <c r="A112" s="448" t="s">
        <v>1097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8" t="s">
        <v>1096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796</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2674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797</v>
      </c>
      <c r="B117" s="35"/>
      <c r="C117" s="35"/>
    </row>
    <row r="118" spans="1:96" ht="13.2"/>
    <row r="119" spans="1:96" ht="12.75" customHeight="1">
      <c r="A119" s="138" t="s">
        <v>2675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798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068">
        <v>4</v>
      </c>
      <c r="H122" s="2068"/>
      <c r="I122" s="239" t="s">
        <v>186</v>
      </c>
      <c r="L122" s="2068" t="s">
        <v>2733</v>
      </c>
      <c r="M122" s="2068"/>
      <c r="N122" s="2068"/>
      <c r="O122" s="2084" t="s">
        <v>2734</v>
      </c>
      <c r="P122" s="2084"/>
      <c r="Q122" s="2084"/>
      <c r="R122" s="2084"/>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2">
      <c r="A124" s="58"/>
      <c r="B124" s="58"/>
      <c r="C124" s="2049" t="s">
        <v>759</v>
      </c>
      <c r="D124" s="2049"/>
      <c r="E124" s="2049"/>
      <c r="F124" s="2049"/>
      <c r="G124" s="2049"/>
      <c r="H124" s="2049"/>
      <c r="I124" s="2049"/>
      <c r="J124" s="2049"/>
      <c r="K124" s="2049"/>
      <c r="L124" s="323" t="s">
        <v>652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653</v>
      </c>
      <c r="Y126" s="2068"/>
      <c r="Z126" s="2068"/>
      <c r="AA126" s="2068"/>
      <c r="AB126" s="2068"/>
      <c r="AC126" s="2068"/>
      <c r="AD126" s="2068"/>
      <c r="AE126" s="2068"/>
      <c r="AF126" s="2068"/>
      <c r="AG126" s="2068"/>
      <c r="AH126" s="2068"/>
      <c r="AI126" s="2068"/>
      <c r="AJ126" s="2068"/>
      <c r="AK126" s="2068"/>
    </row>
    <row r="127" spans="1:96" ht="13.2">
      <c r="A127" s="178"/>
      <c r="B127" s="178"/>
      <c r="R127" s="178"/>
      <c r="S127" s="178"/>
      <c r="T127" s="178"/>
      <c r="U127" s="178"/>
      <c r="V127" s="178"/>
      <c r="W127" s="178"/>
      <c r="X127" s="58"/>
      <c r="Y127" s="58"/>
      <c r="Z127" s="58" t="s">
        <v>654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9"/>
      <c r="B128" s="25"/>
      <c r="R128" s="25"/>
      <c r="S128" s="25"/>
      <c r="T128" s="25"/>
      <c r="U128" s="25"/>
      <c r="V128" s="25"/>
      <c r="W128" s="25"/>
      <c r="X128" s="58"/>
      <c r="AL128" s="689"/>
      <c r="AM128" s="957"/>
      <c r="AN128" s="957"/>
      <c r="AO128" s="957"/>
      <c r="AP128" s="957"/>
      <c r="AQ128" s="957"/>
      <c r="AR128" s="957"/>
      <c r="AS128" s="957"/>
      <c r="AT128" s="957"/>
      <c r="AU128" s="957"/>
      <c r="AV128" s="957"/>
      <c r="AW128" s="957"/>
      <c r="AX128" s="957"/>
      <c r="AY128" s="957"/>
    </row>
    <row r="129" spans="1:96" ht="13.2">
      <c r="A129" s="689"/>
      <c r="B129" s="150"/>
      <c r="R129" s="265"/>
      <c r="S129" s="265"/>
      <c r="T129" s="265"/>
      <c r="U129" s="265"/>
      <c r="V129" s="265"/>
      <c r="W129" s="265"/>
      <c r="X129" s="58"/>
      <c r="Y129" s="2068" t="s">
        <v>2735</v>
      </c>
      <c r="Z129" s="2068"/>
      <c r="AA129" s="2068"/>
      <c r="AB129" s="2068"/>
      <c r="AC129" s="2068"/>
      <c r="AD129" s="2068"/>
      <c r="AE129" s="2068"/>
      <c r="AF129" s="2068"/>
      <c r="AG129" s="2068"/>
      <c r="AH129" s="2068"/>
      <c r="AI129" s="2068"/>
      <c r="AJ129" s="2068"/>
      <c r="AK129" s="2068"/>
      <c r="AL129" s="689"/>
      <c r="AM129" s="957"/>
      <c r="AN129" s="957"/>
      <c r="AO129" s="957"/>
      <c r="AP129" s="957"/>
      <c r="AQ129" s="957"/>
      <c r="AR129" s="957"/>
      <c r="AS129" s="957"/>
      <c r="AT129" s="957"/>
      <c r="AU129" s="957"/>
      <c r="AV129" s="957"/>
      <c r="AW129" s="957"/>
      <c r="AX129" s="957"/>
      <c r="AY129" s="957"/>
    </row>
    <row r="130" spans="1:96" ht="13.2">
      <c r="A130" s="177"/>
      <c r="B130" s="147"/>
      <c r="C130" s="265"/>
      <c r="R130" s="265"/>
      <c r="S130" s="265"/>
      <c r="T130" s="265"/>
      <c r="U130" s="265"/>
      <c r="V130" s="265"/>
      <c r="W130" s="265"/>
      <c r="X130" s="58"/>
      <c r="Y130" s="58"/>
      <c r="Z130" s="58" t="s">
        <v>655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068" t="s">
        <v>2736</v>
      </c>
      <c r="Z132" s="2068"/>
      <c r="AA132" s="2068"/>
      <c r="AB132" s="2068"/>
      <c r="AC132" s="2068"/>
      <c r="AD132" s="2068"/>
      <c r="AE132" s="2068"/>
      <c r="AF132" s="2068"/>
      <c r="AG132" s="2068"/>
      <c r="AH132" s="2068"/>
      <c r="AI132" s="2068"/>
      <c r="AJ132" s="2068"/>
      <c r="AK132" s="206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078"/>
      <c r="G150" s="2078"/>
      <c r="H150" s="2078"/>
      <c r="I150" s="2078"/>
      <c r="J150" s="2078"/>
      <c r="K150" s="2078"/>
      <c r="L150" s="2078"/>
      <c r="M150" s="2078"/>
      <c r="N150" s="2078"/>
      <c r="O150" s="2078"/>
      <c r="P150" s="2078"/>
      <c r="Q150" s="2078"/>
      <c r="R150" s="2078"/>
      <c r="S150" s="2078"/>
      <c r="T150" s="207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670</v>
      </c>
      <c r="F153" s="32"/>
      <c r="G153" s="32"/>
      <c r="H153" s="32"/>
      <c r="I153" s="32"/>
      <c r="J153" s="32"/>
      <c r="K153" s="32"/>
      <c r="L153" s="32"/>
      <c r="M153" s="32"/>
      <c r="N153" s="32"/>
      <c r="O153" s="2048" t="s">
        <v>2467</v>
      </c>
      <c r="P153" s="2046"/>
      <c r="Q153" s="2046"/>
      <c r="R153" s="2046"/>
      <c r="S153" s="2046"/>
      <c r="T153" s="2046"/>
      <c r="U153" s="2046"/>
      <c r="V153" s="2046"/>
      <c r="W153" s="2046"/>
      <c r="X153" s="2046"/>
      <c r="Y153" s="2046"/>
      <c r="Z153" s="2046"/>
      <c r="AA153" s="2046"/>
      <c r="AB153" s="2046"/>
      <c r="AC153" s="2046"/>
      <c r="AD153" s="2046"/>
      <c r="AE153" s="2046"/>
      <c r="AF153" s="2046"/>
      <c r="AG153" s="2046"/>
      <c r="AH153" s="2046"/>
    </row>
    <row r="154" spans="1:96" ht="12.75" customHeight="1">
      <c r="D154" s="463" t="s">
        <v>457</v>
      </c>
      <c r="F154" s="32"/>
      <c r="G154" s="32"/>
      <c r="H154" s="32"/>
      <c r="I154" s="32"/>
      <c r="J154" s="32"/>
      <c r="K154" s="32"/>
      <c r="L154" s="32"/>
      <c r="M154" s="32"/>
      <c r="N154" s="32"/>
      <c r="O154" s="1971" t="s">
        <v>2468</v>
      </c>
      <c r="P154" s="1878"/>
      <c r="Q154" s="1878"/>
      <c r="R154" s="1878"/>
      <c r="S154" s="1878"/>
      <c r="T154" s="1878"/>
      <c r="U154" s="1878"/>
      <c r="V154" s="1878"/>
      <c r="W154" s="1878"/>
      <c r="X154" s="1878"/>
      <c r="Y154" s="1878"/>
      <c r="Z154" s="1878"/>
      <c r="AA154" s="1878"/>
      <c r="AB154" s="1878"/>
      <c r="AC154" s="1878"/>
      <c r="AD154" s="1878"/>
      <c r="AE154" s="1878"/>
      <c r="AF154" s="1878"/>
      <c r="AG154" s="1878"/>
      <c r="AH154" s="1878"/>
      <c r="AZ154" s="25"/>
    </row>
    <row r="155" spans="1:96" ht="13.2">
      <c r="D155" s="13" t="s">
        <v>458</v>
      </c>
      <c r="F155" s="13"/>
      <c r="G155" s="13"/>
      <c r="H155" s="13"/>
      <c r="I155" s="13"/>
      <c r="J155" s="13"/>
      <c r="K155" s="13"/>
      <c r="L155" s="13"/>
      <c r="M155" s="13"/>
      <c r="N155" s="13"/>
      <c r="O155" s="2080" t="s">
        <v>2469</v>
      </c>
      <c r="P155" s="2081"/>
      <c r="Q155" s="2081"/>
      <c r="R155" s="2081"/>
      <c r="S155" s="2081"/>
      <c r="T155" s="2081"/>
      <c r="U155" s="2081"/>
      <c r="V155" s="2081"/>
      <c r="W155" s="2081"/>
      <c r="X155" s="2081"/>
      <c r="Y155" s="2081"/>
      <c r="Z155" s="2081"/>
      <c r="AA155" s="2081"/>
      <c r="AB155" s="2081"/>
      <c r="AC155" s="2081"/>
      <c r="AD155" s="2081"/>
      <c r="AE155" s="2081"/>
      <c r="AF155" s="2081"/>
      <c r="AG155" s="2081"/>
      <c r="AH155" s="2081"/>
      <c r="AZ155" s="25"/>
    </row>
    <row r="156" spans="1:96" ht="13.2">
      <c r="D156" s="32" t="s">
        <v>318</v>
      </c>
      <c r="F156" s="32"/>
      <c r="G156" s="32"/>
      <c r="H156" s="32"/>
      <c r="I156" s="32"/>
      <c r="J156" s="32"/>
      <c r="K156" s="32"/>
      <c r="L156" s="32"/>
      <c r="M156" s="32"/>
      <c r="N156" s="32"/>
      <c r="O156" s="1887" t="s">
        <v>2470</v>
      </c>
      <c r="P156" s="1887"/>
      <c r="Q156" s="1887"/>
      <c r="R156" s="1887"/>
      <c r="S156" s="1887"/>
      <c r="T156" s="1887"/>
      <c r="U156" s="1887"/>
      <c r="V156" s="1887"/>
      <c r="W156" s="1887"/>
      <c r="X156" s="1887"/>
      <c r="Y156" s="1887"/>
      <c r="Z156" s="1887"/>
      <c r="AA156" s="1887"/>
      <c r="AB156" s="1887"/>
      <c r="AC156" s="1887"/>
      <c r="AD156" s="1887"/>
      <c r="AE156" s="1887"/>
      <c r="AF156" s="1887"/>
      <c r="AG156" s="1887"/>
      <c r="AH156" s="1887"/>
      <c r="BT156" s="12" t="s">
        <v>312</v>
      </c>
    </row>
    <row r="157" spans="1:96" ht="13.2">
      <c r="D157" s="32" t="s">
        <v>319</v>
      </c>
      <c r="F157" s="32"/>
      <c r="G157" s="32"/>
      <c r="H157" s="32"/>
      <c r="I157" s="32"/>
      <c r="J157" s="32"/>
      <c r="K157" s="32"/>
      <c r="L157" s="32"/>
      <c r="M157" s="32"/>
      <c r="N157" s="32"/>
      <c r="O157" s="2048" t="s">
        <v>759</v>
      </c>
      <c r="P157" s="2046"/>
      <c r="Q157" s="2046"/>
      <c r="R157" s="2046"/>
      <c r="S157" s="2046"/>
      <c r="T157" s="2046"/>
      <c r="U157" s="2046"/>
      <c r="V157" s="2046"/>
      <c r="W157" s="2046"/>
      <c r="X157" s="2046"/>
      <c r="Y157" s="14"/>
      <c r="Z157" s="14"/>
      <c r="AA157" s="14"/>
      <c r="AB157" s="14"/>
      <c r="AC157" s="14"/>
      <c r="AD157" s="14"/>
      <c r="AE157" s="14"/>
      <c r="AF157" s="14"/>
      <c r="BN157" s="36" t="s">
        <v>661</v>
      </c>
      <c r="BT157" s="12" t="s">
        <v>500</v>
      </c>
    </row>
    <row r="158" spans="1:96" ht="13.2">
      <c r="D158" s="32" t="s">
        <v>320</v>
      </c>
      <c r="F158" s="32"/>
      <c r="G158" s="32"/>
      <c r="H158" s="32"/>
      <c r="I158" s="32"/>
      <c r="J158" s="32"/>
      <c r="K158" s="32"/>
      <c r="L158" s="32"/>
      <c r="M158" s="32"/>
      <c r="N158" s="32"/>
      <c r="O158" s="2082">
        <v>94103</v>
      </c>
      <c r="P158" s="2082"/>
      <c r="Q158" s="2082"/>
      <c r="R158" s="2082"/>
      <c r="S158" s="15"/>
      <c r="T158" s="15"/>
      <c r="U158" s="15"/>
      <c r="V158" s="15"/>
      <c r="W158" s="15"/>
      <c r="X158" s="15"/>
      <c r="Y158" s="15"/>
      <c r="Z158" s="15"/>
      <c r="AA158" s="15"/>
      <c r="AB158" s="15"/>
      <c r="AC158" s="15"/>
      <c r="AD158" s="15"/>
      <c r="AE158" s="15"/>
      <c r="AF158" s="15"/>
      <c r="BN158" s="36" t="s">
        <v>662</v>
      </c>
      <c r="BT158" s="12" t="s">
        <v>501</v>
      </c>
    </row>
    <row r="159" spans="1:96" ht="13.2">
      <c r="D159" s="32" t="s">
        <v>321</v>
      </c>
      <c r="F159" s="32"/>
      <c r="G159" s="32"/>
      <c r="H159" s="32"/>
      <c r="I159" s="32"/>
      <c r="J159" s="32"/>
      <c r="K159" s="32"/>
      <c r="L159" s="32"/>
      <c r="M159" s="32"/>
      <c r="N159" s="32"/>
      <c r="O159" s="2050" t="s">
        <v>2471</v>
      </c>
      <c r="P159" s="2050"/>
      <c r="Q159" s="2050"/>
      <c r="R159" s="2050"/>
      <c r="S159" s="2050"/>
      <c r="T159" s="2050"/>
      <c r="V159" s="146" t="s">
        <v>276</v>
      </c>
      <c r="W159" s="2083"/>
      <c r="X159" s="2083"/>
      <c r="Y159" s="16"/>
      <c r="Z159" s="16"/>
      <c r="AA159" s="16"/>
      <c r="AB159" s="16"/>
      <c r="AC159" s="16"/>
      <c r="AD159" s="16"/>
      <c r="AE159" s="16"/>
      <c r="AF159" s="16"/>
      <c r="BN159" s="36" t="s">
        <v>345</v>
      </c>
      <c r="BT159" s="12" t="s">
        <v>502</v>
      </c>
    </row>
    <row r="160" spans="1:96" ht="13.2">
      <c r="D160" s="32" t="s">
        <v>322</v>
      </c>
      <c r="F160" s="32"/>
      <c r="G160" s="32"/>
      <c r="H160" s="32"/>
      <c r="I160" s="32"/>
      <c r="J160" s="32"/>
      <c r="K160" s="32"/>
      <c r="L160" s="32"/>
      <c r="M160" s="32"/>
      <c r="N160" s="32"/>
      <c r="O160" s="2050" t="s">
        <v>2472</v>
      </c>
      <c r="P160" s="2050"/>
      <c r="Q160" s="2050"/>
      <c r="R160" s="2050"/>
      <c r="S160" s="2050"/>
      <c r="T160" s="2050"/>
      <c r="U160" s="16"/>
      <c r="V160" s="16"/>
      <c r="W160" s="16"/>
      <c r="X160" s="16"/>
      <c r="Y160" s="16"/>
      <c r="Z160" s="16"/>
      <c r="AA160" s="16"/>
      <c r="AB160" s="16"/>
      <c r="AC160" s="16"/>
      <c r="AD160" s="16"/>
      <c r="AE160" s="16"/>
      <c r="AF160" s="16"/>
      <c r="BN160" s="36" t="s">
        <v>685</v>
      </c>
      <c r="BT160" s="12" t="s">
        <v>503</v>
      </c>
    </row>
    <row r="161" spans="1:72" ht="13.2">
      <c r="D161" s="32" t="s">
        <v>323</v>
      </c>
      <c r="F161" s="32"/>
      <c r="G161" s="32"/>
      <c r="H161" s="32"/>
      <c r="I161" s="32"/>
      <c r="J161" s="32"/>
      <c r="K161" s="32"/>
      <c r="L161" s="32"/>
      <c r="M161" s="32"/>
      <c r="N161" s="32"/>
      <c r="O161" s="2051" t="s">
        <v>2473</v>
      </c>
      <c r="P161" s="2051"/>
      <c r="Q161" s="2051"/>
      <c r="R161" s="2051"/>
      <c r="S161" s="2051"/>
      <c r="T161" s="2051"/>
      <c r="U161" s="2051"/>
      <c r="V161" s="2051"/>
      <c r="W161" s="2051"/>
      <c r="X161" s="2051"/>
      <c r="Y161" s="2051"/>
      <c r="Z161" s="2051"/>
      <c r="AA161" s="2051"/>
      <c r="AB161" s="2051"/>
      <c r="AC161" s="2051"/>
      <c r="AD161" s="2051"/>
      <c r="AE161" s="2051"/>
      <c r="AF161" s="2051"/>
      <c r="AG161" s="2051"/>
      <c r="AH161" s="2051"/>
      <c r="BJ161" s="12" t="s">
        <v>694</v>
      </c>
      <c r="BN161" s="36" t="s">
        <v>686</v>
      </c>
      <c r="BT161" s="12" t="s">
        <v>504</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569</v>
      </c>
      <c r="BN162" s="36" t="s">
        <v>687</v>
      </c>
      <c r="BT162" s="12" t="s">
        <v>505</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688</v>
      </c>
      <c r="BT163" s="12" t="s">
        <v>506</v>
      </c>
    </row>
    <row r="164" spans="1:72" ht="13.2">
      <c r="C164" s="141"/>
      <c r="D164" s="2052" t="s">
        <v>2692</v>
      </c>
      <c r="E164" s="2052"/>
      <c r="F164" s="2052"/>
      <c r="G164" s="2052"/>
      <c r="H164" s="2052"/>
      <c r="I164" s="2052"/>
      <c r="J164" s="2052"/>
      <c r="K164" s="2052"/>
      <c r="L164" s="2052"/>
      <c r="M164" s="2052"/>
      <c r="N164" s="2052"/>
      <c r="O164" s="2052"/>
      <c r="P164" s="2052"/>
      <c r="Q164" s="2052"/>
      <c r="R164" s="2052"/>
      <c r="S164" s="2052"/>
      <c r="T164" s="2052"/>
      <c r="U164" s="2052"/>
      <c r="V164" s="2052"/>
      <c r="W164" s="2052"/>
      <c r="X164" s="2052"/>
      <c r="Y164" s="2052"/>
      <c r="Z164" s="2052"/>
      <c r="AA164" s="2052"/>
      <c r="AB164" s="2052"/>
      <c r="AC164" s="2052"/>
      <c r="AD164" s="2052"/>
      <c r="AE164" s="2052"/>
      <c r="AF164" s="2052"/>
      <c r="AG164" s="2052"/>
      <c r="AH164" s="2052"/>
      <c r="AI164" s="39"/>
      <c r="AJ164" s="39"/>
      <c r="AK164" s="39"/>
      <c r="AL164" s="39"/>
      <c r="BN164" s="36" t="s">
        <v>689</v>
      </c>
      <c r="BT164" s="12" t="s">
        <v>507</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690</v>
      </c>
      <c r="BT165" s="12" t="s">
        <v>508</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692</v>
      </c>
      <c r="BT166" s="12" t="s">
        <v>509</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695</v>
      </c>
      <c r="BT167" s="12" t="s">
        <v>510</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696</v>
      </c>
      <c r="BT168" s="12" t="s">
        <v>511</v>
      </c>
    </row>
    <row r="169" spans="1:72" ht="13.2">
      <c r="A169" s="1933" t="s">
        <v>563</v>
      </c>
      <c r="B169" s="1933"/>
      <c r="C169" s="1933"/>
      <c r="D169" s="1933"/>
      <c r="E169" s="1933"/>
      <c r="F169" s="1933"/>
      <c r="G169" s="1933"/>
      <c r="H169" s="1933"/>
      <c r="I169" s="1933"/>
      <c r="J169" s="1933"/>
      <c r="K169" s="1933"/>
      <c r="L169" s="1933"/>
      <c r="M169" s="1933"/>
      <c r="N169" s="1933"/>
      <c r="O169" s="1933"/>
      <c r="P169" s="1933"/>
      <c r="Q169" s="1933"/>
      <c r="R169" s="1933"/>
      <c r="S169" s="1933"/>
      <c r="T169" s="1933"/>
      <c r="U169" s="1933"/>
      <c r="V169" s="1933"/>
      <c r="W169" s="1933"/>
      <c r="X169" s="1933"/>
      <c r="Y169" s="1933"/>
      <c r="Z169" s="1933"/>
      <c r="AA169" s="1933"/>
      <c r="AB169" s="1933"/>
      <c r="AC169" s="1933"/>
      <c r="AD169" s="1933"/>
      <c r="AE169" s="1933"/>
      <c r="AF169" s="1933"/>
      <c r="AG169" s="1933"/>
      <c r="AH169" s="1933"/>
      <c r="AI169" s="1933"/>
      <c r="AJ169" s="1933"/>
      <c r="AK169" s="1933"/>
      <c r="AL169" s="1933"/>
      <c r="AM169" s="144"/>
      <c r="AN169" s="144"/>
      <c r="AO169" s="144"/>
      <c r="AP169" s="144"/>
      <c r="AQ169" s="144"/>
      <c r="AR169" s="144"/>
      <c r="AS169" s="144"/>
      <c r="AT169" s="144"/>
      <c r="AU169" s="144"/>
      <c r="AV169" s="144"/>
      <c r="AW169" s="144"/>
      <c r="AX169" s="144"/>
      <c r="AY169" s="144"/>
      <c r="BN169" s="36" t="s">
        <v>698</v>
      </c>
      <c r="BT169" s="12" t="s">
        <v>512</v>
      </c>
    </row>
    <row r="170" spans="1:72" ht="13.8" thickBot="1">
      <c r="A170" s="1934"/>
      <c r="B170" s="1934"/>
      <c r="C170" s="1934"/>
      <c r="D170" s="1934"/>
      <c r="E170" s="1934"/>
      <c r="F170" s="1934"/>
      <c r="G170" s="1934"/>
      <c r="H170" s="1934"/>
      <c r="I170" s="1934"/>
      <c r="J170" s="1934"/>
      <c r="K170" s="1934"/>
      <c r="L170" s="1934"/>
      <c r="M170" s="1934"/>
      <c r="N170" s="1934"/>
      <c r="O170" s="1934"/>
      <c r="P170" s="1934"/>
      <c r="Q170" s="1934"/>
      <c r="R170" s="1934"/>
      <c r="S170" s="1934"/>
      <c r="T170" s="1934"/>
      <c r="U170" s="1934"/>
      <c r="V170" s="1934"/>
      <c r="W170" s="1934"/>
      <c r="X170" s="1934"/>
      <c r="Y170" s="1934"/>
      <c r="Z170" s="1934"/>
      <c r="AA170" s="1934"/>
      <c r="AB170" s="1934"/>
      <c r="AC170" s="1934"/>
      <c r="AD170" s="1934"/>
      <c r="AE170" s="1934"/>
      <c r="AF170" s="1934"/>
      <c r="AG170" s="1934"/>
      <c r="AH170" s="1934"/>
      <c r="AI170" s="1934"/>
      <c r="AJ170" s="1934"/>
      <c r="AK170" s="1934"/>
      <c r="AL170" s="1934"/>
      <c r="AM170" s="144"/>
      <c r="AN170" s="144"/>
      <c r="AO170" s="144"/>
      <c r="AP170" s="144"/>
      <c r="AQ170" s="144"/>
      <c r="AR170" s="144"/>
      <c r="AS170" s="144"/>
      <c r="AT170" s="144"/>
      <c r="AU170" s="144"/>
      <c r="AV170" s="144"/>
      <c r="AW170" s="144"/>
      <c r="AX170" s="144"/>
      <c r="AY170" s="144"/>
      <c r="BN170" s="36" t="s">
        <v>699</v>
      </c>
      <c r="BT170" s="12" t="s">
        <v>513</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514</v>
      </c>
    </row>
    <row r="172" spans="1:72" ht="13.2">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515</v>
      </c>
    </row>
    <row r="173" spans="1:72" ht="13.2">
      <c r="A173" s="25"/>
      <c r="C173" s="38"/>
      <c r="D173" s="39" t="s">
        <v>326</v>
      </c>
      <c r="J173" s="2079" t="s">
        <v>385</v>
      </c>
      <c r="K173" s="2079"/>
      <c r="L173" s="2079"/>
      <c r="M173" s="2079"/>
      <c r="N173" s="2079"/>
      <c r="O173" s="2079"/>
      <c r="P173" s="2079"/>
      <c r="Q173" s="2079"/>
      <c r="R173" s="2079"/>
      <c r="S173" s="2079"/>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516</v>
      </c>
    </row>
    <row r="174" spans="1:72" ht="13.2">
      <c r="A174" s="25"/>
      <c r="C174" s="38"/>
      <c r="D174" s="58" t="s">
        <v>1363</v>
      </c>
      <c r="E174" s="25"/>
      <c r="F174" s="25"/>
      <c r="G174" s="25"/>
      <c r="H174" s="25"/>
      <c r="I174" s="25"/>
      <c r="J174" s="1887" t="s">
        <v>2676</v>
      </c>
      <c r="K174" s="1887"/>
      <c r="L174" s="1887"/>
      <c r="M174" s="1887"/>
      <c r="N174" s="1887"/>
      <c r="O174" s="1887"/>
      <c r="P174" s="1887"/>
      <c r="Q174" s="1887"/>
      <c r="R174" s="1887"/>
      <c r="S174" s="1887"/>
      <c r="T174" s="1887"/>
      <c r="U174" s="1887"/>
      <c r="V174" s="1887"/>
      <c r="W174" s="1887"/>
      <c r="X174" s="1887"/>
      <c r="Y174" s="1887"/>
      <c r="Z174" s="1887"/>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517</v>
      </c>
    </row>
    <row r="175" spans="1:72" ht="13.2">
      <c r="A175" s="25"/>
      <c r="C175" s="13"/>
      <c r="D175" s="58" t="s">
        <v>327</v>
      </c>
      <c r="F175" s="711"/>
      <c r="G175" s="711"/>
      <c r="H175" s="711"/>
      <c r="I175" s="711"/>
      <c r="J175" s="711"/>
      <c r="K175" s="711"/>
      <c r="L175" s="711"/>
      <c r="M175" s="711"/>
      <c r="N175" s="711"/>
      <c r="O175" s="42"/>
      <c r="Q175" s="25"/>
      <c r="R175" s="25"/>
      <c r="T175" s="711"/>
      <c r="U175" s="1886" t="s">
        <v>569</v>
      </c>
      <c r="V175" s="1886"/>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518</v>
      </c>
    </row>
    <row r="176" spans="1:72" ht="13.2">
      <c r="A176" s="25"/>
      <c r="C176" s="13"/>
      <c r="D176" s="41"/>
      <c r="E176" s="711" t="s">
        <v>309</v>
      </c>
      <c r="F176" s="711"/>
      <c r="G176" s="711"/>
      <c r="H176" s="711"/>
      <c r="I176" s="711"/>
      <c r="J176" s="711"/>
      <c r="K176" s="711"/>
      <c r="L176" s="711"/>
      <c r="M176" s="711"/>
      <c r="N176" s="711"/>
      <c r="O176" s="42"/>
      <c r="P176" s="25" t="s">
        <v>2677</v>
      </c>
      <c r="Q176" s="25"/>
      <c r="R176" s="25"/>
      <c r="S176" s="25" t="s">
        <v>310</v>
      </c>
      <c r="T176" s="711"/>
      <c r="U176" s="1967">
        <v>22</v>
      </c>
      <c r="V176" s="1967"/>
      <c r="W176" s="4" t="s">
        <v>311</v>
      </c>
      <c r="X176" s="2085">
        <v>468</v>
      </c>
      <c r="Y176" s="2085"/>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519</v>
      </c>
    </row>
    <row r="177" spans="1:96" s="711" customFormat="1" ht="13.2">
      <c r="A177" s="25"/>
      <c r="B177" s="12"/>
      <c r="C177" s="43"/>
      <c r="D177" s="25" t="s">
        <v>254</v>
      </c>
      <c r="E177" s="12"/>
      <c r="F177" s="12"/>
      <c r="G177" s="12"/>
      <c r="H177" s="12"/>
      <c r="I177" s="12"/>
      <c r="J177" s="12"/>
      <c r="K177" s="12"/>
      <c r="L177" s="12"/>
      <c r="M177" s="25"/>
      <c r="N177" s="12"/>
      <c r="O177" s="12"/>
      <c r="P177" s="12"/>
      <c r="Q177" s="12"/>
      <c r="R177" s="1886" t="s">
        <v>694</v>
      </c>
      <c r="S177" s="1886"/>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520</v>
      </c>
      <c r="CR177" s="25"/>
    </row>
    <row r="178" spans="1:96" s="711" customFormat="1" ht="13.2">
      <c r="A178" s="25"/>
      <c r="B178" s="12"/>
      <c r="C178" s="43"/>
      <c r="D178" s="58" t="s">
        <v>1364</v>
      </c>
      <c r="E178" s="12"/>
      <c r="F178" s="12"/>
      <c r="G178" s="12"/>
      <c r="H178" s="12"/>
      <c r="I178" s="12"/>
      <c r="J178" s="12"/>
      <c r="K178" s="12"/>
      <c r="L178" s="12"/>
      <c r="M178" s="12"/>
      <c r="N178" s="12"/>
      <c r="P178" s="25"/>
      <c r="R178" s="12"/>
      <c r="S178" s="12"/>
      <c r="T178" s="12"/>
      <c r="U178" s="12"/>
      <c r="V178" s="12"/>
      <c r="W178" s="12"/>
      <c r="X178" s="12"/>
      <c r="Y178" s="12"/>
      <c r="AA178" s="25" t="s">
        <v>2677</v>
      </c>
      <c r="AC178" s="25"/>
      <c r="AD178" s="25" t="s">
        <v>310</v>
      </c>
      <c r="AF178" s="2262"/>
      <c r="AG178" s="2262"/>
      <c r="AH178" s="4" t="s">
        <v>311</v>
      </c>
      <c r="AI178" s="2054"/>
      <c r="AJ178" s="2054"/>
      <c r="AK178" s="2054"/>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3.2">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3.2">
      <c r="A180" s="25"/>
      <c r="B180" s="12"/>
      <c r="C180" s="43"/>
      <c r="D180" s="673" t="s">
        <v>2678</v>
      </c>
      <c r="E180" s="25"/>
      <c r="X180" s="1886"/>
      <c r="Y180" s="1886"/>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 customHeight="1">
      <c r="A181" s="25"/>
      <c r="B181" s="12"/>
      <c r="C181" s="44"/>
      <c r="E181" s="7" t="s">
        <v>1032</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3.2">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3.2">
      <c r="A183" s="37" t="s">
        <v>601</v>
      </c>
      <c r="C183" s="37" t="s">
        <v>602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3.2">
      <c r="A184" s="25"/>
      <c r="C184" s="45"/>
      <c r="D184" s="25" t="s">
        <v>603</v>
      </c>
      <c r="E184" s="25"/>
      <c r="F184" s="25"/>
      <c r="G184" s="25"/>
      <c r="H184" s="25"/>
      <c r="I184" s="1888" t="str">
        <f>H18</f>
        <v>The Kelsey Civic Center</v>
      </c>
      <c r="J184" s="1888"/>
      <c r="K184" s="1888"/>
      <c r="L184" s="1888"/>
      <c r="M184" s="1888"/>
      <c r="N184" s="1888"/>
      <c r="O184" s="1888"/>
      <c r="P184" s="1888"/>
      <c r="Q184" s="1888"/>
      <c r="R184" s="1888"/>
      <c r="S184" s="1888"/>
      <c r="T184" s="1888"/>
      <c r="U184" s="1888"/>
      <c r="V184" s="1888"/>
      <c r="W184" s="1888"/>
      <c r="X184" s="1888"/>
      <c r="Y184" s="1888"/>
      <c r="Z184" s="1888"/>
      <c r="AA184" s="1888"/>
      <c r="AB184" s="1888"/>
      <c r="AC184" s="1888"/>
      <c r="AD184" s="1888"/>
      <c r="AE184" s="1888"/>
      <c r="AF184" s="25"/>
      <c r="AH184" s="25"/>
      <c r="AJ184" s="3"/>
      <c r="AK184" s="3"/>
      <c r="AL184" s="3"/>
      <c r="AM184" s="673"/>
      <c r="AN184" s="673"/>
      <c r="AO184" s="673"/>
      <c r="AP184" s="673"/>
      <c r="AQ184" s="673"/>
      <c r="AR184" s="673"/>
      <c r="AS184" s="673"/>
      <c r="AT184" s="673"/>
      <c r="AU184" s="673"/>
      <c r="AV184" s="673"/>
      <c r="AW184" s="673"/>
      <c r="AX184" s="673"/>
      <c r="AY184" s="673"/>
      <c r="BC184" s="25" t="s">
        <v>612</v>
      </c>
      <c r="BN184" s="36" t="s">
        <v>235</v>
      </c>
      <c r="BT184" s="12" t="s">
        <v>65</v>
      </c>
    </row>
    <row r="185" spans="1:96" ht="13.2">
      <c r="A185" s="25"/>
      <c r="C185" s="45"/>
      <c r="D185" s="25" t="s">
        <v>604</v>
      </c>
      <c r="E185" s="25"/>
      <c r="F185" s="25"/>
      <c r="G185" s="25"/>
      <c r="H185" s="25"/>
      <c r="I185" s="1889" t="s">
        <v>2474</v>
      </c>
      <c r="J185" s="1889"/>
      <c r="K185" s="1889"/>
      <c r="L185" s="1889"/>
      <c r="M185" s="1889"/>
      <c r="N185" s="1889"/>
      <c r="O185" s="1889"/>
      <c r="P185" s="1889"/>
      <c r="Q185" s="1889"/>
      <c r="R185" s="1889"/>
      <c r="S185" s="1889"/>
      <c r="T185" s="1889"/>
      <c r="U185" s="1889"/>
      <c r="V185" s="1889"/>
      <c r="W185" s="1889"/>
      <c r="X185" s="1889"/>
      <c r="Y185" s="1889"/>
      <c r="Z185" s="1889"/>
      <c r="AA185" s="1889"/>
      <c r="AB185" s="1889"/>
      <c r="AC185" s="1889"/>
      <c r="AD185" s="1889"/>
      <c r="AE185" s="1889"/>
      <c r="AF185" s="25"/>
      <c r="AH185" s="25"/>
      <c r="AJ185" s="3"/>
      <c r="AK185" s="3"/>
      <c r="AL185" s="3"/>
      <c r="AM185" s="673"/>
      <c r="AN185" s="673"/>
      <c r="AO185" s="673"/>
      <c r="AP185" s="673"/>
      <c r="AQ185" s="673"/>
      <c r="AR185" s="673"/>
      <c r="AS185" s="673"/>
      <c r="AT185" s="673"/>
      <c r="AU185" s="673"/>
      <c r="AV185" s="673"/>
      <c r="AW185" s="673"/>
      <c r="AX185" s="673"/>
      <c r="AY185" s="673"/>
      <c r="BC185" s="25" t="s">
        <v>613</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3.2">
      <c r="A187" s="25"/>
      <c r="C187" s="45"/>
      <c r="D187" s="25"/>
      <c r="E187" s="1936"/>
      <c r="F187" s="1936"/>
      <c r="G187" s="1936"/>
      <c r="H187" s="1936"/>
      <c r="I187" s="1936"/>
      <c r="J187" s="1936"/>
      <c r="K187" s="1936"/>
      <c r="L187" s="1936"/>
      <c r="M187" s="1936"/>
      <c r="N187" s="1936"/>
      <c r="O187" s="1936"/>
      <c r="P187" s="1936"/>
      <c r="Q187" s="1936"/>
      <c r="R187" s="1936"/>
      <c r="S187" s="1936"/>
      <c r="T187" s="1936"/>
      <c r="U187" s="1936"/>
      <c r="V187" s="1936"/>
      <c r="W187" s="1936"/>
      <c r="X187" s="1936"/>
      <c r="Y187" s="1936"/>
      <c r="Z187" s="1936"/>
      <c r="AA187" s="1936"/>
      <c r="AB187" s="1936"/>
      <c r="AC187" s="1936"/>
      <c r="AD187" s="1936"/>
      <c r="AE187" s="1936"/>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3.2">
      <c r="A188" s="25"/>
      <c r="C188" s="45"/>
      <c r="D188" s="25"/>
      <c r="E188" s="1937"/>
      <c r="F188" s="1937"/>
      <c r="G188" s="1937"/>
      <c r="H188" s="1937"/>
      <c r="I188" s="1937"/>
      <c r="J188" s="1937"/>
      <c r="K188" s="1937"/>
      <c r="L188" s="1937"/>
      <c r="M188" s="1937"/>
      <c r="N188" s="1937"/>
      <c r="O188" s="1937"/>
      <c r="P188" s="1937"/>
      <c r="Q188" s="1937"/>
      <c r="R188" s="1937"/>
      <c r="S188" s="1937"/>
      <c r="T188" s="1937"/>
      <c r="U188" s="1937"/>
      <c r="V188" s="1937"/>
      <c r="W188" s="1937"/>
      <c r="X188" s="1937"/>
      <c r="Y188" s="1937"/>
      <c r="Z188" s="1937"/>
      <c r="AA188" s="1937"/>
      <c r="AB188" s="1937"/>
      <c r="AC188" s="1937"/>
      <c r="AD188" s="1937"/>
      <c r="AE188" s="1937"/>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3.2">
      <c r="A189" s="25"/>
      <c r="C189" s="45"/>
      <c r="D189" s="25" t="s">
        <v>605</v>
      </c>
      <c r="E189" s="25"/>
      <c r="I189" s="1887" t="s">
        <v>759</v>
      </c>
      <c r="J189" s="1887"/>
      <c r="K189" s="1887"/>
      <c r="L189" s="1887"/>
      <c r="M189" s="1887"/>
      <c r="N189" s="1887"/>
      <c r="O189" s="1887"/>
      <c r="P189" s="1887"/>
      <c r="Q189" s="25" t="s">
        <v>607</v>
      </c>
      <c r="T189" s="1887" t="s">
        <v>759</v>
      </c>
      <c r="U189" s="1887"/>
      <c r="V189" s="1887"/>
      <c r="W189" s="1887"/>
      <c r="X189" s="1887"/>
      <c r="Y189" s="1887"/>
      <c r="Z189" s="1887"/>
      <c r="AA189" s="1887"/>
      <c r="AB189" s="1887"/>
      <c r="AC189" s="1887"/>
      <c r="AD189" s="1887"/>
      <c r="AE189" s="1887"/>
      <c r="AH189" s="25"/>
      <c r="AJ189" s="3"/>
      <c r="AK189" s="3"/>
      <c r="AL189" s="3"/>
      <c r="AM189" s="673"/>
      <c r="AN189" s="673"/>
      <c r="AO189" s="673"/>
      <c r="AP189" s="673"/>
      <c r="AQ189" s="673"/>
      <c r="AR189" s="673"/>
      <c r="AS189" s="673"/>
      <c r="AT189" s="673"/>
      <c r="AU189" s="673"/>
      <c r="AV189" s="673"/>
      <c r="AW189" s="673"/>
      <c r="AX189" s="673"/>
      <c r="AY189" s="673"/>
      <c r="BC189" s="711" t="s">
        <v>312</v>
      </c>
      <c r="BH189" s="58" t="s">
        <v>616</v>
      </c>
      <c r="BN189" s="36" t="s">
        <v>241</v>
      </c>
      <c r="BT189" s="12" t="s">
        <v>70</v>
      </c>
    </row>
    <row r="190" spans="1:96" ht="13.2">
      <c r="A190" s="25"/>
      <c r="C190" s="46"/>
      <c r="D190" s="25" t="s">
        <v>608</v>
      </c>
      <c r="E190" s="25"/>
      <c r="F190" s="25"/>
      <c r="G190" s="25"/>
      <c r="I190" s="1889">
        <v>94102</v>
      </c>
      <c r="J190" s="1889"/>
      <c r="K190" s="1889"/>
      <c r="L190" s="1889"/>
      <c r="M190" s="1889"/>
      <c r="N190" s="1889"/>
      <c r="O190" s="25" t="s">
        <v>610</v>
      </c>
      <c r="P190" s="25"/>
      <c r="Q190" s="25"/>
      <c r="R190" s="25"/>
      <c r="S190" s="25"/>
      <c r="T190" s="2072">
        <v>124.05</v>
      </c>
      <c r="U190" s="2072"/>
      <c r="V190" s="2072"/>
      <c r="W190" s="2072"/>
      <c r="X190" s="2072"/>
      <c r="Y190" s="2072"/>
      <c r="Z190" s="2072"/>
      <c r="AA190" s="2072"/>
      <c r="AB190" s="2072"/>
      <c r="AC190" s="2072"/>
      <c r="AD190" s="2072"/>
      <c r="AE190" s="2072"/>
      <c r="AF190" s="25"/>
      <c r="AH190" s="25"/>
      <c r="AJ190" s="3"/>
      <c r="AK190" s="3"/>
      <c r="AL190" s="3"/>
      <c r="AM190" s="673"/>
      <c r="AN190" s="673"/>
      <c r="AO190" s="673"/>
      <c r="AP190" s="673"/>
      <c r="AQ190" s="673"/>
      <c r="AR190" s="673"/>
      <c r="AS190" s="673"/>
      <c r="AT190" s="673"/>
      <c r="AU190" s="673"/>
      <c r="AV190" s="673"/>
      <c r="AW190" s="673"/>
      <c r="AX190" s="673"/>
      <c r="AY190" s="673"/>
      <c r="BC190" s="711" t="s">
        <v>1120</v>
      </c>
      <c r="BH190" s="711" t="s">
        <v>1120</v>
      </c>
      <c r="BN190" s="36" t="s">
        <v>660</v>
      </c>
      <c r="BT190" s="12" t="s">
        <v>71</v>
      </c>
    </row>
    <row r="191" spans="1:96" ht="13.2">
      <c r="A191" s="25"/>
      <c r="C191" s="46"/>
      <c r="D191" s="25" t="s">
        <v>486</v>
      </c>
      <c r="E191" s="25"/>
      <c r="F191" s="25"/>
      <c r="G191" s="25"/>
      <c r="H191" s="25"/>
      <c r="I191" s="25"/>
      <c r="J191" s="25"/>
      <c r="K191" s="25"/>
      <c r="L191" s="25"/>
      <c r="M191" s="25"/>
      <c r="N191" s="1936" t="s">
        <v>2475</v>
      </c>
      <c r="O191" s="1936"/>
      <c r="P191" s="1936"/>
      <c r="Q191" s="1936"/>
      <c r="R191" s="1936"/>
      <c r="S191" s="1936"/>
      <c r="T191" s="1936"/>
      <c r="U191" s="1936"/>
      <c r="V191" s="1936"/>
      <c r="W191" s="1936"/>
      <c r="X191" s="1936"/>
      <c r="Y191" s="1936"/>
      <c r="Z191" s="1936"/>
      <c r="AA191" s="1936"/>
      <c r="AB191" s="1936"/>
      <c r="AC191" s="1936"/>
      <c r="AD191" s="1936"/>
      <c r="AE191" s="1936"/>
      <c r="AF191" s="25"/>
      <c r="AH191" s="25"/>
      <c r="AJ191" s="3"/>
      <c r="AK191" s="3"/>
      <c r="AL191" s="3"/>
      <c r="AM191" s="673"/>
      <c r="AN191" s="673"/>
      <c r="AO191" s="673"/>
      <c r="AP191" s="673"/>
      <c r="AQ191" s="673"/>
      <c r="AR191" s="673"/>
      <c r="AS191" s="673"/>
      <c r="AT191" s="673"/>
      <c r="AU191" s="673"/>
      <c r="AV191" s="673"/>
      <c r="AW191" s="673"/>
      <c r="AX191" s="673"/>
      <c r="AY191" s="673"/>
      <c r="BC191" s="711" t="s">
        <v>1119</v>
      </c>
      <c r="BH191" s="711" t="s">
        <v>1119</v>
      </c>
      <c r="BN191" s="36" t="s">
        <v>714</v>
      </c>
      <c r="BT191" s="12" t="s">
        <v>756</v>
      </c>
    </row>
    <row r="192" spans="1:96" ht="13.2">
      <c r="A192" s="25"/>
      <c r="C192" s="46"/>
      <c r="D192" s="25"/>
      <c r="E192" s="25"/>
      <c r="F192" s="25"/>
      <c r="G192" s="25"/>
      <c r="H192" s="25"/>
      <c r="I192" s="25"/>
      <c r="J192" s="25"/>
      <c r="K192" s="25"/>
      <c r="L192" s="25"/>
      <c r="M192" s="170"/>
      <c r="N192" s="1937"/>
      <c r="O192" s="1937"/>
      <c r="P192" s="1937"/>
      <c r="Q192" s="1937"/>
      <c r="R192" s="1937"/>
      <c r="S192" s="1937"/>
      <c r="T192" s="1937"/>
      <c r="U192" s="1937"/>
      <c r="V192" s="1937"/>
      <c r="W192" s="1937"/>
      <c r="X192" s="1937"/>
      <c r="Y192" s="1937"/>
      <c r="Z192" s="1937"/>
      <c r="AA192" s="1937"/>
      <c r="AB192" s="1937"/>
      <c r="AC192" s="1937"/>
      <c r="AD192" s="1937"/>
      <c r="AE192" s="1937"/>
      <c r="AF192" s="25"/>
      <c r="AH192" s="25"/>
      <c r="AJ192" s="3"/>
      <c r="AK192" s="3"/>
      <c r="AL192" s="3"/>
      <c r="AM192" s="673"/>
      <c r="AN192" s="673"/>
      <c r="AO192" s="673"/>
      <c r="AP192" s="673"/>
      <c r="AQ192" s="673"/>
      <c r="AR192" s="673"/>
      <c r="AS192" s="673"/>
      <c r="AT192" s="673"/>
      <c r="AU192" s="673"/>
      <c r="AV192" s="673"/>
      <c r="AW192" s="673"/>
      <c r="AX192" s="673"/>
      <c r="AY192" s="673"/>
      <c r="BC192" s="711" t="s">
        <v>1122</v>
      </c>
      <c r="BH192" s="58" t="s">
        <v>1830</v>
      </c>
      <c r="BN192" s="36" t="s">
        <v>715</v>
      </c>
      <c r="BT192" s="12" t="s">
        <v>757</v>
      </c>
    </row>
    <row r="193" spans="1:96" ht="13.2">
      <c r="A193" s="25"/>
      <c r="B193" s="711"/>
      <c r="C193" s="46"/>
      <c r="D193" s="679" t="s">
        <v>2679</v>
      </c>
      <c r="E193" s="25"/>
      <c r="F193" s="25"/>
      <c r="G193" s="25"/>
      <c r="H193" s="25"/>
      <c r="I193" s="25"/>
      <c r="J193" s="25"/>
      <c r="K193" s="25"/>
      <c r="L193" s="25"/>
      <c r="M193" s="170"/>
      <c r="N193" s="941"/>
      <c r="O193" s="941"/>
      <c r="P193" s="941"/>
      <c r="Q193" s="941"/>
      <c r="R193" s="941"/>
      <c r="S193" s="941"/>
      <c r="T193" s="2086" t="s">
        <v>2476</v>
      </c>
      <c r="U193" s="2086"/>
      <c r="V193" s="2086"/>
      <c r="W193" s="2086"/>
      <c r="X193" s="2086"/>
      <c r="Y193" s="2086"/>
      <c r="Z193" s="2086"/>
      <c r="AA193" s="2086"/>
      <c r="AB193" s="2086"/>
      <c r="AC193" s="2086"/>
      <c r="AD193" s="2086"/>
      <c r="AE193" s="2086"/>
      <c r="AF193" s="2086"/>
      <c r="AG193" s="2086"/>
      <c r="AH193" s="2086"/>
      <c r="AI193" s="2086"/>
      <c r="AJ193" s="673"/>
      <c r="AK193" s="673"/>
      <c r="AL193" s="673"/>
      <c r="AM193" s="673"/>
      <c r="AN193" s="673"/>
      <c r="AO193" s="673"/>
      <c r="AP193" s="673"/>
      <c r="AQ193" s="673"/>
      <c r="AR193" s="673"/>
      <c r="AS193" s="673"/>
      <c r="AT193" s="673"/>
      <c r="AU193" s="673"/>
      <c r="AV193" s="673"/>
      <c r="AW193" s="673"/>
      <c r="AX193" s="673"/>
      <c r="AY193" s="673"/>
      <c r="BC193" s="711" t="s">
        <v>1121</v>
      </c>
      <c r="BH193" s="58" t="s">
        <v>1831</v>
      </c>
      <c r="BN193" s="36" t="s">
        <v>716</v>
      </c>
      <c r="BT193" s="12" t="s">
        <v>758</v>
      </c>
    </row>
    <row r="194" spans="1:96" ht="13.2">
      <c r="A194" s="25"/>
      <c r="C194" s="46"/>
      <c r="D194" s="25" t="s">
        <v>336</v>
      </c>
      <c r="E194" s="25"/>
      <c r="F194" s="25"/>
      <c r="G194" s="25"/>
      <c r="H194" s="25"/>
      <c r="I194" s="25"/>
      <c r="J194" s="25"/>
      <c r="K194" s="25"/>
      <c r="L194" s="25"/>
      <c r="M194" s="25"/>
      <c r="N194" s="25"/>
      <c r="O194" s="25"/>
      <c r="P194" s="25"/>
      <c r="Q194" s="25"/>
      <c r="R194" s="25"/>
      <c r="T194" s="1886" t="s">
        <v>694</v>
      </c>
      <c r="U194" s="1886"/>
      <c r="W194" s="25" t="s">
        <v>710</v>
      </c>
      <c r="X194" s="25"/>
      <c r="Y194" s="25"/>
      <c r="Z194" s="25"/>
      <c r="AA194" s="25"/>
      <c r="AB194" s="25"/>
      <c r="AC194" s="25"/>
      <c r="AD194" s="25"/>
      <c r="AE194" s="25"/>
      <c r="AF194" s="25"/>
      <c r="AG194" s="25"/>
      <c r="AH194" s="1886">
        <v>12</v>
      </c>
      <c r="AI194" s="1886"/>
      <c r="AJ194" s="3"/>
      <c r="AK194" s="3"/>
      <c r="AL194" s="3"/>
      <c r="AM194" s="673"/>
      <c r="AN194" s="673"/>
      <c r="AO194" s="673"/>
      <c r="AP194" s="673"/>
      <c r="AQ194" s="673"/>
      <c r="AR194" s="673"/>
      <c r="AS194" s="673"/>
      <c r="AT194" s="673"/>
      <c r="AU194" s="673"/>
      <c r="AV194" s="673"/>
      <c r="AW194" s="673"/>
      <c r="AX194" s="673"/>
      <c r="AY194" s="673"/>
      <c r="BC194" s="711" t="s">
        <v>1555</v>
      </c>
      <c r="BN194" s="36" t="s">
        <v>717</v>
      </c>
      <c r="BT194" s="12" t="s">
        <v>759</v>
      </c>
    </row>
    <row r="195" spans="1:96" s="711" customFormat="1" ht="13.2">
      <c r="A195" s="25"/>
      <c r="B195" s="12"/>
      <c r="C195" s="46"/>
      <c r="D195" s="25" t="s">
        <v>400</v>
      </c>
      <c r="E195" s="25"/>
      <c r="F195" s="25"/>
      <c r="G195" s="25"/>
      <c r="H195" s="25"/>
      <c r="I195" s="25"/>
      <c r="J195" s="25"/>
      <c r="K195" s="25"/>
      <c r="L195" s="25"/>
      <c r="M195" s="25"/>
      <c r="N195" s="25"/>
      <c r="O195" s="25"/>
      <c r="P195" s="25"/>
      <c r="Q195" s="25"/>
      <c r="R195" s="25"/>
      <c r="S195" s="12"/>
      <c r="T195" s="1907" t="s">
        <v>569</v>
      </c>
      <c r="U195" s="1907"/>
      <c r="V195" s="12"/>
      <c r="W195" s="25" t="s">
        <v>711</v>
      </c>
      <c r="X195" s="25"/>
      <c r="Y195" s="25"/>
      <c r="Z195" s="25"/>
      <c r="AA195" s="25"/>
      <c r="AB195" s="25"/>
      <c r="AC195" s="25"/>
      <c r="AD195" s="25"/>
      <c r="AE195" s="25"/>
      <c r="AF195" s="25"/>
      <c r="AG195" s="25"/>
      <c r="AH195" s="1886">
        <v>17</v>
      </c>
      <c r="AI195" s="1886"/>
      <c r="AJ195" s="3"/>
      <c r="AK195" s="3"/>
      <c r="AL195" s="3"/>
      <c r="AM195" s="673"/>
      <c r="AN195" s="673"/>
      <c r="AO195" s="673"/>
      <c r="AP195" s="673"/>
      <c r="AQ195" s="673"/>
      <c r="AR195" s="673"/>
      <c r="AS195" s="673"/>
      <c r="AT195" s="673"/>
      <c r="AU195" s="673"/>
      <c r="AV195" s="673"/>
      <c r="AW195" s="673"/>
      <c r="AX195" s="673"/>
      <c r="AY195" s="673"/>
      <c r="BC195" s="711" t="s">
        <v>2169</v>
      </c>
      <c r="BN195" s="36" t="s">
        <v>247</v>
      </c>
      <c r="BT195" s="12" t="s">
        <v>760</v>
      </c>
      <c r="CR195" s="25"/>
    </row>
    <row r="196" spans="1:96" ht="13.2">
      <c r="A196" s="25"/>
      <c r="C196" s="46"/>
      <c r="D196" s="177" t="s">
        <v>173</v>
      </c>
      <c r="E196" s="25"/>
      <c r="F196" s="25"/>
      <c r="G196" s="25"/>
      <c r="H196" s="25"/>
      <c r="I196" s="25"/>
      <c r="J196" s="25"/>
      <c r="K196" s="25"/>
      <c r="L196" s="25"/>
      <c r="M196" s="25"/>
      <c r="N196" s="25"/>
      <c r="O196" s="25"/>
      <c r="P196" s="25"/>
      <c r="Q196" s="25"/>
      <c r="R196" s="25"/>
      <c r="T196" s="1907" t="s">
        <v>694</v>
      </c>
      <c r="U196" s="1907"/>
      <c r="W196" s="25" t="s">
        <v>712</v>
      </c>
      <c r="X196" s="25"/>
      <c r="Y196" s="25"/>
      <c r="Z196" s="25"/>
      <c r="AA196" s="25"/>
      <c r="AB196" s="25"/>
      <c r="AC196" s="25"/>
      <c r="AD196" s="25"/>
      <c r="AE196" s="25"/>
      <c r="AF196" s="25"/>
      <c r="AG196" s="25"/>
      <c r="AH196" s="1886">
        <v>11</v>
      </c>
      <c r="AI196" s="1886"/>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1855</v>
      </c>
      <c r="E197" s="25"/>
      <c r="F197" s="25"/>
      <c r="G197" s="25"/>
      <c r="H197" s="25"/>
      <c r="I197" s="25"/>
      <c r="J197" s="25"/>
      <c r="K197" s="25"/>
      <c r="L197" s="25"/>
      <c r="M197" s="25"/>
      <c r="N197" s="25"/>
      <c r="O197" s="25"/>
      <c r="P197" s="25"/>
      <c r="Q197" s="25"/>
      <c r="R197" s="25"/>
      <c r="S197" s="711"/>
      <c r="T197" s="1907" t="s">
        <v>616</v>
      </c>
      <c r="U197" s="1907"/>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135" t="s">
        <v>2680</v>
      </c>
      <c r="Y198" s="1886" t="s">
        <v>694</v>
      </c>
      <c r="Z198" s="1886"/>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921</v>
      </c>
      <c r="BD198" s="672"/>
      <c r="BE198" s="21"/>
      <c r="BF198" s="21"/>
      <c r="BN198" s="36" t="s">
        <v>724</v>
      </c>
      <c r="BO198" s="12"/>
      <c r="BP198" s="12"/>
      <c r="BQ198" s="12"/>
      <c r="BR198" s="12"/>
      <c r="BS198" s="12"/>
      <c r="BT198" s="12" t="s">
        <v>196</v>
      </c>
      <c r="BU198" s="12"/>
      <c r="BV198" s="53"/>
      <c r="CR198" s="112"/>
    </row>
    <row r="199" spans="1:96" s="51" customFormat="1" ht="12.75" customHeight="1">
      <c r="A199" s="25"/>
      <c r="B199" s="12"/>
      <c r="C199" s="46"/>
      <c r="D199" s="3" t="s">
        <v>709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088"/>
      <c r="AI199" s="108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920</v>
      </c>
      <c r="BD199" s="709"/>
      <c r="BE199" s="21"/>
      <c r="BF199" s="21"/>
      <c r="BN199" s="36" t="s">
        <v>725</v>
      </c>
      <c r="BO199" s="711"/>
      <c r="BP199" s="711"/>
      <c r="BQ199" s="711"/>
      <c r="BR199" s="711"/>
      <c r="BS199" s="711"/>
      <c r="BT199" s="54" t="s">
        <v>197</v>
      </c>
      <c r="BU199" s="711"/>
      <c r="BV199" s="53"/>
      <c r="CR199" s="112"/>
    </row>
    <row r="200" spans="1:96" s="51" customFormat="1" ht="12.75" customHeight="1">
      <c r="A200" s="25"/>
      <c r="B200" s="12"/>
      <c r="C200" s="46"/>
      <c r="D200" s="333" t="s">
        <v>975</v>
      </c>
      <c r="E200" s="25"/>
      <c r="F200" s="25"/>
      <c r="G200" s="25"/>
      <c r="H200" s="25"/>
      <c r="I200" s="25"/>
      <c r="J200" s="25"/>
      <c r="K200" s="25"/>
      <c r="L200" s="25"/>
      <c r="M200" s="25"/>
      <c r="N200" s="25"/>
      <c r="O200" s="25"/>
      <c r="P200" s="25"/>
      <c r="Q200" s="25"/>
      <c r="R200" s="25"/>
      <c r="S200" s="39"/>
      <c r="T200" s="235"/>
      <c r="U200" s="235"/>
      <c r="V200" s="39"/>
      <c r="W200" s="333" t="s">
        <v>974</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1145</v>
      </c>
      <c r="BD200" s="675"/>
      <c r="BE200" s="21"/>
      <c r="BF200" s="21"/>
      <c r="BN200" s="36" t="s">
        <v>726</v>
      </c>
      <c r="BO200" s="12"/>
      <c r="BP200" s="12"/>
      <c r="BQ200" s="12"/>
      <c r="BR200" s="12"/>
      <c r="BS200" s="12"/>
      <c r="BT200" s="54" t="s">
        <v>198</v>
      </c>
      <c r="BU200" s="12"/>
      <c r="CR200" s="112"/>
    </row>
    <row r="201" spans="1:96" s="51" customFormat="1" ht="13.2">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636</v>
      </c>
      <c r="BD201" s="675"/>
      <c r="BE201" s="21"/>
      <c r="BF201" s="21"/>
      <c r="BN201" s="36" t="s">
        <v>727</v>
      </c>
      <c r="BO201" s="53"/>
      <c r="BP201" s="54"/>
      <c r="BQ201" s="54"/>
      <c r="BR201" s="54"/>
      <c r="BS201" s="54"/>
      <c r="BT201" s="55" t="s">
        <v>199</v>
      </c>
      <c r="BU201" s="12"/>
      <c r="BV201" s="56"/>
      <c r="BW201" s="56"/>
      <c r="BX201" s="56"/>
      <c r="BY201" s="56"/>
      <c r="BZ201" s="56"/>
      <c r="CA201" s="56"/>
      <c r="CR201" s="112"/>
    </row>
    <row r="202" spans="1:96" ht="12.75" customHeight="1">
      <c r="A202" s="37" t="s">
        <v>611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1146</v>
      </c>
      <c r="BD202" s="675"/>
      <c r="BN202" s="36" t="s">
        <v>728</v>
      </c>
      <c r="BO202" s="51"/>
      <c r="BP202" s="54"/>
      <c r="BQ202" s="54"/>
      <c r="BR202" s="54"/>
      <c r="BS202" s="54"/>
      <c r="BT202" s="55" t="s">
        <v>200</v>
      </c>
    </row>
    <row r="203" spans="1:96" ht="12.75" customHeight="1">
      <c r="A203" s="25"/>
      <c r="C203" s="25"/>
      <c r="D203" s="1888" t="s">
        <v>399</v>
      </c>
      <c r="E203" s="1888"/>
      <c r="F203" s="1888"/>
      <c r="G203" s="1888"/>
      <c r="H203" s="1888"/>
      <c r="I203" s="1888"/>
      <c r="J203" s="1888"/>
      <c r="K203" s="1888"/>
      <c r="L203" s="1888"/>
      <c r="M203" s="1888"/>
      <c r="P203" s="2070">
        <f>M26</f>
        <v>4278071</v>
      </c>
      <c r="Q203" s="2064"/>
      <c r="R203" s="2064"/>
      <c r="S203" s="2064"/>
      <c r="T203" s="2064"/>
      <c r="U203" s="2064"/>
      <c r="V203" s="25"/>
      <c r="W203" s="25"/>
      <c r="X203" s="25"/>
      <c r="Y203" s="25"/>
      <c r="Z203" s="2062" t="s">
        <v>1345</v>
      </c>
      <c r="AA203" s="2062"/>
      <c r="AB203" s="2062"/>
      <c r="AC203" s="2062"/>
      <c r="AD203" s="2062"/>
      <c r="AE203" s="2062"/>
      <c r="AF203" s="2062"/>
      <c r="AG203" s="25"/>
      <c r="AH203" s="25"/>
      <c r="AI203" s="25"/>
      <c r="AJ203" s="3"/>
      <c r="AK203" s="3"/>
      <c r="AL203" s="3"/>
      <c r="AM203" s="673"/>
      <c r="AN203" s="673"/>
      <c r="AO203" s="673"/>
      <c r="AP203" s="673"/>
      <c r="AQ203" s="673"/>
      <c r="AR203" s="673"/>
      <c r="AS203" s="673"/>
      <c r="AT203" s="673"/>
      <c r="AU203" s="673"/>
      <c r="AV203" s="673"/>
      <c r="AW203" s="673"/>
      <c r="AX203" s="673"/>
      <c r="AY203" s="673"/>
      <c r="BC203" s="673" t="s">
        <v>1147</v>
      </c>
      <c r="BD203" s="672"/>
      <c r="BN203" s="36" t="s">
        <v>729</v>
      </c>
      <c r="BO203" s="51"/>
      <c r="BP203" s="54"/>
      <c r="BQ203" s="54"/>
      <c r="BR203" s="54"/>
      <c r="BS203" s="55"/>
      <c r="BT203" s="55" t="s">
        <v>201</v>
      </c>
    </row>
    <row r="204" spans="1:96" ht="12.75" customHeight="1">
      <c r="A204" s="25"/>
      <c r="C204" s="45"/>
      <c r="D204" s="2087" t="s">
        <v>1421</v>
      </c>
      <c r="E204" s="1888"/>
      <c r="F204" s="1888"/>
      <c r="G204" s="1888"/>
      <c r="H204" s="1888"/>
      <c r="I204" s="1888"/>
      <c r="J204" s="1888"/>
      <c r="K204" s="1888"/>
      <c r="L204" s="1888"/>
      <c r="M204" s="1888"/>
      <c r="P204" s="2064">
        <f>M27</f>
        <v>0</v>
      </c>
      <c r="Q204" s="2064"/>
      <c r="R204" s="2064"/>
      <c r="S204" s="2064"/>
      <c r="T204" s="2064"/>
      <c r="U204" s="2064"/>
      <c r="V204" s="47"/>
      <c r="W204" s="58" t="s">
        <v>2030</v>
      </c>
      <c r="Z204" s="2062"/>
      <c r="AA204" s="2062"/>
      <c r="AB204" s="2062"/>
      <c r="AC204" s="2062"/>
      <c r="AD204" s="2062"/>
      <c r="AE204" s="2062"/>
      <c r="AF204" s="2062"/>
      <c r="AG204" s="25" t="s">
        <v>1422</v>
      </c>
      <c r="AH204" s="25"/>
      <c r="AI204" s="25"/>
      <c r="AJ204" s="25"/>
      <c r="AK204" s="25"/>
      <c r="AL204" s="25"/>
      <c r="AM204" s="25"/>
      <c r="AN204" s="25"/>
      <c r="AO204" s="25"/>
      <c r="AP204" s="1886" t="s">
        <v>694</v>
      </c>
      <c r="AQ204" s="1886"/>
      <c r="AR204" s="673"/>
      <c r="AS204" s="673"/>
      <c r="AT204" s="673"/>
      <c r="AU204" s="673"/>
      <c r="AV204" s="673"/>
      <c r="AW204" s="673"/>
      <c r="AX204" s="673"/>
      <c r="AY204" s="673"/>
      <c r="BC204" s="676" t="s">
        <v>635</v>
      </c>
      <c r="BD204" s="672"/>
      <c r="BN204" s="36" t="s">
        <v>730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063"/>
      <c r="AA205" s="2063"/>
      <c r="AB205" s="2063"/>
      <c r="AC205" s="2063"/>
      <c r="AD205" s="2063"/>
      <c r="AE205" s="2063"/>
      <c r="AF205" s="2063"/>
      <c r="AH205" s="25"/>
      <c r="AJ205" s="3"/>
      <c r="AK205" s="3"/>
      <c r="AL205" s="3"/>
      <c r="AM205" s="673"/>
      <c r="AN205" s="673"/>
      <c r="AO205" s="673"/>
      <c r="AP205" s="673"/>
      <c r="AQ205" s="673"/>
      <c r="AR205" s="673"/>
      <c r="AS205" s="673"/>
      <c r="AT205" s="673"/>
      <c r="AU205" s="673"/>
      <c r="AV205" s="673"/>
      <c r="AW205" s="673"/>
      <c r="AX205" s="673"/>
      <c r="AY205" s="673"/>
      <c r="BC205" s="676" t="s">
        <v>1104</v>
      </c>
      <c r="BD205" s="672"/>
      <c r="BN205" s="36" t="s">
        <v>114</v>
      </c>
      <c r="BT205" s="55" t="s">
        <v>178</v>
      </c>
      <c r="BU205" s="51"/>
    </row>
    <row r="206" spans="1:96" ht="13.2">
      <c r="A206" s="49" t="s">
        <v>614</v>
      </c>
      <c r="C206" s="49" t="s">
        <v>575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1148</v>
      </c>
      <c r="BD206" s="672"/>
      <c r="BN206" s="36" t="s">
        <v>115</v>
      </c>
      <c r="BT206" s="55" t="s">
        <v>203</v>
      </c>
      <c r="BU206" s="56"/>
    </row>
    <row r="207" spans="1:96" ht="13.2">
      <c r="A207" s="25"/>
      <c r="C207" s="45"/>
      <c r="D207" s="2046" t="s">
        <v>2737</v>
      </c>
      <c r="E207" s="2046"/>
      <c r="F207" s="2046"/>
      <c r="G207" s="2046"/>
      <c r="H207" s="2046"/>
      <c r="I207" s="2046"/>
      <c r="J207" s="2046"/>
      <c r="K207" s="2046"/>
      <c r="L207" s="2046"/>
      <c r="M207" s="20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1379</v>
      </c>
      <c r="BD207" s="672"/>
      <c r="BN207" s="36" t="s">
        <v>48</v>
      </c>
      <c r="BT207" s="55" t="s">
        <v>204</v>
      </c>
    </row>
    <row r="208" spans="1:96" ht="13.2">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1149</v>
      </c>
      <c r="BD208" s="672"/>
      <c r="BN208" s="36" t="s">
        <v>49</v>
      </c>
      <c r="BT208" s="55" t="s">
        <v>205</v>
      </c>
    </row>
    <row r="209" spans="1:96" ht="13.2">
      <c r="A209" s="50" t="s">
        <v>615</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684</v>
      </c>
      <c r="BD209" s="672"/>
      <c r="BN209" s="36" t="s">
        <v>50</v>
      </c>
      <c r="BT209" s="55" t="s">
        <v>206</v>
      </c>
    </row>
    <row r="210" spans="1:96" ht="13.2">
      <c r="C210" s="45"/>
      <c r="D210" s="2046" t="s">
        <v>2169</v>
      </c>
      <c r="E210" s="2046"/>
      <c r="F210" s="2046"/>
      <c r="G210" s="2046"/>
      <c r="H210" s="2046"/>
      <c r="I210" s="2046"/>
      <c r="J210" s="2046"/>
      <c r="K210" s="2046"/>
      <c r="L210" s="2046"/>
      <c r="M210" s="204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3.2">
      <c r="A211" s="711"/>
      <c r="B211" s="711"/>
      <c r="C211" s="45"/>
      <c r="D211" s="711" t="s">
        <v>1411</v>
      </c>
      <c r="E211" s="711"/>
      <c r="F211" s="711"/>
      <c r="G211" s="711"/>
      <c r="H211" s="711"/>
      <c r="I211" s="711"/>
      <c r="J211" s="711"/>
      <c r="K211" s="711"/>
      <c r="L211" s="711"/>
      <c r="M211" s="711"/>
      <c r="N211" s="711"/>
      <c r="O211" s="711"/>
      <c r="P211" s="711"/>
      <c r="Q211" s="711"/>
      <c r="R211" s="711"/>
      <c r="S211" s="711"/>
      <c r="T211" s="711"/>
      <c r="U211" s="711"/>
      <c r="V211" s="711"/>
      <c r="W211" s="711"/>
      <c r="X211" s="711"/>
      <c r="Y211" s="1886"/>
      <c r="Z211" s="1886"/>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2">
      <c r="D212" s="58" t="s">
        <v>1829</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3.2">
      <c r="D213" s="1940" t="s">
        <v>616</v>
      </c>
      <c r="E213" s="1940"/>
      <c r="F213" s="1940"/>
      <c r="G213" s="1940"/>
      <c r="H213" s="1940"/>
      <c r="I213" s="1940"/>
      <c r="J213" s="1940"/>
      <c r="K213" s="1940"/>
      <c r="L213" s="1940"/>
      <c r="M213" s="1940"/>
      <c r="N213" s="1940"/>
      <c r="O213" s="1940"/>
      <c r="P213" s="1940"/>
      <c r="Q213" s="1940"/>
      <c r="R213" s="1940"/>
      <c r="S213" s="1940"/>
      <c r="T213" s="1940"/>
      <c r="U213" s="1940"/>
      <c r="V213" s="1940"/>
      <c r="W213" s="1940"/>
      <c r="X213" s="1940"/>
      <c r="Y213" s="1940"/>
      <c r="Z213" s="1940"/>
      <c r="AG213" s="673"/>
      <c r="AJ213" s="673"/>
      <c r="AK213" s="673"/>
      <c r="AL213" s="673"/>
      <c r="AM213" s="673"/>
      <c r="AN213" s="673"/>
      <c r="AO213" s="673"/>
      <c r="AP213" s="673"/>
      <c r="AQ213" s="673"/>
      <c r="AR213" s="673"/>
      <c r="AS213" s="673"/>
      <c r="AT213" s="673"/>
      <c r="AU213" s="673"/>
      <c r="AV213" s="673"/>
      <c r="AW213" s="673"/>
      <c r="AX213" s="673"/>
      <c r="AY213" s="673"/>
      <c r="BC213" s="12" t="s">
        <v>550</v>
      </c>
      <c r="BN213" s="36" t="s">
        <v>53</v>
      </c>
      <c r="BT213" s="55" t="s">
        <v>209</v>
      </c>
      <c r="CR213" s="25"/>
    </row>
    <row r="214" spans="1:96" ht="13.2">
      <c r="A214" s="711"/>
      <c r="B214" s="711"/>
      <c r="C214" s="711"/>
      <c r="D214" s="58" t="s">
        <v>1856</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1939"/>
      <c r="AC214" s="1939"/>
      <c r="AD214" s="1939"/>
      <c r="AE214" s="1939"/>
      <c r="AF214" s="1939"/>
      <c r="AG214" s="1939"/>
      <c r="AH214" s="1939"/>
      <c r="AI214" s="1939"/>
      <c r="AJ214" s="1939"/>
      <c r="AK214" s="1939"/>
      <c r="AL214" s="1939"/>
      <c r="AM214" s="46"/>
      <c r="AN214" s="46"/>
      <c r="AO214" s="46"/>
      <c r="AP214" s="46"/>
      <c r="AQ214" s="46"/>
      <c r="AR214" s="46"/>
      <c r="AS214" s="46"/>
      <c r="AT214" s="46"/>
      <c r="AU214" s="46"/>
      <c r="AV214" s="46"/>
      <c r="AW214" s="46"/>
      <c r="AX214" s="46"/>
      <c r="AY214" s="46"/>
      <c r="AZ214" s="711"/>
      <c r="BA214" s="711"/>
      <c r="BC214" s="12" t="s">
        <v>554</v>
      </c>
      <c r="BN214" s="36" t="s">
        <v>331</v>
      </c>
      <c r="BT214" s="55" t="s">
        <v>210</v>
      </c>
    </row>
    <row r="215" spans="1:96" s="711" customFormat="1" ht="12.75" customHeight="1">
      <c r="A215" s="12"/>
      <c r="B215" s="12"/>
      <c r="C215" s="12"/>
      <c r="D215" s="58" t="s">
        <v>1854</v>
      </c>
      <c r="Z215" s="69"/>
      <c r="AB215" s="1939"/>
      <c r="AC215" s="1939"/>
      <c r="AD215" s="1939"/>
      <c r="AE215" s="1939"/>
      <c r="AF215" s="1939"/>
      <c r="AG215" s="1939"/>
      <c r="AH215" s="1939"/>
      <c r="AI215" s="1939"/>
      <c r="AJ215" s="1939"/>
      <c r="AK215" s="1939"/>
      <c r="AL215" s="1939"/>
      <c r="AM215" s="46"/>
      <c r="AN215" s="46"/>
      <c r="AO215" s="46"/>
      <c r="AP215" s="46"/>
      <c r="AQ215" s="46"/>
      <c r="AR215" s="46"/>
      <c r="AS215" s="46"/>
      <c r="AT215" s="46"/>
      <c r="AU215" s="46"/>
      <c r="AV215" s="46"/>
      <c r="AW215" s="46"/>
      <c r="AX215" s="46"/>
      <c r="AY215" s="46"/>
      <c r="BC215" s="39" t="s">
        <v>551</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590</v>
      </c>
      <c r="CR216" s="25"/>
    </row>
    <row r="217" spans="1:96" s="711" customFormat="1" ht="13.2">
      <c r="A217" s="497" t="s">
        <v>617</v>
      </c>
      <c r="B217" s="39"/>
      <c r="C217" s="497" t="s">
        <v>1387</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552</v>
      </c>
      <c r="CR217" s="25"/>
    </row>
    <row r="218" spans="1:96" ht="13.2">
      <c r="A218" s="50"/>
      <c r="C218" s="50"/>
      <c r="D218" s="7" t="s">
        <v>1057</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553</v>
      </c>
    </row>
    <row r="219" spans="1:96" s="39" customFormat="1" ht="12.75" customHeight="1">
      <c r="A219" s="50"/>
      <c r="B219" s="12"/>
      <c r="C219" s="50"/>
      <c r="D219" s="2048" t="s">
        <v>684</v>
      </c>
      <c r="E219" s="2046"/>
      <c r="F219" s="2046"/>
      <c r="G219" s="2046"/>
      <c r="H219" s="2046"/>
      <c r="I219" s="2046"/>
      <c r="J219" s="2046"/>
      <c r="K219" s="2046"/>
      <c r="L219" s="2046"/>
      <c r="M219" s="2046"/>
      <c r="N219" s="2046"/>
      <c r="O219" s="2046"/>
      <c r="P219" s="2046"/>
      <c r="Q219" s="2046"/>
      <c r="R219" s="2046"/>
      <c r="S219" s="2046"/>
      <c r="T219" s="2046"/>
      <c r="U219" s="2046"/>
      <c r="V219" s="2046"/>
      <c r="W219" s="2046"/>
      <c r="X219" s="2046"/>
      <c r="Y219" s="2046"/>
      <c r="Z219" s="2046"/>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3.2">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3.2">
      <c r="A221" s="1933" t="s">
        <v>564</v>
      </c>
      <c r="B221" s="1933"/>
      <c r="C221" s="1933"/>
      <c r="D221" s="1933"/>
      <c r="E221" s="1933"/>
      <c r="F221" s="1933"/>
      <c r="G221" s="1933"/>
      <c r="H221" s="1933"/>
      <c r="I221" s="1933"/>
      <c r="J221" s="1933"/>
      <c r="K221" s="1933"/>
      <c r="L221" s="1933"/>
      <c r="M221" s="1933"/>
      <c r="N221" s="1933"/>
      <c r="O221" s="1933"/>
      <c r="P221" s="1933"/>
      <c r="Q221" s="1933"/>
      <c r="R221" s="1933"/>
      <c r="S221" s="1933"/>
      <c r="T221" s="1933"/>
      <c r="U221" s="1933"/>
      <c r="V221" s="1933"/>
      <c r="W221" s="1933"/>
      <c r="X221" s="1933"/>
      <c r="Y221" s="1933"/>
      <c r="Z221" s="1933"/>
      <c r="AA221" s="1933"/>
      <c r="AB221" s="1933"/>
      <c r="AC221" s="1933"/>
      <c r="AD221" s="1933"/>
      <c r="AE221" s="1933"/>
      <c r="AF221" s="1933"/>
      <c r="AG221" s="1933"/>
      <c r="AH221" s="1933"/>
      <c r="AI221" s="1933"/>
      <c r="AJ221" s="1933"/>
      <c r="AK221" s="1933"/>
      <c r="AL221" s="1933"/>
      <c r="AM221" s="144"/>
      <c r="AN221" s="144"/>
      <c r="AO221" s="144"/>
      <c r="AP221" s="144"/>
      <c r="AQ221" s="144"/>
      <c r="AR221" s="144"/>
      <c r="AS221" s="144"/>
      <c r="AT221" s="144"/>
      <c r="AU221" s="144"/>
      <c r="AV221" s="144"/>
      <c r="AW221" s="144"/>
      <c r="AX221" s="144"/>
      <c r="AY221" s="144"/>
      <c r="BA221" s="58"/>
    </row>
    <row r="222" spans="1:96" ht="13.8" thickBot="1">
      <c r="A222" s="1934"/>
      <c r="B222" s="1934"/>
      <c r="C222" s="1934"/>
      <c r="D222" s="1934"/>
      <c r="E222" s="1934"/>
      <c r="F222" s="1934"/>
      <c r="G222" s="1934"/>
      <c r="H222" s="1934"/>
      <c r="I222" s="1934"/>
      <c r="J222" s="1934"/>
      <c r="K222" s="1934"/>
      <c r="L222" s="1934"/>
      <c r="M222" s="1934"/>
      <c r="N222" s="1934"/>
      <c r="O222" s="1934"/>
      <c r="P222" s="1934"/>
      <c r="Q222" s="1934"/>
      <c r="R222" s="1934"/>
      <c r="S222" s="1934"/>
      <c r="T222" s="1934"/>
      <c r="U222" s="1934"/>
      <c r="V222" s="1934"/>
      <c r="W222" s="1934"/>
      <c r="X222" s="1934"/>
      <c r="Y222" s="1934"/>
      <c r="Z222" s="1934"/>
      <c r="AA222" s="1934"/>
      <c r="AB222" s="1934"/>
      <c r="AC222" s="1934"/>
      <c r="AD222" s="1934"/>
      <c r="AE222" s="1934"/>
      <c r="AF222" s="1934"/>
      <c r="AG222" s="1934"/>
      <c r="AH222" s="1934"/>
      <c r="AI222" s="1934"/>
      <c r="AJ222" s="1934"/>
      <c r="AK222" s="1934"/>
      <c r="AL222" s="1934"/>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324</v>
      </c>
      <c r="B224" s="50"/>
      <c r="C224" s="50" t="s">
        <v>2681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886" t="s">
        <v>616</v>
      </c>
      <c r="AJ225" s="1886"/>
      <c r="AL225" s="58"/>
      <c r="AM225" s="239"/>
      <c r="AN225" s="239"/>
      <c r="AO225" s="239"/>
      <c r="AP225" s="239"/>
      <c r="AQ225" s="239"/>
      <c r="AR225" s="239"/>
      <c r="AS225" s="239"/>
      <c r="AT225" s="239"/>
      <c r="AU225" s="239"/>
      <c r="AV225" s="239"/>
      <c r="AW225" s="239"/>
      <c r="AX225" s="239"/>
      <c r="AY225" s="239"/>
      <c r="BO225" s="61"/>
    </row>
    <row r="226" spans="1:69" ht="13.2">
      <c r="B226" s="30"/>
      <c r="D226" s="7" t="s">
        <v>578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886" t="s">
        <v>616</v>
      </c>
      <c r="AJ226" s="1886"/>
      <c r="AL226" s="58"/>
      <c r="AM226" s="239"/>
      <c r="AN226" s="239"/>
      <c r="AO226" s="239"/>
      <c r="AP226" s="239"/>
      <c r="AQ226" s="239"/>
      <c r="AR226" s="239"/>
      <c r="AS226" s="239"/>
      <c r="AT226" s="239"/>
      <c r="AU226" s="239"/>
      <c r="AV226" s="239"/>
      <c r="AW226" s="239"/>
      <c r="AX226" s="239"/>
      <c r="AY226" s="239"/>
      <c r="AZ226" s="7"/>
      <c r="BB226" s="379" t="s">
        <v>562</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886" t="s">
        <v>569</v>
      </c>
      <c r="AJ227" s="1886"/>
      <c r="AL227" s="58"/>
      <c r="AM227" s="239"/>
      <c r="AN227" s="239"/>
      <c r="AO227" s="239"/>
      <c r="AP227" s="239"/>
      <c r="AQ227" s="239"/>
      <c r="AR227" s="239"/>
      <c r="AS227" s="239"/>
      <c r="AT227" s="239"/>
      <c r="AU227" s="239"/>
      <c r="AV227" s="239"/>
      <c r="AW227" s="239"/>
      <c r="AX227" s="239"/>
      <c r="AY227" s="239"/>
      <c r="BA227" s="58"/>
      <c r="BB227" s="379" t="s">
        <v>562</v>
      </c>
      <c r="BG227" s="386">
        <f>IF(AND(AND($M$248="for profit",$M$256="nonprofit",$M$264="for profit")),2,0)</f>
        <v>0</v>
      </c>
      <c r="BQ227" s="61"/>
    </row>
    <row r="228" spans="1:69" ht="13.2">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886" t="s">
        <v>616</v>
      </c>
      <c r="AJ228" s="1886"/>
      <c r="AL228" s="58"/>
      <c r="AM228" s="239"/>
      <c r="AN228" s="239"/>
      <c r="AO228" s="239"/>
      <c r="AP228" s="239"/>
      <c r="AQ228" s="239"/>
      <c r="AR228" s="239"/>
      <c r="AS228" s="239"/>
      <c r="AT228" s="239"/>
      <c r="AU228" s="239"/>
      <c r="AV228" s="239"/>
      <c r="AW228" s="239"/>
      <c r="AX228" s="239"/>
      <c r="AY228" s="239"/>
      <c r="AZ228" s="7"/>
      <c r="BA228" s="58"/>
      <c r="BB228" s="380" t="s">
        <v>562</v>
      </c>
      <c r="BG228" s="386">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562</v>
      </c>
      <c r="BG229" s="386">
        <f>IF(AND(AND($M$248="for profit",$M$256="nonprofit",$M$264="(select one)")),2,0)</f>
        <v>0</v>
      </c>
      <c r="BO229" s="61"/>
    </row>
    <row r="230" spans="1:69" ht="13.2">
      <c r="A230" s="50" t="s">
        <v>601</v>
      </c>
      <c r="B230" s="30"/>
      <c r="C230" s="50" t="s">
        <v>2682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562</v>
      </c>
      <c r="BG230" s="385">
        <f>IF(AND(AND($M$248="nonprofit",$M$256="for profit",$M$264="(select one)")),2,0)</f>
        <v>0</v>
      </c>
      <c r="BO230" s="61"/>
    </row>
    <row r="231" spans="1:69" ht="13.2">
      <c r="D231" s="57" t="s">
        <v>494</v>
      </c>
      <c r="E231" s="57"/>
      <c r="F231" s="57"/>
      <c r="G231" s="57"/>
      <c r="H231" s="57"/>
      <c r="I231" s="57"/>
      <c r="J231" s="57"/>
      <c r="K231" s="7"/>
      <c r="M231" s="2073" t="str">
        <f>H16</f>
        <v>The Kelsey Civic Center, L.P.</v>
      </c>
      <c r="N231" s="2073"/>
      <c r="O231" s="2073"/>
      <c r="P231" s="2073"/>
      <c r="Q231" s="2073"/>
      <c r="R231" s="2073"/>
      <c r="S231" s="2073"/>
      <c r="T231" s="2073"/>
      <c r="U231" s="2073"/>
      <c r="V231" s="2073"/>
      <c r="W231" s="2073"/>
      <c r="X231" s="2073"/>
      <c r="Y231" s="2073"/>
      <c r="Z231" s="2073"/>
      <c r="AA231" s="2073"/>
      <c r="AB231" s="2073"/>
      <c r="AC231" s="2073"/>
      <c r="AD231" s="2073"/>
      <c r="AE231" s="2073"/>
      <c r="AF231" s="2073"/>
      <c r="AG231" s="2073"/>
      <c r="AH231" s="2073"/>
      <c r="AI231" s="2073"/>
      <c r="AJ231" s="2073"/>
      <c r="AK231" s="2073"/>
      <c r="BA231" s="58"/>
      <c r="BB231" s="381"/>
      <c r="BG231" s="384"/>
      <c r="BQ231" s="61"/>
    </row>
    <row r="232" spans="1:69" ht="13.2">
      <c r="D232" s="57" t="s">
        <v>90</v>
      </c>
      <c r="E232" s="57"/>
      <c r="F232" s="57"/>
      <c r="G232" s="57"/>
      <c r="H232" s="57"/>
      <c r="I232" s="57"/>
      <c r="J232" s="57"/>
      <c r="K232" s="7"/>
      <c r="M232" s="2048" t="s">
        <v>2477</v>
      </c>
      <c r="N232" s="2046"/>
      <c r="O232" s="2046"/>
      <c r="P232" s="2046"/>
      <c r="Q232" s="2046"/>
      <c r="R232" s="2046"/>
      <c r="S232" s="2046"/>
      <c r="T232" s="2046"/>
      <c r="U232" s="2046"/>
      <c r="V232" s="2046"/>
      <c r="W232" s="2046"/>
      <c r="X232" s="2046"/>
      <c r="Y232" s="2046"/>
      <c r="Z232" s="2046"/>
      <c r="AA232" s="2046"/>
      <c r="AB232" s="2046"/>
      <c r="AC232" s="2046"/>
      <c r="AD232" s="2046"/>
      <c r="AE232" s="2046"/>
      <c r="AZ232" s="7"/>
      <c r="BA232" s="58"/>
      <c r="BB232" s="334" t="s">
        <v>562</v>
      </c>
      <c r="BG232" s="386">
        <f>IF(AND(AND($M$248="nonprofit",$M$256="nonprofit",$M$264="for profit")),2,0)</f>
        <v>0</v>
      </c>
      <c r="BQ232" s="61"/>
    </row>
    <row r="233" spans="1:69" ht="13.2">
      <c r="D233" s="57" t="s">
        <v>605</v>
      </c>
      <c r="E233" s="57"/>
      <c r="M233" s="2048" t="s">
        <v>759</v>
      </c>
      <c r="N233" s="2046"/>
      <c r="O233" s="2046"/>
      <c r="P233" s="2046"/>
      <c r="Q233" s="2046"/>
      <c r="R233" s="2046"/>
      <c r="S233" s="2046"/>
      <c r="T233" s="2046"/>
      <c r="V233" s="59" t="s">
        <v>91</v>
      </c>
      <c r="W233" s="1971" t="s">
        <v>2478</v>
      </c>
      <c r="X233" s="1878"/>
      <c r="Y233" s="57" t="s">
        <v>608</v>
      </c>
      <c r="AC233" s="2046">
        <v>94102</v>
      </c>
      <c r="AD233" s="2046"/>
      <c r="AE233" s="2046"/>
      <c r="BB233" s="334" t="s">
        <v>562</v>
      </c>
      <c r="BG233" s="386">
        <f>IF(AND(AND($M$248="nonprofit",$M$256="for profit",$M$264="nonprofit")),2,0)</f>
        <v>0</v>
      </c>
    </row>
    <row r="234" spans="1:69" ht="13.2">
      <c r="D234" s="60" t="s">
        <v>92</v>
      </c>
      <c r="E234" s="7"/>
      <c r="F234" s="7"/>
      <c r="G234" s="7"/>
      <c r="H234" s="7"/>
      <c r="I234" s="7"/>
      <c r="J234" s="7"/>
      <c r="K234" s="29"/>
      <c r="M234" s="2048" t="s">
        <v>2479</v>
      </c>
      <c r="N234" s="2046"/>
      <c r="O234" s="2046"/>
      <c r="P234" s="2046"/>
      <c r="Q234" s="2046"/>
      <c r="R234" s="2046"/>
      <c r="S234" s="2046"/>
      <c r="T234" s="2046"/>
      <c r="U234" s="2046"/>
      <c r="V234" s="2046"/>
      <c r="W234" s="2046"/>
      <c r="X234" s="2046"/>
      <c r="Y234" s="2046"/>
      <c r="Z234" s="2046"/>
      <c r="AA234" s="2046"/>
      <c r="AB234" s="2046"/>
      <c r="AC234" s="2046"/>
      <c r="AD234" s="2046"/>
      <c r="AE234" s="2046"/>
      <c r="AI234" s="7"/>
      <c r="AJ234" s="7"/>
      <c r="AK234" s="7"/>
      <c r="AL234" s="7"/>
      <c r="AM234" s="130"/>
      <c r="AN234" s="130"/>
      <c r="AO234" s="130"/>
      <c r="AP234" s="130"/>
      <c r="AQ234" s="130"/>
      <c r="AR234" s="130"/>
      <c r="AS234" s="130"/>
      <c r="AT234" s="130"/>
      <c r="AU234" s="130"/>
      <c r="AV234" s="130"/>
      <c r="AW234" s="130"/>
      <c r="AX234" s="130"/>
      <c r="AY234" s="130"/>
      <c r="AZ234" s="7"/>
      <c r="BB234" s="334" t="s">
        <v>562</v>
      </c>
      <c r="BG234" s="385">
        <f>IF(AND(AND($M$248="for profit",$M$256="nonprofit",$M$264="nonprofit")),2,0)</f>
        <v>0</v>
      </c>
      <c r="BO234" s="61"/>
    </row>
    <row r="235" spans="1:69" ht="13.2">
      <c r="D235" s="60" t="s">
        <v>93</v>
      </c>
      <c r="E235" s="7"/>
      <c r="F235" s="7"/>
      <c r="M235" s="1997" t="s">
        <v>2480</v>
      </c>
      <c r="N235" s="1912"/>
      <c r="O235" s="1912"/>
      <c r="P235" s="1912"/>
      <c r="Q235" s="1912"/>
      <c r="R235" s="1912"/>
      <c r="S235" s="7" t="s">
        <v>211</v>
      </c>
      <c r="T235" s="7"/>
      <c r="U235" s="1878"/>
      <c r="V235" s="1878"/>
      <c r="W235" s="1878"/>
      <c r="X235" s="7" t="s">
        <v>94</v>
      </c>
      <c r="Z235" s="1997" t="s">
        <v>2481</v>
      </c>
      <c r="AA235" s="1912"/>
      <c r="AB235" s="1912"/>
      <c r="AC235" s="1912"/>
      <c r="AD235" s="1912"/>
      <c r="AE235" s="1912"/>
      <c r="BB235" s="382"/>
      <c r="BG235" s="383"/>
    </row>
    <row r="236" spans="1:69" ht="13.2">
      <c r="D236" s="60" t="s">
        <v>95</v>
      </c>
      <c r="E236" s="7"/>
      <c r="F236" s="7"/>
      <c r="M236" s="2051" t="s">
        <v>2482</v>
      </c>
      <c r="N236" s="2051"/>
      <c r="O236" s="2051"/>
      <c r="P236" s="2051"/>
      <c r="Q236" s="2051"/>
      <c r="R236" s="2051"/>
      <c r="S236" s="2051"/>
      <c r="T236" s="2051"/>
      <c r="U236" s="2051"/>
      <c r="V236" s="2051"/>
      <c r="W236" s="2051"/>
      <c r="X236" s="2051"/>
      <c r="Y236" s="2051"/>
      <c r="Z236" s="2051"/>
      <c r="AA236" s="2051"/>
      <c r="AB236" s="2051"/>
      <c r="AC236" s="2051"/>
      <c r="AD236" s="2051"/>
      <c r="AE236" s="205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561</v>
      </c>
      <c r="BG236" s="386">
        <f>IF(AND(AND($M$248="nonprofit",$M$256="nonprofit",$M$264="(select one)")),1,0)</f>
        <v>1</v>
      </c>
    </row>
    <row r="237" spans="1:69" ht="13.2">
      <c r="A237" s="50" t="s">
        <v>611</v>
      </c>
      <c r="C237" s="37" t="s">
        <v>549</v>
      </c>
      <c r="M237" s="1889" t="s">
        <v>552</v>
      </c>
      <c r="N237" s="1889"/>
      <c r="O237" s="1889"/>
      <c r="P237" s="1889"/>
      <c r="Q237" s="1889"/>
      <c r="R237" s="1889"/>
      <c r="S237" s="1889"/>
      <c r="T237" s="1889"/>
      <c r="U237" s="384" t="s">
        <v>956</v>
      </c>
      <c r="V237" s="325"/>
      <c r="W237" s="325"/>
      <c r="X237" s="325"/>
      <c r="Y237" s="325"/>
      <c r="Z237" s="325"/>
      <c r="AA237" s="2066" t="s">
        <v>2483</v>
      </c>
      <c r="AB237" s="2067"/>
      <c r="AC237" s="2067"/>
      <c r="AD237" s="2067"/>
      <c r="AE237" s="2067"/>
      <c r="AF237" s="2067"/>
      <c r="AG237" s="2067"/>
      <c r="AH237" s="2067"/>
      <c r="AI237" s="2067"/>
      <c r="AJ237" s="2067"/>
      <c r="AK237" s="2067"/>
      <c r="AL237" s="58"/>
      <c r="AM237" s="239"/>
      <c r="AN237" s="239"/>
      <c r="AO237" s="239"/>
      <c r="AP237" s="239"/>
      <c r="AQ237" s="239"/>
      <c r="AR237" s="239"/>
      <c r="AS237" s="239"/>
      <c r="AT237" s="239"/>
      <c r="AU237" s="239"/>
      <c r="AV237" s="239"/>
      <c r="AW237" s="239"/>
      <c r="AX237" s="239"/>
      <c r="AY237" s="239"/>
      <c r="BB237" s="380" t="s">
        <v>561</v>
      </c>
      <c r="BG237" s="386">
        <f>IF(AND(AND($M$248="nonprofit",$M$256="nonprofit",$M$264="nonprofit")),1,0)</f>
        <v>0</v>
      </c>
    </row>
    <row r="238" spans="1:69" ht="13.2">
      <c r="D238" s="12" t="s">
        <v>555</v>
      </c>
      <c r="M238" s="1887"/>
      <c r="N238" s="1887"/>
      <c r="O238" s="1887"/>
      <c r="P238" s="1887"/>
      <c r="Q238" s="1887"/>
      <c r="R238" s="1887"/>
      <c r="S238" s="1887"/>
      <c r="T238" s="1887"/>
      <c r="U238" s="1887"/>
      <c r="V238" s="1887"/>
      <c r="W238" s="1887"/>
      <c r="X238" s="1887"/>
      <c r="Y238" s="1887"/>
      <c r="Z238" s="1887"/>
      <c r="AA238" s="1887"/>
      <c r="AB238" s="1887"/>
      <c r="AC238" s="1887"/>
      <c r="AD238" s="1887"/>
      <c r="AE238" s="188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561</v>
      </c>
      <c r="BG238" s="386">
        <f>IF(AND(AND($M$248="nonprofit",$M$256="(select one)",$M$264="(select one)")),1,0)</f>
        <v>0</v>
      </c>
      <c r="BN238" s="61"/>
    </row>
    <row r="239" spans="1:69" ht="13.2">
      <c r="D239" s="60"/>
      <c r="K239" s="3"/>
      <c r="BB239" s="380" t="s">
        <v>923</v>
      </c>
      <c r="BG239" s="386">
        <f>IF(AND(AND($M$248="for profit",$M$256="for profit",$M$264="(select one)")),3,0)</f>
        <v>0</v>
      </c>
    </row>
    <row r="240" spans="1:69" ht="13.2">
      <c r="A240" s="50" t="s">
        <v>614</v>
      </c>
      <c r="C240" s="50" t="s">
        <v>1344</v>
      </c>
      <c r="D240" s="60"/>
      <c r="K240" s="3"/>
      <c r="L240" s="14"/>
      <c r="M240" s="14"/>
      <c r="N240" s="14"/>
      <c r="BB240" s="380" t="s">
        <v>923</v>
      </c>
      <c r="BG240" s="386">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923</v>
      </c>
      <c r="BG241" s="386">
        <f>IF(AND(AND($M$248="for profit",$M$256="(select one)",$M$264="(select one)")),3,0)</f>
        <v>0</v>
      </c>
    </row>
    <row r="242" spans="1:72" ht="13.2">
      <c r="A242" s="29"/>
      <c r="B242" s="7"/>
      <c r="C242" s="136" t="s">
        <v>497</v>
      </c>
      <c r="D242" s="57" t="s">
        <v>556</v>
      </c>
      <c r="E242" s="57"/>
      <c r="F242" s="57"/>
      <c r="G242" s="57"/>
      <c r="H242" s="57"/>
      <c r="I242" s="57"/>
      <c r="J242" s="57"/>
      <c r="K242" s="57"/>
      <c r="L242" s="7"/>
      <c r="M242" s="2060" t="s">
        <v>2738</v>
      </c>
      <c r="N242" s="2061"/>
      <c r="O242" s="2061"/>
      <c r="P242" s="2061"/>
      <c r="Q242" s="2061"/>
      <c r="R242" s="2061"/>
      <c r="S242" s="2061"/>
      <c r="T242" s="2061"/>
      <c r="U242" s="2061"/>
      <c r="V242" s="2061"/>
      <c r="W242" s="2061"/>
      <c r="X242" s="2061"/>
      <c r="Y242" s="2061"/>
      <c r="Z242" s="2061"/>
      <c r="AA242" s="2061"/>
      <c r="AB242" s="2061"/>
      <c r="AC242" s="2061"/>
      <c r="AD242" s="2061"/>
      <c r="AE242" s="2061"/>
      <c r="AF242" s="2061" t="s">
        <v>2484</v>
      </c>
      <c r="AG242" s="2061"/>
      <c r="AH242" s="2061"/>
      <c r="AI242" s="2061"/>
      <c r="AJ242" s="2061"/>
      <c r="AK242" s="2061"/>
      <c r="BM242" s="25"/>
      <c r="BN242" s="3"/>
      <c r="BO242" s="387"/>
      <c r="BP242" s="377"/>
      <c r="BQ242" s="377"/>
      <c r="BR242" s="377"/>
      <c r="BS242" s="377"/>
      <c r="BT242" s="25"/>
    </row>
    <row r="243" spans="1:72" ht="13.2">
      <c r="A243" s="29"/>
      <c r="B243" s="7"/>
      <c r="C243" s="7"/>
      <c r="D243" s="57" t="s">
        <v>90</v>
      </c>
      <c r="E243" s="57"/>
      <c r="F243" s="57"/>
      <c r="G243" s="57"/>
      <c r="H243" s="57"/>
      <c r="I243" s="57"/>
      <c r="J243" s="57"/>
      <c r="K243" s="57"/>
      <c r="L243" s="7"/>
      <c r="M243" s="2048" t="s">
        <v>2477</v>
      </c>
      <c r="N243" s="2046"/>
      <c r="O243" s="2046"/>
      <c r="P243" s="2046"/>
      <c r="Q243" s="2046"/>
      <c r="R243" s="2046"/>
      <c r="S243" s="2046"/>
      <c r="T243" s="2046"/>
      <c r="U243" s="2046"/>
      <c r="V243" s="2046"/>
      <c r="W243" s="2046"/>
      <c r="X243" s="2046"/>
      <c r="Y243" s="2046"/>
      <c r="Z243" s="2046"/>
      <c r="AA243" s="2046"/>
      <c r="AB243" s="2046"/>
      <c r="AC243" s="2046"/>
      <c r="AD243" s="2046"/>
      <c r="AE243" s="2046"/>
      <c r="AF243" s="58" t="s">
        <v>1340</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605</v>
      </c>
      <c r="E244" s="57"/>
      <c r="M244" s="2048" t="s">
        <v>759</v>
      </c>
      <c r="N244" s="2046"/>
      <c r="O244" s="2046"/>
      <c r="P244" s="2046"/>
      <c r="Q244" s="2046"/>
      <c r="R244" s="2046"/>
      <c r="S244" s="2046"/>
      <c r="T244" s="2046"/>
      <c r="V244" s="59" t="s">
        <v>91</v>
      </c>
      <c r="W244" s="1971" t="s">
        <v>2478</v>
      </c>
      <c r="X244" s="1878"/>
      <c r="Y244" s="57" t="s">
        <v>608</v>
      </c>
      <c r="AC244" s="2046">
        <v>94102</v>
      </c>
      <c r="AD244" s="2046"/>
      <c r="AE244" s="2046"/>
      <c r="AF244" s="58" t="s">
        <v>1341</v>
      </c>
      <c r="AG244" s="711"/>
      <c r="AH244" s="711"/>
      <c r="AI244" s="711"/>
      <c r="AJ244" s="711"/>
      <c r="AK244" s="711"/>
      <c r="BB244" s="12" t="s">
        <v>312</v>
      </c>
      <c r="BG244" s="12">
        <v>1</v>
      </c>
      <c r="BH244" s="12" t="s">
        <v>558</v>
      </c>
      <c r="BM244" s="25"/>
      <c r="BN244" s="3"/>
      <c r="BO244" s="3"/>
    </row>
    <row r="245" spans="1:72" ht="13.2">
      <c r="A245" s="29"/>
      <c r="B245" s="7"/>
      <c r="C245" s="7"/>
      <c r="D245" s="60" t="s">
        <v>92</v>
      </c>
      <c r="E245" s="7"/>
      <c r="F245" s="7"/>
      <c r="G245" s="7"/>
      <c r="H245" s="7"/>
      <c r="I245" s="7"/>
      <c r="J245" s="7"/>
      <c r="K245" s="7"/>
      <c r="L245" s="29"/>
      <c r="M245" s="2048" t="s">
        <v>2485</v>
      </c>
      <c r="N245" s="2046"/>
      <c r="O245" s="2046"/>
      <c r="P245" s="2046"/>
      <c r="Q245" s="2046"/>
      <c r="R245" s="2046"/>
      <c r="S245" s="2046"/>
      <c r="T245" s="2046"/>
      <c r="U245" s="2046"/>
      <c r="V245" s="2046"/>
      <c r="W245" s="2046"/>
      <c r="X245" s="2046"/>
      <c r="Y245" s="2046"/>
      <c r="Z245" s="2046"/>
      <c r="AA245" s="2046"/>
      <c r="AB245" s="2046"/>
      <c r="AC245" s="2046"/>
      <c r="AD245" s="2046"/>
      <c r="AE245" s="2046"/>
      <c r="AH245" s="1954">
        <v>5.0000000000000001E-3</v>
      </c>
      <c r="AI245" s="1954"/>
      <c r="AJ245" s="1954"/>
      <c r="AK245" s="1954"/>
      <c r="AL245" s="7"/>
      <c r="AM245" s="130"/>
      <c r="AN245" s="130"/>
      <c r="AO245" s="130"/>
      <c r="AP245" s="130"/>
      <c r="AQ245" s="130"/>
      <c r="AR245" s="130"/>
      <c r="AS245" s="130"/>
      <c r="AT245" s="130"/>
      <c r="AU245" s="130"/>
      <c r="AV245" s="130"/>
      <c r="AW245" s="130"/>
      <c r="AX245" s="130"/>
      <c r="AY245" s="130"/>
      <c r="BB245" s="7" t="s">
        <v>285</v>
      </c>
      <c r="BG245" s="12">
        <v>2</v>
      </c>
      <c r="BH245" s="12" t="s">
        <v>590</v>
      </c>
      <c r="BN245" s="3"/>
      <c r="BO245" s="378" t="str">
        <f>VLOOKUP(BG243,BG244:BH246,2,FALSE)</f>
        <v>Nonprofit</v>
      </c>
    </row>
    <row r="246" spans="1:72" ht="13.2">
      <c r="A246" s="29"/>
      <c r="B246" s="7"/>
      <c r="C246" s="7"/>
      <c r="D246" s="60" t="s">
        <v>93</v>
      </c>
      <c r="E246" s="7"/>
      <c r="F246" s="7"/>
      <c r="M246" s="1997" t="s">
        <v>2486</v>
      </c>
      <c r="N246" s="1912"/>
      <c r="O246" s="1912"/>
      <c r="P246" s="1912"/>
      <c r="Q246" s="1912"/>
      <c r="R246" s="1912"/>
      <c r="S246" s="7" t="s">
        <v>211</v>
      </c>
      <c r="T246" s="7"/>
      <c r="U246" s="1878"/>
      <c r="V246" s="1878"/>
      <c r="W246" s="1878"/>
      <c r="X246" s="7" t="s">
        <v>94</v>
      </c>
      <c r="Z246" s="1997" t="s">
        <v>2481</v>
      </c>
      <c r="AA246" s="1912"/>
      <c r="AB246" s="1912"/>
      <c r="AC246" s="1912"/>
      <c r="AD246" s="1912"/>
      <c r="AE246" s="1912"/>
      <c r="BB246" s="7" t="s">
        <v>177</v>
      </c>
      <c r="BG246" s="12">
        <v>3</v>
      </c>
      <c r="BH246" s="12" t="s">
        <v>560</v>
      </c>
      <c r="BN246" s="387"/>
      <c r="BO246" s="39"/>
    </row>
    <row r="247" spans="1:72" ht="13.2">
      <c r="A247" s="29"/>
      <c r="B247" s="7"/>
      <c r="C247" s="7"/>
      <c r="D247" s="60" t="s">
        <v>95</v>
      </c>
      <c r="E247" s="7"/>
      <c r="F247" s="7"/>
      <c r="M247" s="2051" t="s">
        <v>2487</v>
      </c>
      <c r="N247" s="2051"/>
      <c r="O247" s="2051"/>
      <c r="P247" s="2051"/>
      <c r="Q247" s="2051"/>
      <c r="R247" s="2051"/>
      <c r="S247" s="2051"/>
      <c r="T247" s="2051"/>
      <c r="U247" s="2051"/>
      <c r="V247" s="2051"/>
      <c r="W247" s="2051"/>
      <c r="X247" s="2051"/>
      <c r="Y247" s="2051"/>
      <c r="Z247" s="2051"/>
      <c r="AA247" s="2051"/>
      <c r="AB247" s="2051"/>
      <c r="AC247" s="2051"/>
      <c r="AD247" s="2051"/>
      <c r="AE247" s="205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559</v>
      </c>
      <c r="E248" s="7"/>
      <c r="F248" s="7"/>
      <c r="G248" s="7"/>
      <c r="H248" s="7"/>
      <c r="I248" s="7"/>
      <c r="J248" s="7"/>
      <c r="K248" s="7"/>
      <c r="L248" s="7"/>
      <c r="M248" s="1889" t="s">
        <v>558</v>
      </c>
      <c r="N248" s="1889"/>
      <c r="O248" s="1889"/>
      <c r="P248" s="1889"/>
      <c r="Q248" s="1889"/>
      <c r="R248" s="1889"/>
      <c r="S248" s="1889"/>
      <c r="T248" s="1889"/>
      <c r="U248" s="384" t="s">
        <v>956</v>
      </c>
      <c r="V248" s="325"/>
      <c r="W248" s="325"/>
      <c r="X248" s="325"/>
      <c r="Y248" s="325"/>
      <c r="Z248" s="325"/>
      <c r="AA248" s="2066" t="s">
        <v>2483</v>
      </c>
      <c r="AB248" s="2067"/>
      <c r="AC248" s="2067"/>
      <c r="AD248" s="2067"/>
      <c r="AE248" s="2067"/>
      <c r="AF248" s="2067"/>
      <c r="AG248" s="2067"/>
      <c r="AH248" s="2067"/>
      <c r="AI248" s="2067"/>
      <c r="AJ248" s="2067"/>
      <c r="AK248" s="2067"/>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1012</v>
      </c>
      <c r="E250" s="57"/>
      <c r="F250" s="57"/>
      <c r="G250" s="57"/>
      <c r="H250" s="57"/>
      <c r="I250" s="57"/>
      <c r="J250" s="57"/>
      <c r="K250" s="57"/>
      <c r="L250" s="7"/>
      <c r="M250" s="2060" t="s">
        <v>2488</v>
      </c>
      <c r="N250" s="2061"/>
      <c r="O250" s="2061"/>
      <c r="P250" s="2061"/>
      <c r="Q250" s="2061"/>
      <c r="R250" s="2061"/>
      <c r="S250" s="2061"/>
      <c r="T250" s="2061"/>
      <c r="U250" s="2061"/>
      <c r="V250" s="2061"/>
      <c r="W250" s="2061"/>
      <c r="X250" s="2061"/>
      <c r="Y250" s="2061"/>
      <c r="Z250" s="2061"/>
      <c r="AA250" s="2061"/>
      <c r="AB250" s="2061"/>
      <c r="AC250" s="2061"/>
      <c r="AD250" s="2061"/>
      <c r="AE250" s="2061"/>
      <c r="AF250" s="2060" t="s">
        <v>2489</v>
      </c>
      <c r="AG250" s="2061"/>
      <c r="AH250" s="2061"/>
      <c r="AI250" s="2061"/>
      <c r="AJ250" s="2061"/>
      <c r="AK250" s="2061"/>
      <c r="BN250" s="61"/>
    </row>
    <row r="251" spans="1:72" ht="13.2">
      <c r="A251" s="29"/>
      <c r="B251" s="7"/>
      <c r="C251" s="7"/>
      <c r="D251" s="57" t="s">
        <v>90</v>
      </c>
      <c r="E251" s="57"/>
      <c r="F251" s="57"/>
      <c r="G251" s="57"/>
      <c r="H251" s="57"/>
      <c r="I251" s="57"/>
      <c r="J251" s="57"/>
      <c r="K251" s="57"/>
      <c r="L251" s="7"/>
      <c r="M251" s="2048" t="s">
        <v>2490</v>
      </c>
      <c r="N251" s="2046"/>
      <c r="O251" s="2046"/>
      <c r="P251" s="2046"/>
      <c r="Q251" s="2046"/>
      <c r="R251" s="2046"/>
      <c r="S251" s="2046"/>
      <c r="T251" s="2046"/>
      <c r="U251" s="2046"/>
      <c r="V251" s="2046"/>
      <c r="W251" s="2046"/>
      <c r="X251" s="2046"/>
      <c r="Y251" s="2046"/>
      <c r="Z251" s="2046"/>
      <c r="AA251" s="2046"/>
      <c r="AB251" s="2046"/>
      <c r="AC251" s="2046"/>
      <c r="AD251" s="2046"/>
      <c r="AE251" s="2046"/>
      <c r="AF251" s="58" t="s">
        <v>1340</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605</v>
      </c>
      <c r="E252" s="57"/>
      <c r="M252" s="2048" t="s">
        <v>759</v>
      </c>
      <c r="N252" s="2046"/>
      <c r="O252" s="2046"/>
      <c r="P252" s="2046"/>
      <c r="Q252" s="2046"/>
      <c r="R252" s="2046"/>
      <c r="S252" s="2046"/>
      <c r="T252" s="2046"/>
      <c r="V252" s="59" t="s">
        <v>91</v>
      </c>
      <c r="W252" s="1971" t="s">
        <v>2478</v>
      </c>
      <c r="X252" s="1878"/>
      <c r="Y252" s="57" t="s">
        <v>608</v>
      </c>
      <c r="AC252" s="2046">
        <v>94103</v>
      </c>
      <c r="AD252" s="2046"/>
      <c r="AE252" s="2046"/>
      <c r="AF252" s="58" t="s">
        <v>1341</v>
      </c>
      <c r="AG252" s="711"/>
      <c r="AH252" s="711"/>
      <c r="AI252" s="711"/>
      <c r="AJ252" s="711"/>
      <c r="AK252" s="711"/>
      <c r="BN252" s="61"/>
    </row>
    <row r="253" spans="1:72" ht="13.2">
      <c r="A253" s="29"/>
      <c r="B253" s="7"/>
      <c r="C253" s="7"/>
      <c r="D253" s="60" t="s">
        <v>92</v>
      </c>
      <c r="E253" s="7"/>
      <c r="F253" s="7"/>
      <c r="G253" s="7"/>
      <c r="H253" s="7"/>
      <c r="I253" s="7"/>
      <c r="J253" s="7"/>
      <c r="K253" s="7"/>
      <c r="L253" s="29"/>
      <c r="M253" s="2048" t="s">
        <v>2491</v>
      </c>
      <c r="N253" s="2046"/>
      <c r="O253" s="2046"/>
      <c r="P253" s="2046"/>
      <c r="Q253" s="2046"/>
      <c r="R253" s="2046"/>
      <c r="S253" s="2046"/>
      <c r="T253" s="2046"/>
      <c r="U253" s="2046"/>
      <c r="V253" s="2046"/>
      <c r="W253" s="2046"/>
      <c r="X253" s="2046"/>
      <c r="Y253" s="2046"/>
      <c r="Z253" s="2046"/>
      <c r="AA253" s="2046"/>
      <c r="AB253" s="2046"/>
      <c r="AC253" s="2046"/>
      <c r="AD253" s="2046"/>
      <c r="AE253" s="2046"/>
      <c r="AF253" s="711"/>
      <c r="AG253" s="711"/>
      <c r="AH253" s="1954">
        <v>5.0000000000000001E-3</v>
      </c>
      <c r="AI253" s="1954"/>
      <c r="AJ253" s="1954"/>
      <c r="AK253" s="1954"/>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1997" t="s">
        <v>2492</v>
      </c>
      <c r="N254" s="1912"/>
      <c r="O254" s="1912"/>
      <c r="P254" s="1912"/>
      <c r="Q254" s="1912"/>
      <c r="R254" s="1912"/>
      <c r="S254" s="7" t="s">
        <v>211</v>
      </c>
      <c r="T254" s="7"/>
      <c r="U254" s="1878"/>
      <c r="V254" s="1878"/>
      <c r="W254" s="1878"/>
      <c r="X254" s="7" t="s">
        <v>94</v>
      </c>
      <c r="Z254" s="1912"/>
      <c r="AA254" s="1912"/>
      <c r="AB254" s="1912"/>
      <c r="AC254" s="1912"/>
      <c r="AD254" s="1912"/>
      <c r="AE254" s="1912"/>
    </row>
    <row r="255" spans="1:72" ht="13.2">
      <c r="A255" s="29"/>
      <c r="B255" s="7"/>
      <c r="C255" s="7"/>
      <c r="D255" s="60" t="s">
        <v>95</v>
      </c>
      <c r="E255" s="7"/>
      <c r="F255" s="7"/>
      <c r="M255" s="2051" t="s">
        <v>2493</v>
      </c>
      <c r="N255" s="2051"/>
      <c r="O255" s="2051"/>
      <c r="P255" s="2051"/>
      <c r="Q255" s="2051"/>
      <c r="R255" s="2051"/>
      <c r="S255" s="2051"/>
      <c r="T255" s="2051"/>
      <c r="U255" s="2051"/>
      <c r="V255" s="2051"/>
      <c r="W255" s="2051"/>
      <c r="X255" s="2051"/>
      <c r="Y255" s="2051"/>
      <c r="Z255" s="2051"/>
      <c r="AA255" s="2051"/>
      <c r="AB255" s="2051"/>
      <c r="AC255" s="2051"/>
      <c r="AD255" s="2051"/>
      <c r="AE255" s="205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559</v>
      </c>
      <c r="E256" s="7"/>
      <c r="F256" s="7"/>
      <c r="G256" s="7"/>
      <c r="H256" s="7"/>
      <c r="I256" s="7"/>
      <c r="J256" s="7"/>
      <c r="K256" s="7"/>
      <c r="L256" s="7"/>
      <c r="M256" s="1889" t="s">
        <v>558</v>
      </c>
      <c r="N256" s="1889"/>
      <c r="O256" s="1889"/>
      <c r="P256" s="1889"/>
      <c r="Q256" s="1889"/>
      <c r="R256" s="1889"/>
      <c r="S256" s="1889"/>
      <c r="T256" s="1889"/>
      <c r="U256" s="384" t="s">
        <v>956</v>
      </c>
      <c r="V256" s="325"/>
      <c r="W256" s="325"/>
      <c r="X256" s="325"/>
      <c r="Y256" s="325"/>
      <c r="Z256" s="325"/>
      <c r="AA256" s="2066" t="s">
        <v>2494</v>
      </c>
      <c r="AB256" s="2067"/>
      <c r="AC256" s="2067"/>
      <c r="AD256" s="2067"/>
      <c r="AE256" s="2067"/>
      <c r="AF256" s="2067"/>
      <c r="AG256" s="2067"/>
      <c r="AH256" s="2067"/>
      <c r="AI256" s="2067"/>
      <c r="AJ256" s="2067"/>
      <c r="AK256" s="206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922</v>
      </c>
      <c r="D258" s="57" t="s">
        <v>556</v>
      </c>
      <c r="E258" s="57"/>
      <c r="F258" s="57"/>
      <c r="G258" s="57"/>
      <c r="H258" s="57"/>
      <c r="I258" s="57"/>
      <c r="J258" s="57"/>
      <c r="K258" s="57"/>
      <c r="L258" s="7"/>
      <c r="M258" s="2061"/>
      <c r="N258" s="2061"/>
      <c r="O258" s="2061"/>
      <c r="P258" s="2061"/>
      <c r="Q258" s="2061"/>
      <c r="R258" s="2061"/>
      <c r="S258" s="2061"/>
      <c r="T258" s="2061"/>
      <c r="U258" s="2061"/>
      <c r="V258" s="2061"/>
      <c r="W258" s="2061"/>
      <c r="X258" s="2061"/>
      <c r="Y258" s="2061"/>
      <c r="Z258" s="2061"/>
      <c r="AA258" s="2061"/>
      <c r="AB258" s="2061"/>
      <c r="AC258" s="2061"/>
      <c r="AD258" s="2061"/>
      <c r="AE258" s="2061"/>
      <c r="AF258" s="2061" t="s">
        <v>312</v>
      </c>
      <c r="AG258" s="2061"/>
      <c r="AH258" s="2061"/>
      <c r="AI258" s="2061"/>
      <c r="AJ258" s="2061"/>
      <c r="AK258" s="206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46"/>
      <c r="N259" s="2046"/>
      <c r="O259" s="2046"/>
      <c r="P259" s="2046"/>
      <c r="Q259" s="2046"/>
      <c r="R259" s="2046"/>
      <c r="S259" s="2046"/>
      <c r="T259" s="2046"/>
      <c r="U259" s="2046"/>
      <c r="V259" s="2046"/>
      <c r="W259" s="2046"/>
      <c r="X259" s="2046"/>
      <c r="Y259" s="2046"/>
      <c r="Z259" s="2046"/>
      <c r="AA259" s="2046"/>
      <c r="AB259" s="2046"/>
      <c r="AC259" s="2046"/>
      <c r="AD259" s="2046"/>
      <c r="AE259" s="2046"/>
      <c r="AF259" s="58" t="s">
        <v>1340</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605</v>
      </c>
      <c r="E260" s="57"/>
      <c r="M260" s="2046"/>
      <c r="N260" s="2046"/>
      <c r="O260" s="2046"/>
      <c r="P260" s="2046"/>
      <c r="Q260" s="2046"/>
      <c r="R260" s="2046"/>
      <c r="S260" s="2046"/>
      <c r="T260" s="2046"/>
      <c r="V260" s="59" t="s">
        <v>91</v>
      </c>
      <c r="W260" s="1878"/>
      <c r="X260" s="1878"/>
      <c r="Y260" s="57" t="s">
        <v>608</v>
      </c>
      <c r="AC260" s="2046"/>
      <c r="AD260" s="2046"/>
      <c r="AE260" s="2046"/>
      <c r="AF260" s="58" t="s">
        <v>1341</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046"/>
      <c r="N261" s="2046"/>
      <c r="O261" s="2046"/>
      <c r="P261" s="2046"/>
      <c r="Q261" s="2046"/>
      <c r="R261" s="2046"/>
      <c r="S261" s="2046"/>
      <c r="T261" s="2046"/>
      <c r="U261" s="2046"/>
      <c r="V261" s="2046"/>
      <c r="W261" s="2046"/>
      <c r="X261" s="2046"/>
      <c r="Y261" s="2046"/>
      <c r="Z261" s="2046"/>
      <c r="AA261" s="2046"/>
      <c r="AB261" s="2046"/>
      <c r="AC261" s="2046"/>
      <c r="AD261" s="2046"/>
      <c r="AE261" s="2046"/>
      <c r="AF261" s="711"/>
      <c r="AG261" s="711"/>
      <c r="AH261" s="1954"/>
      <c r="AI261" s="1954"/>
      <c r="AJ261" s="1954"/>
      <c r="AK261" s="1954"/>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1912"/>
      <c r="N262" s="1912"/>
      <c r="O262" s="1912"/>
      <c r="P262" s="1912"/>
      <c r="Q262" s="1912"/>
      <c r="R262" s="1912"/>
      <c r="S262" s="7" t="s">
        <v>211</v>
      </c>
      <c r="T262" s="7"/>
      <c r="U262" s="1878"/>
      <c r="V262" s="1878"/>
      <c r="W262" s="1878"/>
      <c r="X262" s="7" t="s">
        <v>94</v>
      </c>
      <c r="Z262" s="1912"/>
      <c r="AA262" s="1912"/>
      <c r="AB262" s="1912"/>
      <c r="AC262" s="1912"/>
      <c r="AD262" s="1912"/>
      <c r="AE262" s="1912"/>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051"/>
      <c r="N263" s="2051"/>
      <c r="O263" s="2051"/>
      <c r="P263" s="2051"/>
      <c r="Q263" s="2051"/>
      <c r="R263" s="2051"/>
      <c r="S263" s="2051"/>
      <c r="T263" s="2051"/>
      <c r="U263" s="2051"/>
      <c r="V263" s="2051"/>
      <c r="W263" s="2051"/>
      <c r="X263" s="2051"/>
      <c r="Y263" s="2051"/>
      <c r="Z263" s="2051"/>
      <c r="AA263" s="2059"/>
      <c r="AB263" s="2059"/>
      <c r="AC263" s="2059"/>
      <c r="AD263" s="2059"/>
      <c r="AE263" s="205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559</v>
      </c>
      <c r="E264" s="7"/>
      <c r="F264" s="7"/>
      <c r="G264" s="7"/>
      <c r="H264" s="7"/>
      <c r="I264" s="7"/>
      <c r="J264" s="7"/>
      <c r="K264" s="7"/>
      <c r="L264" s="7"/>
      <c r="M264" s="1889" t="s">
        <v>312</v>
      </c>
      <c r="N264" s="1889"/>
      <c r="O264" s="1889"/>
      <c r="P264" s="1889"/>
      <c r="Q264" s="1889"/>
      <c r="R264" s="1889"/>
      <c r="S264" s="1889"/>
      <c r="T264" s="1889"/>
      <c r="U264" s="384" t="s">
        <v>956</v>
      </c>
      <c r="V264" s="325"/>
      <c r="W264" s="325"/>
      <c r="X264" s="325"/>
      <c r="Y264" s="325"/>
      <c r="Z264" s="325"/>
      <c r="AA264" s="2065"/>
      <c r="AB264" s="2065"/>
      <c r="AC264" s="2065"/>
      <c r="AD264" s="2065"/>
      <c r="AE264" s="2065"/>
      <c r="AF264" s="2065"/>
      <c r="AG264" s="2065"/>
      <c r="AH264" s="2065"/>
      <c r="AI264" s="2065"/>
      <c r="AJ264" s="2065"/>
      <c r="AK264" s="2065"/>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615</v>
      </c>
      <c r="B266" s="7"/>
      <c r="C266" s="50" t="s">
        <v>300</v>
      </c>
      <c r="D266" s="7"/>
      <c r="E266" s="7"/>
      <c r="F266" s="7"/>
      <c r="G266" s="7"/>
      <c r="H266" s="7"/>
      <c r="I266" s="7"/>
      <c r="J266" s="7"/>
      <c r="K266" s="7"/>
      <c r="L266" s="7"/>
      <c r="M266" s="147"/>
      <c r="N266" s="147"/>
      <c r="O266" s="147"/>
      <c r="P266" s="147"/>
      <c r="Q266" s="147"/>
      <c r="T266" s="2088" t="str">
        <f>BO245</f>
        <v>Nonprofit</v>
      </c>
      <c r="U266" s="2088"/>
      <c r="V266" s="2088"/>
      <c r="W266" s="2088"/>
      <c r="X266" s="2088"/>
      <c r="Z266" s="475" t="s">
        <v>1011</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2">
      <c r="A267" s="50"/>
      <c r="B267" s="7"/>
      <c r="C267" s="50"/>
      <c r="I267" s="7"/>
      <c r="J267" s="7"/>
      <c r="K267" s="7"/>
      <c r="L267" s="7"/>
      <c r="M267" s="147"/>
      <c r="N267" s="147"/>
      <c r="O267" s="147"/>
      <c r="P267" s="147"/>
      <c r="Q267" s="147"/>
      <c r="T267" s="7"/>
      <c r="U267" s="7"/>
      <c r="V267" s="7"/>
      <c r="W267" s="62"/>
      <c r="Z267" s="478" t="s">
        <v>848</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2">
      <c r="A268" s="50" t="s">
        <v>617</v>
      </c>
      <c r="B268" s="7"/>
      <c r="C268" s="50" t="s">
        <v>176</v>
      </c>
      <c r="D268" s="7"/>
      <c r="E268" s="7"/>
      <c r="F268" s="7"/>
      <c r="G268" s="7"/>
      <c r="H268" s="7"/>
      <c r="I268" s="7"/>
      <c r="J268" s="7"/>
      <c r="K268" s="7"/>
      <c r="L268" s="7"/>
      <c r="M268" s="7"/>
      <c r="N268" s="7"/>
      <c r="O268" s="7"/>
      <c r="P268" s="7"/>
      <c r="Q268" s="7"/>
      <c r="R268" s="7"/>
      <c r="S268" s="7"/>
      <c r="T268" s="7"/>
      <c r="U268" s="7"/>
      <c r="V268" s="7"/>
      <c r="W268" s="7"/>
      <c r="Z268" s="479" t="s">
        <v>1010</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2">
      <c r="A269" s="57"/>
      <c r="B269" s="63">
        <v>0</v>
      </c>
      <c r="D269" s="2046" t="s">
        <v>285</v>
      </c>
      <c r="E269" s="2046"/>
      <c r="F269" s="2046"/>
      <c r="G269" s="2046"/>
      <c r="H269" s="2046"/>
      <c r="J269" s="12" t="s">
        <v>284</v>
      </c>
      <c r="X269" s="2058"/>
      <c r="Y269" s="2058"/>
      <c r="Z269" s="2058"/>
      <c r="AA269" s="2058"/>
      <c r="AB269" s="2058"/>
      <c r="AC269" s="2058"/>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491</v>
      </c>
      <c r="B272" s="50"/>
      <c r="C272" s="50" t="s">
        <v>647</v>
      </c>
      <c r="D272" s="7"/>
      <c r="E272" s="7"/>
      <c r="F272" s="7"/>
      <c r="G272" s="7"/>
      <c r="H272" s="7"/>
      <c r="I272" s="7"/>
      <c r="J272" s="7"/>
      <c r="K272" s="7"/>
      <c r="L272" s="7"/>
      <c r="M272" s="7"/>
      <c r="N272" s="7"/>
      <c r="O272" s="7"/>
      <c r="P272" s="7"/>
      <c r="Q272" s="7"/>
      <c r="R272" s="7"/>
      <c r="S272" s="7"/>
      <c r="T272" s="7"/>
      <c r="BN272" s="61"/>
    </row>
    <row r="273" spans="1:66" ht="13.2">
      <c r="D273" s="57" t="s">
        <v>301</v>
      </c>
      <c r="E273" s="57"/>
      <c r="F273" s="57"/>
      <c r="G273" s="57"/>
      <c r="H273" s="57"/>
      <c r="I273" s="57"/>
      <c r="J273" s="57"/>
      <c r="K273" s="7"/>
      <c r="L273" s="2060" t="s">
        <v>2495</v>
      </c>
      <c r="M273" s="2061"/>
      <c r="N273" s="2061"/>
      <c r="O273" s="2061"/>
      <c r="P273" s="2061"/>
      <c r="Q273" s="2061"/>
      <c r="R273" s="2061"/>
      <c r="S273" s="2061"/>
      <c r="T273" s="2061"/>
      <c r="U273" s="2061"/>
      <c r="V273" s="2061"/>
      <c r="W273" s="2061"/>
      <c r="X273" s="2061"/>
      <c r="Y273" s="2061"/>
      <c r="Z273" s="2061"/>
      <c r="AA273" s="2061"/>
      <c r="AB273" s="2061"/>
      <c r="AC273" s="2061"/>
      <c r="AD273" s="2061"/>
      <c r="AE273" s="2061"/>
      <c r="AF273" s="2061"/>
      <c r="AG273" s="2061"/>
      <c r="AH273" s="2061"/>
      <c r="AI273" s="2061"/>
      <c r="AJ273" s="206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48" t="s">
        <v>2477</v>
      </c>
      <c r="M274" s="2046"/>
      <c r="N274" s="2046"/>
      <c r="O274" s="2046"/>
      <c r="P274" s="2046"/>
      <c r="Q274" s="2046"/>
      <c r="R274" s="2046"/>
      <c r="S274" s="2046"/>
      <c r="T274" s="2046"/>
      <c r="U274" s="2046"/>
      <c r="V274" s="2046"/>
      <c r="W274" s="2046"/>
      <c r="X274" s="2046"/>
      <c r="Y274" s="2046"/>
      <c r="Z274" s="2046"/>
      <c r="AA274" s="2046"/>
      <c r="AB274" s="2046"/>
      <c r="AC274" s="2046"/>
      <c r="AD274" s="2046"/>
      <c r="AK274" s="58"/>
      <c r="AL274" s="58"/>
      <c r="AM274" s="239"/>
      <c r="AN274" s="239"/>
      <c r="AO274" s="239"/>
      <c r="AP274" s="239"/>
      <c r="AQ274" s="239"/>
      <c r="AR274" s="239"/>
      <c r="AS274" s="239"/>
      <c r="AT274" s="239"/>
      <c r="AU274" s="239"/>
      <c r="AV274" s="239"/>
      <c r="AW274" s="239"/>
      <c r="AX274" s="239"/>
      <c r="AY274" s="239"/>
      <c r="BN274" s="61"/>
    </row>
    <row r="275" spans="1:66" ht="13.2">
      <c r="D275" s="57" t="s">
        <v>605</v>
      </c>
      <c r="E275" s="57"/>
      <c r="L275" s="2048" t="s">
        <v>759</v>
      </c>
      <c r="M275" s="2046"/>
      <c r="N275" s="2046"/>
      <c r="O275" s="2046"/>
      <c r="P275" s="2046"/>
      <c r="Q275" s="2046"/>
      <c r="R275" s="2046"/>
      <c r="S275" s="2046"/>
      <c r="U275" s="59" t="s">
        <v>91</v>
      </c>
      <c r="V275" s="1971" t="s">
        <v>2478</v>
      </c>
      <c r="W275" s="1878"/>
      <c r="X275" s="57" t="s">
        <v>608</v>
      </c>
      <c r="AB275" s="2046">
        <v>94102</v>
      </c>
      <c r="AC275" s="2046"/>
      <c r="AD275" s="204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8" t="s">
        <v>2479</v>
      </c>
      <c r="M276" s="2046"/>
      <c r="N276" s="2046"/>
      <c r="O276" s="2046"/>
      <c r="P276" s="2046"/>
      <c r="Q276" s="2046"/>
      <c r="R276" s="2046"/>
      <c r="S276" s="2046"/>
      <c r="T276" s="2046"/>
      <c r="U276" s="2046"/>
      <c r="V276" s="2046"/>
      <c r="W276" s="2046"/>
      <c r="X276" s="2046"/>
      <c r="Y276" s="2046"/>
      <c r="Z276" s="2046"/>
      <c r="AA276" s="2046"/>
      <c r="AB276" s="2046"/>
      <c r="AC276" s="2046"/>
      <c r="AD276" s="2046"/>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1997" t="s">
        <v>2480</v>
      </c>
      <c r="M277" s="1912"/>
      <c r="N277" s="1912"/>
      <c r="O277" s="1912"/>
      <c r="P277" s="1912"/>
      <c r="Q277" s="1912"/>
      <c r="R277" s="7" t="s">
        <v>211</v>
      </c>
      <c r="S277" s="7"/>
      <c r="T277" s="1878"/>
      <c r="U277" s="1878"/>
      <c r="V277" s="1878"/>
      <c r="W277" s="7" t="s">
        <v>94</v>
      </c>
      <c r="Y277" s="1997" t="s">
        <v>2481</v>
      </c>
      <c r="Z277" s="1912"/>
      <c r="AA277" s="1912"/>
      <c r="AB277" s="1912"/>
      <c r="AC277" s="1912"/>
      <c r="AD277" s="1912"/>
      <c r="BN277" s="61"/>
    </row>
    <row r="278" spans="1:66" ht="13.2">
      <c r="D278" s="60" t="s">
        <v>95</v>
      </c>
      <c r="E278" s="7"/>
      <c r="F278" s="7"/>
      <c r="L278" s="2051" t="s">
        <v>2482</v>
      </c>
      <c r="M278" s="2051"/>
      <c r="N278" s="2051"/>
      <c r="O278" s="2051"/>
      <c r="P278" s="2051"/>
      <c r="Q278" s="2051"/>
      <c r="R278" s="2051"/>
      <c r="S278" s="2051"/>
      <c r="T278" s="2051"/>
      <c r="U278" s="2051"/>
      <c r="V278" s="2051"/>
      <c r="W278" s="2051"/>
      <c r="X278" s="2051"/>
      <c r="Y278" s="2051"/>
      <c r="Z278" s="2051"/>
      <c r="AA278" s="2051"/>
      <c r="AB278" s="2051"/>
      <c r="AC278" s="2051"/>
      <c r="AD278" s="2051"/>
      <c r="AF278" s="7"/>
      <c r="AG278" s="7"/>
      <c r="AH278" s="7"/>
      <c r="AI278" s="7"/>
      <c r="AJ278" s="7"/>
      <c r="BN278" s="61"/>
    </row>
    <row r="279" spans="1:66" ht="13.2">
      <c r="D279" s="58" t="s">
        <v>648</v>
      </c>
      <c r="E279" s="58"/>
      <c r="F279" s="58"/>
      <c r="G279" s="58"/>
      <c r="H279" s="58"/>
      <c r="I279" s="58"/>
      <c r="L279" s="1971" t="s">
        <v>2496</v>
      </c>
      <c r="M279" s="1971"/>
      <c r="N279" s="1971"/>
      <c r="O279" s="1971"/>
      <c r="P279" s="1971"/>
      <c r="Q279" s="1971"/>
      <c r="R279" s="1971"/>
      <c r="S279" s="1971"/>
      <c r="T279" s="1971"/>
      <c r="U279" s="1971"/>
      <c r="V279" s="1971"/>
      <c r="W279" s="1971"/>
      <c r="X279" s="1971"/>
      <c r="Y279" s="1971"/>
      <c r="Z279" s="1971"/>
      <c r="AA279" s="1971"/>
      <c r="AB279" s="1971"/>
      <c r="AC279" s="1971"/>
      <c r="AD279" s="1971"/>
      <c r="AK279" s="58"/>
      <c r="AL279" s="58"/>
      <c r="AM279" s="239"/>
      <c r="AN279" s="239"/>
      <c r="AO279" s="239"/>
      <c r="AP279" s="239"/>
      <c r="AQ279" s="239"/>
      <c r="AR279" s="239"/>
      <c r="AS279" s="239"/>
      <c r="AT279" s="239"/>
      <c r="AU279" s="239"/>
      <c r="AV279" s="239"/>
      <c r="AW279" s="239"/>
      <c r="AX279" s="239"/>
      <c r="AY279" s="239"/>
      <c r="BN279" s="61"/>
    </row>
    <row r="280" spans="1:66" ht="13.2">
      <c r="L280" s="35" t="s">
        <v>649</v>
      </c>
      <c r="BN280" s="61"/>
    </row>
    <row r="281" spans="1:66" ht="13.2">
      <c r="A281" s="1933" t="s">
        <v>565</v>
      </c>
      <c r="B281" s="1933"/>
      <c r="C281" s="1933"/>
      <c r="D281" s="1933"/>
      <c r="E281" s="1933"/>
      <c r="F281" s="1933"/>
      <c r="G281" s="1933"/>
      <c r="H281" s="1933"/>
      <c r="I281" s="1933"/>
      <c r="J281" s="1933"/>
      <c r="K281" s="1933"/>
      <c r="L281" s="1933"/>
      <c r="M281" s="1933"/>
      <c r="N281" s="1933"/>
      <c r="O281" s="1933"/>
      <c r="P281" s="1933"/>
      <c r="Q281" s="1933"/>
      <c r="R281" s="1933"/>
      <c r="S281" s="1933"/>
      <c r="T281" s="1933"/>
      <c r="U281" s="1933"/>
      <c r="V281" s="1933"/>
      <c r="W281" s="1933"/>
      <c r="X281" s="1933"/>
      <c r="Y281" s="1933"/>
      <c r="Z281" s="1933"/>
      <c r="AA281" s="1933"/>
      <c r="AB281" s="1933"/>
      <c r="AC281" s="1933"/>
      <c r="AD281" s="1933"/>
      <c r="AE281" s="1933"/>
      <c r="AF281" s="1933"/>
      <c r="AG281" s="1933"/>
      <c r="AH281" s="1933"/>
      <c r="AI281" s="1933"/>
      <c r="AJ281" s="1933"/>
      <c r="AK281" s="1933"/>
      <c r="AL281" s="1933"/>
      <c r="AM281" s="144"/>
      <c r="AN281" s="144"/>
      <c r="AO281" s="144"/>
      <c r="AP281" s="144"/>
      <c r="AQ281" s="144"/>
      <c r="AR281" s="144"/>
      <c r="AS281" s="144"/>
      <c r="AT281" s="144"/>
      <c r="AU281" s="144"/>
      <c r="AV281" s="144"/>
      <c r="AW281" s="144"/>
      <c r="AX281" s="144"/>
      <c r="AY281" s="144"/>
      <c r="BN281" s="61"/>
    </row>
    <row r="282" spans="1:66" ht="13.8" thickBot="1">
      <c r="A282" s="1934"/>
      <c r="B282" s="1934"/>
      <c r="C282" s="1934"/>
      <c r="D282" s="1934"/>
      <c r="E282" s="1934"/>
      <c r="F282" s="1934"/>
      <c r="G282" s="1934"/>
      <c r="H282" s="1934"/>
      <c r="I282" s="1934"/>
      <c r="J282" s="1934"/>
      <c r="K282" s="1934"/>
      <c r="L282" s="1934"/>
      <c r="M282" s="1934"/>
      <c r="N282" s="1934"/>
      <c r="O282" s="1934"/>
      <c r="P282" s="1934"/>
      <c r="Q282" s="1934"/>
      <c r="R282" s="1934"/>
      <c r="S282" s="1934"/>
      <c r="T282" s="1934"/>
      <c r="U282" s="1934"/>
      <c r="V282" s="1934"/>
      <c r="W282" s="1934"/>
      <c r="X282" s="1934"/>
      <c r="Y282" s="1934"/>
      <c r="Z282" s="1934"/>
      <c r="AA282" s="1934"/>
      <c r="AB282" s="1934"/>
      <c r="AC282" s="1934"/>
      <c r="AD282" s="1934"/>
      <c r="AE282" s="1934"/>
      <c r="AF282" s="1934"/>
      <c r="AG282" s="1934"/>
      <c r="AH282" s="1934"/>
      <c r="AI282" s="1934"/>
      <c r="AJ282" s="1934"/>
      <c r="AK282" s="1934"/>
      <c r="AL282" s="1934"/>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324</v>
      </c>
      <c r="C284" s="50" t="s">
        <v>650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651</v>
      </c>
      <c r="C286" s="58"/>
      <c r="D286" s="58"/>
      <c r="E286" s="58"/>
      <c r="F286" s="58"/>
      <c r="H286" s="1887" t="s">
        <v>2495</v>
      </c>
      <c r="I286" s="1887"/>
      <c r="J286" s="1887"/>
      <c r="K286" s="1887"/>
      <c r="L286" s="1887"/>
      <c r="M286" s="1887"/>
      <c r="N286" s="1887"/>
      <c r="O286" s="1887"/>
      <c r="P286" s="1887"/>
      <c r="Q286" s="1887"/>
      <c r="R286" s="1887"/>
      <c r="T286" s="58" t="s">
        <v>591</v>
      </c>
      <c r="V286" s="58"/>
      <c r="W286" s="58"/>
      <c r="X286" s="58"/>
      <c r="Y286" s="58"/>
      <c r="AA286" s="1887" t="s">
        <v>2497</v>
      </c>
      <c r="AB286" s="1887"/>
      <c r="AC286" s="1887"/>
      <c r="AD286" s="1887"/>
      <c r="AE286" s="1887"/>
      <c r="AF286" s="1887"/>
      <c r="AG286" s="1887"/>
      <c r="AH286" s="1887"/>
      <c r="AI286" s="1887"/>
      <c r="AJ286" s="1887"/>
      <c r="AK286" s="1887"/>
      <c r="BN286" s="61"/>
    </row>
    <row r="287" spans="1:66" ht="13.2">
      <c r="B287" s="58" t="s">
        <v>495</v>
      </c>
      <c r="C287" s="58"/>
      <c r="D287" s="58"/>
      <c r="E287" s="58"/>
      <c r="F287" s="58"/>
      <c r="H287" s="1889" t="s">
        <v>2477</v>
      </c>
      <c r="I287" s="1889"/>
      <c r="J287" s="1889"/>
      <c r="K287" s="1889"/>
      <c r="L287" s="1889"/>
      <c r="M287" s="1889"/>
      <c r="N287" s="1889"/>
      <c r="O287" s="1889"/>
      <c r="P287" s="1889"/>
      <c r="Q287" s="1889"/>
      <c r="R287" s="1889"/>
      <c r="T287" s="58" t="s">
        <v>495</v>
      </c>
      <c r="V287" s="58"/>
      <c r="W287" s="58"/>
      <c r="X287" s="58"/>
      <c r="Y287" s="58"/>
      <c r="AA287" s="1889" t="s">
        <v>2498</v>
      </c>
      <c r="AB287" s="1889"/>
      <c r="AC287" s="1889"/>
      <c r="AD287" s="1889"/>
      <c r="AE287" s="1889"/>
      <c r="AF287" s="1889"/>
      <c r="AG287" s="1889"/>
      <c r="AH287" s="1889"/>
      <c r="AI287" s="1889"/>
      <c r="AJ287" s="1889"/>
      <c r="AK287" s="1889"/>
      <c r="BN287" s="61"/>
    </row>
    <row r="288" spans="1:66" ht="13.2">
      <c r="B288" s="58" t="s">
        <v>496</v>
      </c>
      <c r="C288" s="58"/>
      <c r="D288" s="58"/>
      <c r="E288" s="58"/>
      <c r="F288" s="58"/>
      <c r="H288" s="1889" t="s">
        <v>2499</v>
      </c>
      <c r="I288" s="1889"/>
      <c r="J288" s="1889"/>
      <c r="K288" s="1889"/>
      <c r="L288" s="1889"/>
      <c r="M288" s="1889"/>
      <c r="N288" s="1889"/>
      <c r="O288" s="1889"/>
      <c r="P288" s="1889"/>
      <c r="Q288" s="1889"/>
      <c r="R288" s="1889"/>
      <c r="T288" s="58" t="s">
        <v>79</v>
      </c>
      <c r="V288" s="58"/>
      <c r="W288" s="58"/>
      <c r="X288" s="58"/>
      <c r="Y288" s="58"/>
      <c r="AA288" s="1889" t="s">
        <v>2500</v>
      </c>
      <c r="AB288" s="1889"/>
      <c r="AC288" s="1889"/>
      <c r="AD288" s="1889"/>
      <c r="AE288" s="1889"/>
      <c r="AF288" s="1889"/>
      <c r="AG288" s="1889"/>
      <c r="AH288" s="1889"/>
      <c r="AI288" s="1889"/>
      <c r="AJ288" s="1889"/>
      <c r="AK288" s="1889"/>
      <c r="BN288" s="61"/>
    </row>
    <row r="289" spans="2:66" ht="12.75" customHeight="1">
      <c r="B289" s="58" t="s">
        <v>92</v>
      </c>
      <c r="C289" s="58"/>
      <c r="D289" s="58"/>
      <c r="E289" s="58"/>
      <c r="F289" s="58"/>
      <c r="H289" s="1889" t="s">
        <v>2479</v>
      </c>
      <c r="I289" s="1889"/>
      <c r="J289" s="1889"/>
      <c r="K289" s="1889"/>
      <c r="L289" s="1889"/>
      <c r="M289" s="1889"/>
      <c r="N289" s="1889"/>
      <c r="O289" s="1889"/>
      <c r="P289" s="1889"/>
      <c r="Q289" s="1889"/>
      <c r="R289" s="1889"/>
      <c r="T289" s="58" t="s">
        <v>92</v>
      </c>
      <c r="V289" s="58"/>
      <c r="W289" s="58"/>
      <c r="X289" s="58"/>
      <c r="Y289" s="58"/>
      <c r="AA289" s="1889" t="s">
        <v>2501</v>
      </c>
      <c r="AB289" s="1889"/>
      <c r="AC289" s="1889"/>
      <c r="AD289" s="1889"/>
      <c r="AE289" s="1889"/>
      <c r="AF289" s="1889"/>
      <c r="AG289" s="1889"/>
      <c r="AH289" s="1889"/>
      <c r="AI289" s="1889"/>
      <c r="AJ289" s="1889"/>
      <c r="AK289" s="1889"/>
      <c r="BN289" s="61"/>
    </row>
    <row r="290" spans="2:66" ht="12.75" customHeight="1">
      <c r="B290" s="58" t="s">
        <v>93</v>
      </c>
      <c r="C290" s="58"/>
      <c r="D290" s="58"/>
      <c r="E290" s="58"/>
      <c r="F290" s="58"/>
      <c r="G290" s="58"/>
      <c r="H290" s="2047" t="s">
        <v>2480</v>
      </c>
      <c r="I290" s="2036"/>
      <c r="J290" s="2036"/>
      <c r="K290" s="2036"/>
      <c r="L290" s="2036"/>
      <c r="M290" s="2036"/>
      <c r="N290" s="7" t="s">
        <v>211</v>
      </c>
      <c r="O290" s="7"/>
      <c r="P290" s="2046"/>
      <c r="Q290" s="2046"/>
      <c r="R290" s="2046"/>
      <c r="S290" s="58"/>
      <c r="T290" s="58" t="s">
        <v>93</v>
      </c>
      <c r="V290" s="58"/>
      <c r="W290" s="58"/>
      <c r="X290" s="58"/>
      <c r="Y290" s="58"/>
      <c r="AA290" s="2047" t="s">
        <v>2502</v>
      </c>
      <c r="AB290" s="2036"/>
      <c r="AC290" s="2036"/>
      <c r="AD290" s="2036"/>
      <c r="AE290" s="2036"/>
      <c r="AF290" s="2036"/>
      <c r="AG290" s="7" t="s">
        <v>211</v>
      </c>
      <c r="AH290" s="7"/>
      <c r="AI290" s="2046"/>
      <c r="AJ290" s="2046"/>
      <c r="AK290" s="2046"/>
      <c r="BN290" s="61"/>
    </row>
    <row r="291" spans="2:66" ht="12.75" customHeight="1">
      <c r="B291" s="58" t="s">
        <v>94</v>
      </c>
      <c r="C291" s="58"/>
      <c r="D291" s="58"/>
      <c r="E291" s="58"/>
      <c r="F291" s="58"/>
      <c r="G291" s="58"/>
      <c r="H291" s="1997" t="s">
        <v>2481</v>
      </c>
      <c r="I291" s="1912"/>
      <c r="J291" s="1912"/>
      <c r="K291" s="1912"/>
      <c r="L291" s="1912"/>
      <c r="M291" s="1912"/>
      <c r="N291" s="60"/>
      <c r="O291" s="60"/>
      <c r="P291" s="62"/>
      <c r="Q291" s="62"/>
      <c r="R291" s="62"/>
      <c r="S291" s="58"/>
      <c r="T291" s="58" t="s">
        <v>94</v>
      </c>
      <c r="V291" s="58"/>
      <c r="W291" s="58"/>
      <c r="X291" s="58"/>
      <c r="Y291" s="58"/>
      <c r="AA291" s="1912"/>
      <c r="AB291" s="1912"/>
      <c r="AC291" s="1912"/>
      <c r="AD291" s="1912"/>
      <c r="AE291" s="1912"/>
      <c r="AF291" s="1912"/>
      <c r="AG291" s="60"/>
      <c r="AH291" s="60"/>
      <c r="AI291" s="62"/>
      <c r="AJ291" s="62"/>
      <c r="AK291" s="62"/>
      <c r="BN291" s="61"/>
    </row>
    <row r="292" spans="2:66" ht="12.75" customHeight="1">
      <c r="B292" s="58" t="s">
        <v>80</v>
      </c>
      <c r="C292" s="58"/>
      <c r="D292" s="58"/>
      <c r="E292" s="58"/>
      <c r="F292" s="58"/>
      <c r="G292" s="58"/>
      <c r="H292" s="1889" t="s">
        <v>2482</v>
      </c>
      <c r="I292" s="1889"/>
      <c r="J292" s="1889"/>
      <c r="K292" s="1889"/>
      <c r="L292" s="1889"/>
      <c r="M292" s="1889"/>
      <c r="N292" s="1887"/>
      <c r="O292" s="1887"/>
      <c r="P292" s="1887"/>
      <c r="Q292" s="1887"/>
      <c r="R292" s="1887"/>
      <c r="S292" s="58"/>
      <c r="T292" s="58" t="s">
        <v>80</v>
      </c>
      <c r="V292" s="58"/>
      <c r="W292" s="58"/>
      <c r="X292" s="58"/>
      <c r="Y292" s="58"/>
      <c r="AA292" s="1889" t="s">
        <v>2503</v>
      </c>
      <c r="AB292" s="1889"/>
      <c r="AC292" s="1889"/>
      <c r="AD292" s="1889"/>
      <c r="AE292" s="1889"/>
      <c r="AF292" s="1889"/>
      <c r="AG292" s="1887"/>
      <c r="AH292" s="1887"/>
      <c r="AI292" s="1887"/>
      <c r="AJ292" s="1887"/>
      <c r="AK292" s="1887"/>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328</v>
      </c>
      <c r="C294" s="58"/>
      <c r="D294" s="58"/>
      <c r="E294" s="58"/>
      <c r="F294" s="58"/>
      <c r="H294" s="1887" t="s">
        <v>2504</v>
      </c>
      <c r="I294" s="1887"/>
      <c r="J294" s="1887"/>
      <c r="K294" s="1887"/>
      <c r="L294" s="1887"/>
      <c r="M294" s="1887"/>
      <c r="N294" s="1887"/>
      <c r="O294" s="1887"/>
      <c r="P294" s="1887"/>
      <c r="Q294" s="1887"/>
      <c r="R294" s="1887"/>
      <c r="T294" s="58" t="s">
        <v>370</v>
      </c>
      <c r="V294" s="58"/>
      <c r="W294" s="58"/>
      <c r="X294" s="58"/>
      <c r="Y294" s="58"/>
      <c r="AA294" s="1887" t="s">
        <v>2505</v>
      </c>
      <c r="AB294" s="1887"/>
      <c r="AC294" s="1887"/>
      <c r="AD294" s="1887"/>
      <c r="AE294" s="1887"/>
      <c r="AF294" s="1887"/>
      <c r="AG294" s="1887"/>
      <c r="AH294" s="1887"/>
      <c r="AI294" s="1887"/>
      <c r="AJ294" s="1887"/>
      <c r="AK294" s="1887"/>
      <c r="BN294" s="61"/>
    </row>
    <row r="295" spans="2:66" ht="13.2">
      <c r="B295" s="58" t="s">
        <v>495</v>
      </c>
      <c r="C295" s="58"/>
      <c r="D295" s="58"/>
      <c r="E295" s="58"/>
      <c r="F295" s="58"/>
      <c r="H295" s="1889" t="s">
        <v>2506</v>
      </c>
      <c r="I295" s="1889"/>
      <c r="J295" s="1889"/>
      <c r="K295" s="1889"/>
      <c r="L295" s="1889"/>
      <c r="M295" s="1889"/>
      <c r="N295" s="1889"/>
      <c r="O295" s="1889"/>
      <c r="P295" s="1889"/>
      <c r="Q295" s="1889"/>
      <c r="R295" s="1889"/>
      <c r="T295" s="58" t="s">
        <v>495</v>
      </c>
      <c r="V295" s="58"/>
      <c r="W295" s="58"/>
      <c r="X295" s="58"/>
      <c r="Y295" s="58"/>
      <c r="AA295" s="1889" t="s">
        <v>2507</v>
      </c>
      <c r="AB295" s="1889"/>
      <c r="AC295" s="1889"/>
      <c r="AD295" s="1889"/>
      <c r="AE295" s="1889"/>
      <c r="AF295" s="1889"/>
      <c r="AG295" s="1889"/>
      <c r="AH295" s="1889"/>
      <c r="AI295" s="1889"/>
      <c r="AJ295" s="1889"/>
      <c r="AK295" s="1889"/>
      <c r="BN295" s="61"/>
    </row>
    <row r="296" spans="2:66" ht="13.2">
      <c r="B296" s="58" t="s">
        <v>496</v>
      </c>
      <c r="C296" s="58"/>
      <c r="D296" s="58"/>
      <c r="E296" s="58"/>
      <c r="F296" s="58"/>
      <c r="H296" s="1889" t="s">
        <v>2508</v>
      </c>
      <c r="I296" s="1889"/>
      <c r="J296" s="1889"/>
      <c r="K296" s="1889"/>
      <c r="L296" s="1889"/>
      <c r="M296" s="1889"/>
      <c r="N296" s="1889"/>
      <c r="O296" s="1889"/>
      <c r="P296" s="1889"/>
      <c r="Q296" s="1889"/>
      <c r="R296" s="1889"/>
      <c r="T296" s="58" t="s">
        <v>79</v>
      </c>
      <c r="V296" s="58"/>
      <c r="W296" s="58"/>
      <c r="X296" s="58"/>
      <c r="Y296" s="58"/>
      <c r="AA296" s="1889" t="s">
        <v>2509</v>
      </c>
      <c r="AB296" s="1889"/>
      <c r="AC296" s="1889"/>
      <c r="AD296" s="1889"/>
      <c r="AE296" s="1889"/>
      <c r="AF296" s="1889"/>
      <c r="AG296" s="1889"/>
      <c r="AH296" s="1889"/>
      <c r="AI296" s="1889"/>
      <c r="AJ296" s="1889"/>
      <c r="AK296" s="1889"/>
      <c r="BN296" s="61"/>
    </row>
    <row r="297" spans="2:66" ht="13.2">
      <c r="B297" s="58" t="s">
        <v>92</v>
      </c>
      <c r="C297" s="58"/>
      <c r="D297" s="58"/>
      <c r="E297" s="58"/>
      <c r="F297" s="58"/>
      <c r="H297" s="1889" t="s">
        <v>2510</v>
      </c>
      <c r="I297" s="1889"/>
      <c r="J297" s="1889"/>
      <c r="K297" s="1889"/>
      <c r="L297" s="1889"/>
      <c r="M297" s="1889"/>
      <c r="N297" s="1889"/>
      <c r="O297" s="1889"/>
      <c r="P297" s="1889"/>
      <c r="Q297" s="1889"/>
      <c r="R297" s="1889"/>
      <c r="T297" s="58" t="s">
        <v>92</v>
      </c>
      <c r="V297" s="58"/>
      <c r="W297" s="58"/>
      <c r="X297" s="58"/>
      <c r="Y297" s="58"/>
      <c r="AA297" s="1889" t="s">
        <v>2511</v>
      </c>
      <c r="AB297" s="1889"/>
      <c r="AC297" s="1889"/>
      <c r="AD297" s="1889"/>
      <c r="AE297" s="1889"/>
      <c r="AF297" s="1889"/>
      <c r="AG297" s="1889"/>
      <c r="AH297" s="1889"/>
      <c r="AI297" s="1889"/>
      <c r="AJ297" s="1889"/>
      <c r="AK297" s="1889"/>
      <c r="BN297" s="61"/>
    </row>
    <row r="298" spans="2:66" ht="13.2">
      <c r="B298" s="58" t="s">
        <v>93</v>
      </c>
      <c r="C298" s="58"/>
      <c r="D298" s="58"/>
      <c r="E298" s="58"/>
      <c r="F298" s="58"/>
      <c r="G298" s="58"/>
      <c r="H298" s="2047" t="s">
        <v>2512</v>
      </c>
      <c r="I298" s="2036"/>
      <c r="J298" s="2036"/>
      <c r="K298" s="2036"/>
      <c r="L298" s="2036"/>
      <c r="M298" s="2036"/>
      <c r="N298" s="7" t="s">
        <v>211</v>
      </c>
      <c r="O298" s="7"/>
      <c r="P298" s="2046"/>
      <c r="Q298" s="2046"/>
      <c r="R298" s="2046"/>
      <c r="S298" s="58"/>
      <c r="T298" s="58" t="s">
        <v>93</v>
      </c>
      <c r="V298" s="58"/>
      <c r="W298" s="58"/>
      <c r="X298" s="58"/>
      <c r="Y298" s="58"/>
      <c r="AA298" s="2047" t="s">
        <v>2513</v>
      </c>
      <c r="AB298" s="2036"/>
      <c r="AC298" s="2036"/>
      <c r="AD298" s="2036"/>
      <c r="AE298" s="2036"/>
      <c r="AF298" s="2036"/>
      <c r="AG298" s="7" t="s">
        <v>211</v>
      </c>
      <c r="AH298" s="7"/>
      <c r="AI298" s="2046"/>
      <c r="AJ298" s="2046"/>
      <c r="AK298" s="2046"/>
      <c r="BN298" s="61"/>
    </row>
    <row r="299" spans="2:66" ht="12.75" customHeight="1">
      <c r="B299" s="58" t="s">
        <v>94</v>
      </c>
      <c r="C299" s="58"/>
      <c r="D299" s="58"/>
      <c r="E299" s="58"/>
      <c r="F299" s="58"/>
      <c r="G299" s="58"/>
      <c r="H299" s="1912"/>
      <c r="I299" s="1912"/>
      <c r="J299" s="1912"/>
      <c r="K299" s="1912"/>
      <c r="L299" s="1912"/>
      <c r="M299" s="1912"/>
      <c r="N299" s="60"/>
      <c r="O299" s="60"/>
      <c r="P299" s="62"/>
      <c r="Q299" s="62"/>
      <c r="R299" s="62"/>
      <c r="S299" s="58"/>
      <c r="T299" s="58" t="s">
        <v>94</v>
      </c>
      <c r="V299" s="58"/>
      <c r="W299" s="58"/>
      <c r="X299" s="58"/>
      <c r="Y299" s="58"/>
      <c r="AA299" s="1912"/>
      <c r="AB299" s="1912"/>
      <c r="AC299" s="1912"/>
      <c r="AD299" s="1912"/>
      <c r="AE299" s="1912"/>
      <c r="AF299" s="1912"/>
      <c r="AG299" s="60"/>
      <c r="AH299" s="60"/>
      <c r="AI299" s="62"/>
      <c r="AJ299" s="62"/>
      <c r="AK299" s="62"/>
      <c r="BN299" s="61"/>
    </row>
    <row r="300" spans="2:66" ht="12.75" customHeight="1">
      <c r="B300" s="58" t="s">
        <v>80</v>
      </c>
      <c r="C300" s="58"/>
      <c r="D300" s="58"/>
      <c r="E300" s="58"/>
      <c r="F300" s="58"/>
      <c r="G300" s="58"/>
      <c r="H300" s="1889" t="s">
        <v>2514</v>
      </c>
      <c r="I300" s="1889"/>
      <c r="J300" s="1889"/>
      <c r="K300" s="1889"/>
      <c r="L300" s="1889"/>
      <c r="M300" s="1889"/>
      <c r="N300" s="1887"/>
      <c r="O300" s="1887"/>
      <c r="P300" s="1887"/>
      <c r="Q300" s="1887"/>
      <c r="R300" s="1887"/>
      <c r="S300" s="58"/>
      <c r="T300" s="58" t="s">
        <v>80</v>
      </c>
      <c r="V300" s="58"/>
      <c r="W300" s="58"/>
      <c r="X300" s="58"/>
      <c r="Y300" s="58"/>
      <c r="AA300" s="1889" t="s">
        <v>2515</v>
      </c>
      <c r="AB300" s="1889"/>
      <c r="AC300" s="1889"/>
      <c r="AD300" s="1889"/>
      <c r="AE300" s="1889"/>
      <c r="AF300" s="1889"/>
      <c r="AG300" s="1887"/>
      <c r="AH300" s="1887"/>
      <c r="AI300" s="1887"/>
      <c r="AJ300" s="1887"/>
      <c r="AK300" s="1887"/>
      <c r="BN300" s="61"/>
    </row>
    <row r="301" spans="2:66" ht="12.75" customHeight="1">
      <c r="BN301" s="61"/>
    </row>
    <row r="302" spans="2:66" ht="12.75" customHeight="1">
      <c r="B302" s="58" t="s">
        <v>81</v>
      </c>
      <c r="C302" s="58"/>
      <c r="D302" s="58"/>
      <c r="E302" s="58"/>
      <c r="F302" s="58"/>
      <c r="H302" s="1887" t="s">
        <v>2504</v>
      </c>
      <c r="I302" s="1887"/>
      <c r="J302" s="1887"/>
      <c r="K302" s="1887"/>
      <c r="L302" s="1887"/>
      <c r="M302" s="1887"/>
      <c r="N302" s="1887"/>
      <c r="O302" s="1887"/>
      <c r="P302" s="1887"/>
      <c r="Q302" s="1887"/>
      <c r="R302" s="1887"/>
      <c r="T302" s="7" t="s">
        <v>924</v>
      </c>
      <c r="V302" s="58"/>
      <c r="W302" s="58"/>
      <c r="X302" s="58"/>
      <c r="Y302" s="58"/>
      <c r="AA302" s="1887" t="s">
        <v>2516</v>
      </c>
      <c r="AB302" s="1887"/>
      <c r="AC302" s="1887"/>
      <c r="AD302" s="1887"/>
      <c r="AE302" s="1887"/>
      <c r="AF302" s="1887"/>
      <c r="AG302" s="1887"/>
      <c r="AH302" s="1887"/>
      <c r="AI302" s="1887"/>
      <c r="AJ302" s="1887"/>
      <c r="AK302" s="1887"/>
      <c r="BN302" s="61"/>
    </row>
    <row r="303" spans="2:66" ht="13.2">
      <c r="B303" s="58" t="s">
        <v>495</v>
      </c>
      <c r="C303" s="58"/>
      <c r="D303" s="58"/>
      <c r="E303" s="58"/>
      <c r="F303" s="58"/>
      <c r="H303" s="1889" t="s">
        <v>2506</v>
      </c>
      <c r="I303" s="1889"/>
      <c r="J303" s="1889"/>
      <c r="K303" s="1889"/>
      <c r="L303" s="1889"/>
      <c r="M303" s="1889"/>
      <c r="N303" s="1889"/>
      <c r="O303" s="1889"/>
      <c r="P303" s="1889"/>
      <c r="Q303" s="1889"/>
      <c r="R303" s="1889"/>
      <c r="T303" s="58" t="s">
        <v>495</v>
      </c>
      <c r="V303" s="58"/>
      <c r="W303" s="58"/>
      <c r="X303" s="58"/>
      <c r="Y303" s="58"/>
      <c r="AA303" s="1889" t="s">
        <v>2517</v>
      </c>
      <c r="AB303" s="1889"/>
      <c r="AC303" s="1889"/>
      <c r="AD303" s="1889"/>
      <c r="AE303" s="1889"/>
      <c r="AF303" s="1889"/>
      <c r="AG303" s="1889"/>
      <c r="AH303" s="1889"/>
      <c r="AI303" s="1889"/>
      <c r="AJ303" s="1889"/>
      <c r="AK303" s="1889"/>
      <c r="BN303" s="61"/>
    </row>
    <row r="304" spans="2:66" ht="13.2">
      <c r="B304" s="58" t="s">
        <v>496</v>
      </c>
      <c r="C304" s="58"/>
      <c r="D304" s="58"/>
      <c r="E304" s="58"/>
      <c r="F304" s="58"/>
      <c r="H304" s="1889" t="s">
        <v>2508</v>
      </c>
      <c r="I304" s="1889"/>
      <c r="J304" s="1889"/>
      <c r="K304" s="1889"/>
      <c r="L304" s="1889"/>
      <c r="M304" s="1889"/>
      <c r="N304" s="1889"/>
      <c r="O304" s="1889"/>
      <c r="P304" s="1889"/>
      <c r="Q304" s="1889"/>
      <c r="R304" s="1889"/>
      <c r="T304" s="58" t="s">
        <v>79</v>
      </c>
      <c r="V304" s="58"/>
      <c r="W304" s="58"/>
      <c r="X304" s="58"/>
      <c r="Y304" s="58"/>
      <c r="AA304" s="1889" t="s">
        <v>2518</v>
      </c>
      <c r="AB304" s="1889"/>
      <c r="AC304" s="1889"/>
      <c r="AD304" s="1889"/>
      <c r="AE304" s="1889"/>
      <c r="AF304" s="1889"/>
      <c r="AG304" s="1889"/>
      <c r="AH304" s="1889"/>
      <c r="AI304" s="1889"/>
      <c r="AJ304" s="1889"/>
      <c r="AK304" s="1889"/>
      <c r="BN304" s="61"/>
    </row>
    <row r="305" spans="2:66" ht="13.2">
      <c r="B305" s="58" t="s">
        <v>92</v>
      </c>
      <c r="C305" s="58"/>
      <c r="D305" s="58"/>
      <c r="E305" s="58"/>
      <c r="F305" s="58"/>
      <c r="H305" s="1889" t="s">
        <v>2510</v>
      </c>
      <c r="I305" s="1889"/>
      <c r="J305" s="1889"/>
      <c r="K305" s="1889"/>
      <c r="L305" s="1889"/>
      <c r="M305" s="1889"/>
      <c r="N305" s="1889"/>
      <c r="O305" s="1889"/>
      <c r="P305" s="1889"/>
      <c r="Q305" s="1889"/>
      <c r="R305" s="1889"/>
      <c r="T305" s="58" t="s">
        <v>92</v>
      </c>
      <c r="V305" s="58"/>
      <c r="W305" s="58"/>
      <c r="X305" s="58"/>
      <c r="Y305" s="58"/>
      <c r="AA305" s="1889" t="s">
        <v>2519</v>
      </c>
      <c r="AB305" s="1889"/>
      <c r="AC305" s="1889"/>
      <c r="AD305" s="1889"/>
      <c r="AE305" s="1889"/>
      <c r="AF305" s="1889"/>
      <c r="AG305" s="1889"/>
      <c r="AH305" s="1889"/>
      <c r="AI305" s="1889"/>
      <c r="AJ305" s="1889"/>
      <c r="AK305" s="1889"/>
      <c r="BN305" s="61"/>
    </row>
    <row r="306" spans="2:66" ht="13.2">
      <c r="B306" s="58" t="s">
        <v>93</v>
      </c>
      <c r="C306" s="58"/>
      <c r="D306" s="58"/>
      <c r="E306" s="58"/>
      <c r="F306" s="58"/>
      <c r="G306" s="58"/>
      <c r="H306" s="2047" t="s">
        <v>2512</v>
      </c>
      <c r="I306" s="2036"/>
      <c r="J306" s="2036"/>
      <c r="K306" s="2036"/>
      <c r="L306" s="2036"/>
      <c r="M306" s="2036"/>
      <c r="N306" s="7" t="s">
        <v>211</v>
      </c>
      <c r="O306" s="7"/>
      <c r="P306" s="2046"/>
      <c r="Q306" s="2046"/>
      <c r="R306" s="2046"/>
      <c r="S306" s="58"/>
      <c r="T306" s="58" t="s">
        <v>93</v>
      </c>
      <c r="V306" s="58"/>
      <c r="W306" s="58"/>
      <c r="X306" s="58"/>
      <c r="Y306" s="58"/>
      <c r="AA306" s="2047" t="s">
        <v>2520</v>
      </c>
      <c r="AB306" s="2036"/>
      <c r="AC306" s="2036"/>
      <c r="AD306" s="2036"/>
      <c r="AE306" s="2036"/>
      <c r="AF306" s="2036"/>
      <c r="AG306" s="7" t="s">
        <v>211</v>
      </c>
      <c r="AH306" s="7"/>
      <c r="AI306" s="2046"/>
      <c r="AJ306" s="2046"/>
      <c r="AK306" s="2046"/>
      <c r="BN306" s="61"/>
    </row>
    <row r="307" spans="2:66" ht="13.2">
      <c r="B307" s="58" t="s">
        <v>94</v>
      </c>
      <c r="C307" s="58"/>
      <c r="D307" s="58"/>
      <c r="E307" s="58"/>
      <c r="F307" s="58"/>
      <c r="G307" s="58"/>
      <c r="H307" s="1912"/>
      <c r="I307" s="1912"/>
      <c r="J307" s="1912"/>
      <c r="K307" s="1912"/>
      <c r="L307" s="1912"/>
      <c r="M307" s="1912"/>
      <c r="N307" s="60"/>
      <c r="O307" s="60"/>
      <c r="P307" s="62"/>
      <c r="Q307" s="62"/>
      <c r="R307" s="62"/>
      <c r="S307" s="58"/>
      <c r="T307" s="58" t="s">
        <v>94</v>
      </c>
      <c r="V307" s="58"/>
      <c r="W307" s="58"/>
      <c r="X307" s="58"/>
      <c r="Y307" s="58"/>
      <c r="AA307" s="1912"/>
      <c r="AB307" s="1912"/>
      <c r="AC307" s="1912"/>
      <c r="AD307" s="1912"/>
      <c r="AE307" s="1912"/>
      <c r="AF307" s="1912"/>
      <c r="AG307" s="60"/>
      <c r="AH307" s="60"/>
      <c r="AI307" s="62"/>
      <c r="AJ307" s="62"/>
      <c r="AK307" s="62"/>
      <c r="BN307" s="61"/>
    </row>
    <row r="308" spans="2:66" ht="13.2">
      <c r="B308" s="58" t="s">
        <v>80</v>
      </c>
      <c r="C308" s="58"/>
      <c r="D308" s="58"/>
      <c r="E308" s="58"/>
      <c r="F308" s="58"/>
      <c r="G308" s="58"/>
      <c r="H308" s="1889" t="s">
        <v>2514</v>
      </c>
      <c r="I308" s="1889"/>
      <c r="J308" s="1889"/>
      <c r="K308" s="1889"/>
      <c r="L308" s="1889"/>
      <c r="M308" s="1889"/>
      <c r="N308" s="1887"/>
      <c r="O308" s="1887"/>
      <c r="P308" s="1887"/>
      <c r="Q308" s="1887"/>
      <c r="R308" s="1887"/>
      <c r="S308" s="58"/>
      <c r="T308" s="58" t="s">
        <v>80</v>
      </c>
      <c r="V308" s="58"/>
      <c r="W308" s="58"/>
      <c r="X308" s="58"/>
      <c r="Y308" s="58"/>
      <c r="AA308" s="1889" t="s">
        <v>2521</v>
      </c>
      <c r="AB308" s="1889"/>
      <c r="AC308" s="1889"/>
      <c r="AD308" s="1889"/>
      <c r="AE308" s="1889"/>
      <c r="AF308" s="1889"/>
      <c r="AG308" s="1887"/>
      <c r="AH308" s="1887"/>
      <c r="AI308" s="1887"/>
      <c r="AJ308" s="1887"/>
      <c r="AK308" s="1887"/>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957</v>
      </c>
      <c r="C310" s="58"/>
      <c r="D310" s="58"/>
      <c r="E310" s="58"/>
      <c r="F310" s="58"/>
      <c r="H310" s="1887" t="s">
        <v>2523</v>
      </c>
      <c r="I310" s="1887"/>
      <c r="J310" s="1887"/>
      <c r="K310" s="1887"/>
      <c r="L310" s="1887"/>
      <c r="M310" s="1887"/>
      <c r="N310" s="1887"/>
      <c r="O310" s="1887"/>
      <c r="P310" s="1887"/>
      <c r="Q310" s="1887"/>
      <c r="R310" s="1887"/>
      <c r="S310" s="58"/>
      <c r="T310" s="58" t="s">
        <v>371</v>
      </c>
      <c r="V310" s="58"/>
      <c r="W310" s="58"/>
      <c r="X310" s="58"/>
      <c r="Y310" s="58"/>
      <c r="AA310" s="1887" t="s">
        <v>2522</v>
      </c>
      <c r="AB310" s="1887"/>
      <c r="AC310" s="1887"/>
      <c r="AD310" s="1887"/>
      <c r="AE310" s="1887"/>
      <c r="AF310" s="1887"/>
      <c r="AG310" s="1887"/>
      <c r="AH310" s="1887"/>
      <c r="AI310" s="1887"/>
      <c r="AJ310" s="1887"/>
      <c r="AK310" s="1887"/>
      <c r="BN310" s="61"/>
    </row>
    <row r="311" spans="2:66" ht="13.2">
      <c r="B311" s="58" t="s">
        <v>495</v>
      </c>
      <c r="C311" s="58"/>
      <c r="D311" s="58"/>
      <c r="E311" s="58"/>
      <c r="F311" s="58"/>
      <c r="H311" s="1889" t="s">
        <v>2524</v>
      </c>
      <c r="I311" s="1889"/>
      <c r="J311" s="1889"/>
      <c r="K311" s="1889"/>
      <c r="L311" s="1889"/>
      <c r="M311" s="1889"/>
      <c r="N311" s="1889"/>
      <c r="O311" s="1889"/>
      <c r="P311" s="1889"/>
      <c r="Q311" s="1889"/>
      <c r="R311" s="1889"/>
      <c r="S311" s="58"/>
      <c r="T311" s="58" t="s">
        <v>495</v>
      </c>
      <c r="V311" s="58"/>
      <c r="W311" s="58"/>
      <c r="X311" s="58"/>
      <c r="Y311" s="58"/>
      <c r="AA311" s="1889"/>
      <c r="AB311" s="1889"/>
      <c r="AC311" s="1889"/>
      <c r="AD311" s="1889"/>
      <c r="AE311" s="1889"/>
      <c r="AF311" s="1889"/>
      <c r="AG311" s="1889"/>
      <c r="AH311" s="1889"/>
      <c r="AI311" s="1889"/>
      <c r="AJ311" s="1889"/>
      <c r="AK311" s="1889"/>
      <c r="BN311" s="61"/>
    </row>
    <row r="312" spans="2:66" ht="12.75" customHeight="1">
      <c r="B312" s="58" t="s">
        <v>496</v>
      </c>
      <c r="C312" s="58"/>
      <c r="D312" s="58"/>
      <c r="E312" s="58"/>
      <c r="F312" s="58"/>
      <c r="H312" s="1889" t="s">
        <v>2525</v>
      </c>
      <c r="I312" s="1889"/>
      <c r="J312" s="1889"/>
      <c r="K312" s="1889"/>
      <c r="L312" s="1889"/>
      <c r="M312" s="1889"/>
      <c r="N312" s="1889"/>
      <c r="O312" s="1889"/>
      <c r="P312" s="1889"/>
      <c r="Q312" s="1889"/>
      <c r="R312" s="1889"/>
      <c r="S312" s="58"/>
      <c r="T312" s="58" t="s">
        <v>79</v>
      </c>
      <c r="V312" s="58"/>
      <c r="W312" s="58"/>
      <c r="X312" s="58"/>
      <c r="Y312" s="58"/>
      <c r="AA312" s="1889"/>
      <c r="AB312" s="1889"/>
      <c r="AC312" s="1889"/>
      <c r="AD312" s="1889"/>
      <c r="AE312" s="1889"/>
      <c r="AF312" s="1889"/>
      <c r="AG312" s="1889"/>
      <c r="AH312" s="1889"/>
      <c r="AI312" s="1889"/>
      <c r="AJ312" s="1889"/>
      <c r="AK312" s="1889"/>
      <c r="BN312" s="61"/>
    </row>
    <row r="313" spans="2:66" ht="13.2">
      <c r="B313" s="58" t="s">
        <v>92</v>
      </c>
      <c r="C313" s="58"/>
      <c r="D313" s="58"/>
      <c r="E313" s="58"/>
      <c r="F313" s="58"/>
      <c r="H313" s="1889" t="s">
        <v>2526</v>
      </c>
      <c r="I313" s="1889"/>
      <c r="J313" s="1889"/>
      <c r="K313" s="1889"/>
      <c r="L313" s="1889"/>
      <c r="M313" s="1889"/>
      <c r="N313" s="1889"/>
      <c r="O313" s="1889"/>
      <c r="P313" s="1889"/>
      <c r="Q313" s="1889"/>
      <c r="R313" s="1889"/>
      <c r="S313" s="58"/>
      <c r="T313" s="58" t="s">
        <v>92</v>
      </c>
      <c r="V313" s="58"/>
      <c r="W313" s="58"/>
      <c r="X313" s="58"/>
      <c r="Y313" s="58"/>
      <c r="AA313" s="1889"/>
      <c r="AB313" s="1889"/>
      <c r="AC313" s="1889"/>
      <c r="AD313" s="1889"/>
      <c r="AE313" s="1889"/>
      <c r="AF313" s="1889"/>
      <c r="AG313" s="1889"/>
      <c r="AH313" s="1889"/>
      <c r="AI313" s="1889"/>
      <c r="AJ313" s="1889"/>
      <c r="AK313" s="1889"/>
      <c r="BN313" s="61"/>
    </row>
    <row r="314" spans="2:66" ht="13.2">
      <c r="B314" s="58" t="s">
        <v>93</v>
      </c>
      <c r="C314" s="58"/>
      <c r="D314" s="58"/>
      <c r="E314" s="58"/>
      <c r="F314" s="58"/>
      <c r="G314" s="58"/>
      <c r="H314" s="2047" t="s">
        <v>2527</v>
      </c>
      <c r="I314" s="2036"/>
      <c r="J314" s="2036"/>
      <c r="K314" s="2036"/>
      <c r="L314" s="2036"/>
      <c r="M314" s="2036"/>
      <c r="N314" s="7" t="s">
        <v>211</v>
      </c>
      <c r="O314" s="7"/>
      <c r="P314" s="2046"/>
      <c r="Q314" s="2046"/>
      <c r="R314" s="2046"/>
      <c r="S314" s="58"/>
      <c r="T314" s="58" t="s">
        <v>93</v>
      </c>
      <c r="V314" s="58"/>
      <c r="W314" s="58"/>
      <c r="X314" s="58"/>
      <c r="Y314" s="58"/>
      <c r="AA314" s="2036"/>
      <c r="AB314" s="2036"/>
      <c r="AC314" s="2036"/>
      <c r="AD314" s="2036"/>
      <c r="AE314" s="2036"/>
      <c r="AF314" s="2036"/>
      <c r="AG314" s="7" t="s">
        <v>211</v>
      </c>
      <c r="AH314" s="7"/>
      <c r="AI314" s="2046"/>
      <c r="AJ314" s="2046"/>
      <c r="AK314" s="2046"/>
      <c r="BN314" s="61"/>
    </row>
    <row r="315" spans="2:66" ht="13.2">
      <c r="B315" s="58" t="s">
        <v>94</v>
      </c>
      <c r="C315" s="58"/>
      <c r="D315" s="58"/>
      <c r="E315" s="58"/>
      <c r="F315" s="58"/>
      <c r="G315" s="58"/>
      <c r="H315" s="1997" t="s">
        <v>2528</v>
      </c>
      <c r="I315" s="1912"/>
      <c r="J315" s="1912"/>
      <c r="K315" s="1912"/>
      <c r="L315" s="1912"/>
      <c r="M315" s="1912"/>
      <c r="N315" s="60"/>
      <c r="O315" s="60"/>
      <c r="P315" s="62"/>
      <c r="Q315" s="62"/>
      <c r="R315" s="62"/>
      <c r="S315" s="58"/>
      <c r="T315" s="58" t="s">
        <v>94</v>
      </c>
      <c r="V315" s="58"/>
      <c r="W315" s="58"/>
      <c r="X315" s="58"/>
      <c r="Y315" s="58"/>
      <c r="AA315" s="1912"/>
      <c r="AB315" s="1912"/>
      <c r="AC315" s="1912"/>
      <c r="AD315" s="1912"/>
      <c r="AE315" s="1912"/>
      <c r="AF315" s="1912"/>
      <c r="AG315" s="60"/>
      <c r="AH315" s="60"/>
      <c r="AI315" s="62"/>
      <c r="AJ315" s="62"/>
      <c r="AK315" s="62"/>
      <c r="BN315" s="61"/>
    </row>
    <row r="316" spans="2:66" ht="13.2">
      <c r="B316" s="58" t="s">
        <v>80</v>
      </c>
      <c r="C316" s="58"/>
      <c r="D316" s="58"/>
      <c r="E316" s="58"/>
      <c r="F316" s="58"/>
      <c r="G316" s="58"/>
      <c r="H316" s="1889" t="s">
        <v>2529</v>
      </c>
      <c r="I316" s="1889"/>
      <c r="J316" s="1889"/>
      <c r="K316" s="1889"/>
      <c r="L316" s="1889"/>
      <c r="M316" s="1889"/>
      <c r="N316" s="1887"/>
      <c r="O316" s="1887"/>
      <c r="P316" s="1887"/>
      <c r="Q316" s="1887"/>
      <c r="R316" s="1887"/>
      <c r="S316" s="58"/>
      <c r="T316" s="58" t="s">
        <v>80</v>
      </c>
      <c r="V316" s="58"/>
      <c r="W316" s="58"/>
      <c r="X316" s="58"/>
      <c r="Y316" s="58"/>
      <c r="AA316" s="1889"/>
      <c r="AB316" s="1889"/>
      <c r="AC316" s="1889"/>
      <c r="AD316" s="1889"/>
      <c r="AE316" s="1889"/>
      <c r="AF316" s="1889"/>
      <c r="AG316" s="1887"/>
      <c r="AH316" s="1887"/>
      <c r="AI316" s="1887"/>
      <c r="AJ316" s="1887"/>
      <c r="AK316" s="1887"/>
      <c r="BN316" s="61"/>
    </row>
    <row r="317" spans="2:66" ht="13.2">
      <c r="BN317" s="61"/>
    </row>
    <row r="318" spans="2:66" ht="13.2">
      <c r="B318" s="7" t="s">
        <v>958</v>
      </c>
      <c r="C318" s="58"/>
      <c r="D318" s="58"/>
      <c r="E318" s="58"/>
      <c r="F318" s="58"/>
      <c r="H318" s="1887" t="s">
        <v>2530</v>
      </c>
      <c r="I318" s="1887"/>
      <c r="J318" s="1887"/>
      <c r="K318" s="1887"/>
      <c r="L318" s="1887"/>
      <c r="M318" s="1887"/>
      <c r="N318" s="1887"/>
      <c r="O318" s="1887"/>
      <c r="P318" s="1887"/>
      <c r="Q318" s="1887"/>
      <c r="R318" s="1887"/>
      <c r="T318" s="58" t="s">
        <v>372</v>
      </c>
      <c r="V318" s="58"/>
      <c r="W318" s="58"/>
      <c r="X318" s="58"/>
      <c r="Y318" s="58"/>
      <c r="AA318" s="1887" t="s">
        <v>2535</v>
      </c>
      <c r="AB318" s="1887"/>
      <c r="AC318" s="1887"/>
      <c r="AD318" s="1887"/>
      <c r="AE318" s="1887"/>
      <c r="AF318" s="1887"/>
      <c r="AG318" s="1887"/>
      <c r="AH318" s="1887"/>
      <c r="AI318" s="1887"/>
      <c r="AJ318" s="1887"/>
      <c r="AK318" s="1887"/>
      <c r="BN318" s="61"/>
    </row>
    <row r="319" spans="2:66" ht="13.2">
      <c r="B319" s="58" t="s">
        <v>495</v>
      </c>
      <c r="C319" s="58"/>
      <c r="D319" s="58"/>
      <c r="E319" s="58"/>
      <c r="F319" s="58"/>
      <c r="H319" s="1889" t="s">
        <v>2531</v>
      </c>
      <c r="I319" s="1889"/>
      <c r="J319" s="1889"/>
      <c r="K319" s="1889"/>
      <c r="L319" s="1889"/>
      <c r="M319" s="1889"/>
      <c r="N319" s="1889"/>
      <c r="O319" s="1889"/>
      <c r="P319" s="1889"/>
      <c r="Q319" s="1889"/>
      <c r="R319" s="1889"/>
      <c r="T319" s="58" t="s">
        <v>495</v>
      </c>
      <c r="V319" s="58"/>
      <c r="W319" s="58"/>
      <c r="X319" s="58"/>
      <c r="Y319" s="58"/>
      <c r="AA319" s="1889" t="s">
        <v>2536</v>
      </c>
      <c r="AB319" s="1889"/>
      <c r="AC319" s="1889"/>
      <c r="AD319" s="1889"/>
      <c r="AE319" s="1889"/>
      <c r="AF319" s="1889"/>
      <c r="AG319" s="1889"/>
      <c r="AH319" s="1889"/>
      <c r="AI319" s="1889"/>
      <c r="AJ319" s="1889"/>
      <c r="AK319" s="1889"/>
      <c r="BN319" s="61"/>
    </row>
    <row r="320" spans="2:66" ht="13.2">
      <c r="B320" s="58" t="s">
        <v>496</v>
      </c>
      <c r="C320" s="58"/>
      <c r="D320" s="58"/>
      <c r="E320" s="58"/>
      <c r="F320" s="58"/>
      <c r="H320" s="1889" t="s">
        <v>2509</v>
      </c>
      <c r="I320" s="1889"/>
      <c r="J320" s="1889"/>
      <c r="K320" s="1889"/>
      <c r="L320" s="1889"/>
      <c r="M320" s="1889"/>
      <c r="N320" s="1889"/>
      <c r="O320" s="1889"/>
      <c r="P320" s="1889"/>
      <c r="Q320" s="1889"/>
      <c r="R320" s="1889"/>
      <c r="T320" s="58" t="s">
        <v>79</v>
      </c>
      <c r="V320" s="58"/>
      <c r="W320" s="58"/>
      <c r="X320" s="58"/>
      <c r="Y320" s="58"/>
      <c r="AA320" s="1889" t="s">
        <v>2537</v>
      </c>
      <c r="AB320" s="1889"/>
      <c r="AC320" s="1889"/>
      <c r="AD320" s="1889"/>
      <c r="AE320" s="1889"/>
      <c r="AF320" s="1889"/>
      <c r="AG320" s="1889"/>
      <c r="AH320" s="1889"/>
      <c r="AI320" s="1889"/>
      <c r="AJ320" s="1889"/>
      <c r="AK320" s="1889"/>
      <c r="BN320" s="61"/>
    </row>
    <row r="321" spans="1:66" ht="12.75" customHeight="1">
      <c r="A321" s="39"/>
      <c r="B321" s="58" t="s">
        <v>92</v>
      </c>
      <c r="C321" s="58"/>
      <c r="D321" s="58"/>
      <c r="E321" s="58"/>
      <c r="F321" s="58"/>
      <c r="H321" s="1889" t="s">
        <v>2532</v>
      </c>
      <c r="I321" s="1889"/>
      <c r="J321" s="1889"/>
      <c r="K321" s="1889"/>
      <c r="L321" s="1889"/>
      <c r="M321" s="1889"/>
      <c r="N321" s="1889"/>
      <c r="O321" s="1889"/>
      <c r="P321" s="1889"/>
      <c r="Q321" s="1889"/>
      <c r="R321" s="1889"/>
      <c r="T321" s="58" t="s">
        <v>92</v>
      </c>
      <c r="V321" s="58"/>
      <c r="W321" s="58"/>
      <c r="X321" s="58"/>
      <c r="Y321" s="58"/>
      <c r="AA321" s="1889" t="s">
        <v>2538</v>
      </c>
      <c r="AB321" s="1889"/>
      <c r="AC321" s="1889"/>
      <c r="AD321" s="1889"/>
      <c r="AE321" s="1889"/>
      <c r="AF321" s="1889"/>
      <c r="AG321" s="1889"/>
      <c r="AH321" s="1889"/>
      <c r="AI321" s="1889"/>
      <c r="AJ321" s="1889"/>
      <c r="AK321" s="1889"/>
      <c r="AL321" s="39"/>
      <c r="BN321" s="61"/>
    </row>
    <row r="322" spans="1:66" ht="13.2">
      <c r="A322" s="39"/>
      <c r="B322" s="58" t="s">
        <v>93</v>
      </c>
      <c r="C322" s="58"/>
      <c r="D322" s="58"/>
      <c r="E322" s="58"/>
      <c r="F322" s="58"/>
      <c r="G322" s="58"/>
      <c r="H322" s="2047" t="s">
        <v>2533</v>
      </c>
      <c r="I322" s="2036"/>
      <c r="J322" s="2036"/>
      <c r="K322" s="2036"/>
      <c r="L322" s="2036"/>
      <c r="M322" s="2036"/>
      <c r="N322" s="7" t="s">
        <v>211</v>
      </c>
      <c r="O322" s="7"/>
      <c r="P322" s="2046">
        <v>318</v>
      </c>
      <c r="Q322" s="2046"/>
      <c r="R322" s="2046"/>
      <c r="S322" s="58"/>
      <c r="T322" s="58" t="s">
        <v>93</v>
      </c>
      <c r="V322" s="58"/>
      <c r="W322" s="58"/>
      <c r="X322" s="58"/>
      <c r="Y322" s="58"/>
      <c r="AA322" s="2047" t="s">
        <v>2539</v>
      </c>
      <c r="AB322" s="2036"/>
      <c r="AC322" s="2036"/>
      <c r="AD322" s="2036"/>
      <c r="AE322" s="2036"/>
      <c r="AF322" s="2036"/>
      <c r="AG322" s="7" t="s">
        <v>211</v>
      </c>
      <c r="AH322" s="7"/>
      <c r="AI322" s="2046"/>
      <c r="AJ322" s="2046"/>
      <c r="AK322" s="2046"/>
      <c r="AL322" s="39"/>
      <c r="BN322" s="61"/>
    </row>
    <row r="323" spans="1:66" ht="12.75" customHeight="1">
      <c r="A323" s="39"/>
      <c r="B323" s="58" t="s">
        <v>94</v>
      </c>
      <c r="C323" s="58"/>
      <c r="D323" s="58"/>
      <c r="E323" s="58"/>
      <c r="F323" s="58"/>
      <c r="G323" s="58"/>
      <c r="H323" s="1912"/>
      <c r="I323" s="1912"/>
      <c r="J323" s="1912"/>
      <c r="K323" s="1912"/>
      <c r="L323" s="1912"/>
      <c r="M323" s="1912"/>
      <c r="N323" s="60"/>
      <c r="O323" s="60"/>
      <c r="P323" s="62"/>
      <c r="Q323" s="62"/>
      <c r="R323" s="62"/>
      <c r="S323" s="58"/>
      <c r="T323" s="58" t="s">
        <v>94</v>
      </c>
      <c r="V323" s="58"/>
      <c r="W323" s="58"/>
      <c r="X323" s="58"/>
      <c r="Y323" s="58"/>
      <c r="AA323" s="1912"/>
      <c r="AB323" s="1912"/>
      <c r="AC323" s="1912"/>
      <c r="AD323" s="1912"/>
      <c r="AE323" s="1912"/>
      <c r="AF323" s="1912"/>
      <c r="AG323" s="60"/>
      <c r="AH323" s="60"/>
      <c r="AI323" s="62"/>
      <c r="AJ323" s="62"/>
      <c r="AK323" s="62"/>
      <c r="AL323" s="39"/>
    </row>
    <row r="324" spans="1:66" ht="13.2">
      <c r="A324" s="39"/>
      <c r="B324" s="58" t="s">
        <v>80</v>
      </c>
      <c r="C324" s="58"/>
      <c r="D324" s="58"/>
      <c r="E324" s="58"/>
      <c r="F324" s="58"/>
      <c r="G324" s="58"/>
      <c r="H324" s="1889" t="s">
        <v>2534</v>
      </c>
      <c r="I324" s="1889"/>
      <c r="J324" s="1889"/>
      <c r="K324" s="1889"/>
      <c r="L324" s="1889"/>
      <c r="M324" s="1889"/>
      <c r="N324" s="1887"/>
      <c r="O324" s="1887"/>
      <c r="P324" s="1887"/>
      <c r="Q324" s="1887"/>
      <c r="R324" s="1887"/>
      <c r="S324" s="58"/>
      <c r="T324" s="58" t="s">
        <v>80</v>
      </c>
      <c r="V324" s="58"/>
      <c r="W324" s="58"/>
      <c r="X324" s="58"/>
      <c r="Y324" s="58"/>
      <c r="AA324" s="1889" t="s">
        <v>2540</v>
      </c>
      <c r="AB324" s="1889"/>
      <c r="AC324" s="1889"/>
      <c r="AD324" s="1889"/>
      <c r="AE324" s="1889"/>
      <c r="AF324" s="1889"/>
      <c r="AG324" s="1887"/>
      <c r="AH324" s="1887"/>
      <c r="AI324" s="1887"/>
      <c r="AJ324" s="1887"/>
      <c r="AK324" s="1887"/>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373</v>
      </c>
      <c r="C326" s="58"/>
      <c r="D326" s="58"/>
      <c r="E326" s="58"/>
      <c r="F326" s="58"/>
      <c r="H326" s="1887" t="s">
        <v>616</v>
      </c>
      <c r="I326" s="1887"/>
      <c r="J326" s="1887"/>
      <c r="K326" s="1887"/>
      <c r="L326" s="1887"/>
      <c r="M326" s="1887"/>
      <c r="N326" s="1887"/>
      <c r="O326" s="1887"/>
      <c r="P326" s="1887"/>
      <c r="Q326" s="1887"/>
      <c r="R326" s="1887"/>
      <c r="T326" s="58" t="s">
        <v>374</v>
      </c>
      <c r="V326" s="58"/>
      <c r="W326" s="58"/>
      <c r="X326" s="58"/>
      <c r="Y326" s="58"/>
      <c r="AA326" s="1887" t="s">
        <v>616</v>
      </c>
      <c r="AB326" s="1887"/>
      <c r="AC326" s="1887"/>
      <c r="AD326" s="1887"/>
      <c r="AE326" s="1887"/>
      <c r="AF326" s="1887"/>
      <c r="AG326" s="1887"/>
      <c r="AH326" s="1887"/>
      <c r="AI326" s="1887"/>
      <c r="AJ326" s="1887"/>
      <c r="AK326" s="1887"/>
      <c r="AL326" s="39"/>
    </row>
    <row r="327" spans="1:66" ht="13.2">
      <c r="A327" s="39"/>
      <c r="B327" s="58" t="s">
        <v>495</v>
      </c>
      <c r="C327" s="58"/>
      <c r="D327" s="58"/>
      <c r="E327" s="58"/>
      <c r="F327" s="58"/>
      <c r="H327" s="1889"/>
      <c r="I327" s="1889"/>
      <c r="J327" s="1889"/>
      <c r="K327" s="1889"/>
      <c r="L327" s="1889"/>
      <c r="M327" s="1889"/>
      <c r="N327" s="1889"/>
      <c r="O327" s="1889"/>
      <c r="P327" s="1889"/>
      <c r="Q327" s="1889"/>
      <c r="R327" s="1889"/>
      <c r="T327" s="58" t="s">
        <v>495</v>
      </c>
      <c r="V327" s="58"/>
      <c r="W327" s="58"/>
      <c r="X327" s="58"/>
      <c r="Y327" s="58"/>
      <c r="AA327" s="1889"/>
      <c r="AB327" s="1889"/>
      <c r="AC327" s="1889"/>
      <c r="AD327" s="1889"/>
      <c r="AE327" s="1889"/>
      <c r="AF327" s="1889"/>
      <c r="AG327" s="1889"/>
      <c r="AH327" s="1889"/>
      <c r="AI327" s="1889"/>
      <c r="AJ327" s="1889"/>
      <c r="AK327" s="1889"/>
      <c r="AL327" s="39"/>
    </row>
    <row r="328" spans="1:66" ht="13.2">
      <c r="A328" s="39"/>
      <c r="B328" s="58" t="s">
        <v>496</v>
      </c>
      <c r="C328" s="58"/>
      <c r="D328" s="58"/>
      <c r="E328" s="58"/>
      <c r="F328" s="58"/>
      <c r="H328" s="1889"/>
      <c r="I328" s="1889"/>
      <c r="J328" s="1889"/>
      <c r="K328" s="1889"/>
      <c r="L328" s="1889"/>
      <c r="M328" s="1889"/>
      <c r="N328" s="1889"/>
      <c r="O328" s="1889"/>
      <c r="P328" s="1889"/>
      <c r="Q328" s="1889"/>
      <c r="R328" s="1889"/>
      <c r="T328" s="58" t="s">
        <v>79</v>
      </c>
      <c r="V328" s="58"/>
      <c r="W328" s="58"/>
      <c r="X328" s="58"/>
      <c r="Y328" s="58"/>
      <c r="AA328" s="1889"/>
      <c r="AB328" s="1889"/>
      <c r="AC328" s="1889"/>
      <c r="AD328" s="1889"/>
      <c r="AE328" s="1889"/>
      <c r="AF328" s="1889"/>
      <c r="AG328" s="1889"/>
      <c r="AH328" s="1889"/>
      <c r="AI328" s="1889"/>
      <c r="AJ328" s="1889"/>
      <c r="AK328" s="1889"/>
      <c r="AL328" s="39"/>
    </row>
    <row r="329" spans="1:66" ht="13.2">
      <c r="A329" s="39"/>
      <c r="B329" s="58" t="s">
        <v>92</v>
      </c>
      <c r="C329" s="58"/>
      <c r="D329" s="58"/>
      <c r="E329" s="58"/>
      <c r="F329" s="58"/>
      <c r="H329" s="1889"/>
      <c r="I329" s="1889"/>
      <c r="J329" s="1889"/>
      <c r="K329" s="1889"/>
      <c r="L329" s="1889"/>
      <c r="M329" s="1889"/>
      <c r="N329" s="1889"/>
      <c r="O329" s="1889"/>
      <c r="P329" s="1889"/>
      <c r="Q329" s="1889"/>
      <c r="R329" s="1889"/>
      <c r="T329" s="58" t="s">
        <v>92</v>
      </c>
      <c r="V329" s="58"/>
      <c r="W329" s="58"/>
      <c r="X329" s="58"/>
      <c r="Y329" s="58"/>
      <c r="AA329" s="1889"/>
      <c r="AB329" s="1889"/>
      <c r="AC329" s="1889"/>
      <c r="AD329" s="1889"/>
      <c r="AE329" s="1889"/>
      <c r="AF329" s="1889"/>
      <c r="AG329" s="1889"/>
      <c r="AH329" s="1889"/>
      <c r="AI329" s="1889"/>
      <c r="AJ329" s="1889"/>
      <c r="AK329" s="1889"/>
      <c r="AL329" s="39"/>
    </row>
    <row r="330" spans="1:66" ht="12.75" customHeight="1">
      <c r="A330" s="39"/>
      <c r="B330" s="58" t="s">
        <v>93</v>
      </c>
      <c r="C330" s="58"/>
      <c r="D330" s="58"/>
      <c r="E330" s="58"/>
      <c r="F330" s="58"/>
      <c r="G330" s="58"/>
      <c r="H330" s="2036"/>
      <c r="I330" s="2036"/>
      <c r="J330" s="2036"/>
      <c r="K330" s="2036"/>
      <c r="L330" s="2036"/>
      <c r="M330" s="2036"/>
      <c r="N330" s="7" t="s">
        <v>211</v>
      </c>
      <c r="O330" s="7"/>
      <c r="P330" s="2046"/>
      <c r="Q330" s="2046"/>
      <c r="R330" s="2046"/>
      <c r="S330" s="58"/>
      <c r="T330" s="58" t="s">
        <v>93</v>
      </c>
      <c r="V330" s="58"/>
      <c r="W330" s="58"/>
      <c r="X330" s="58"/>
      <c r="Y330" s="58"/>
      <c r="AA330" s="2036"/>
      <c r="AB330" s="2036"/>
      <c r="AC330" s="2036"/>
      <c r="AD330" s="2036"/>
      <c r="AE330" s="2036"/>
      <c r="AF330" s="2036"/>
      <c r="AG330" s="7" t="s">
        <v>211</v>
      </c>
      <c r="AH330" s="7"/>
      <c r="AI330" s="2046"/>
      <c r="AJ330" s="2046"/>
      <c r="AK330" s="2046"/>
      <c r="AL330" s="39"/>
    </row>
    <row r="331" spans="1:66" ht="13.2">
      <c r="A331" s="39"/>
      <c r="B331" s="58" t="s">
        <v>94</v>
      </c>
      <c r="C331" s="58"/>
      <c r="D331" s="58"/>
      <c r="E331" s="58"/>
      <c r="F331" s="58"/>
      <c r="G331" s="58"/>
      <c r="H331" s="1912"/>
      <c r="I331" s="1912"/>
      <c r="J331" s="1912"/>
      <c r="K331" s="1912"/>
      <c r="L331" s="1912"/>
      <c r="M331" s="1912"/>
      <c r="N331" s="60"/>
      <c r="O331" s="60"/>
      <c r="P331" s="62"/>
      <c r="Q331" s="62"/>
      <c r="R331" s="62"/>
      <c r="S331" s="58"/>
      <c r="T331" s="58" t="s">
        <v>94</v>
      </c>
      <c r="V331" s="58"/>
      <c r="W331" s="58"/>
      <c r="X331" s="58"/>
      <c r="Y331" s="58"/>
      <c r="AA331" s="1912"/>
      <c r="AB331" s="1912"/>
      <c r="AC331" s="1912"/>
      <c r="AD331" s="1912"/>
      <c r="AE331" s="1912"/>
      <c r="AF331" s="1912"/>
      <c r="AG331" s="60"/>
      <c r="AH331" s="60"/>
      <c r="AI331" s="62"/>
      <c r="AJ331" s="62"/>
      <c r="AK331" s="62"/>
      <c r="AL331" s="39"/>
    </row>
    <row r="332" spans="1:66" ht="13.2">
      <c r="A332" s="39"/>
      <c r="B332" s="58" t="s">
        <v>80</v>
      </c>
      <c r="C332" s="58"/>
      <c r="D332" s="58"/>
      <c r="E332" s="58"/>
      <c r="F332" s="58"/>
      <c r="G332" s="58"/>
      <c r="H332" s="1889"/>
      <c r="I332" s="1889"/>
      <c r="J332" s="1889"/>
      <c r="K332" s="1889"/>
      <c r="L332" s="1889"/>
      <c r="M332" s="1889"/>
      <c r="N332" s="1887"/>
      <c r="O332" s="1887"/>
      <c r="P332" s="1887"/>
      <c r="Q332" s="1887"/>
      <c r="R332" s="1887"/>
      <c r="S332" s="58"/>
      <c r="T332" s="58" t="s">
        <v>80</v>
      </c>
      <c r="V332" s="58"/>
      <c r="W332" s="58"/>
      <c r="X332" s="58"/>
      <c r="Y332" s="58"/>
      <c r="AA332" s="1889"/>
      <c r="AB332" s="1889"/>
      <c r="AC332" s="1889"/>
      <c r="AD332" s="1889"/>
      <c r="AE332" s="1889"/>
      <c r="AF332" s="1889"/>
      <c r="AG332" s="1887"/>
      <c r="AH332" s="1887"/>
      <c r="AI332" s="1887"/>
      <c r="AJ332" s="1887"/>
      <c r="AK332" s="188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1887" t="s">
        <v>2541</v>
      </c>
      <c r="I334" s="1887"/>
      <c r="J334" s="1887"/>
      <c r="K334" s="1887"/>
      <c r="L334" s="1887"/>
      <c r="M334" s="1887"/>
      <c r="N334" s="1887"/>
      <c r="O334" s="1887"/>
      <c r="P334" s="1887"/>
      <c r="Q334" s="1887"/>
      <c r="R334" s="1887"/>
      <c r="T334" s="402" t="s">
        <v>933</v>
      </c>
      <c r="V334" s="58"/>
      <c r="W334" s="58"/>
      <c r="X334" s="58"/>
      <c r="Y334" s="58"/>
      <c r="AA334" s="1887" t="s">
        <v>2542</v>
      </c>
      <c r="AB334" s="1887"/>
      <c r="AC334" s="1887"/>
      <c r="AD334" s="1887"/>
      <c r="AE334" s="1887"/>
      <c r="AF334" s="1887"/>
      <c r="AG334" s="1887"/>
      <c r="AH334" s="1887"/>
      <c r="AI334" s="1887"/>
      <c r="AJ334" s="1887"/>
      <c r="AK334" s="1887"/>
      <c r="AL334" s="39"/>
    </row>
    <row r="335" spans="1:66" ht="12.75" customHeight="1">
      <c r="B335" s="58" t="s">
        <v>495</v>
      </c>
      <c r="C335" s="240"/>
      <c r="D335" s="240"/>
      <c r="E335" s="240"/>
      <c r="F335" s="240"/>
      <c r="G335" s="3"/>
      <c r="H335" s="1889" t="s">
        <v>2543</v>
      </c>
      <c r="I335" s="1889"/>
      <c r="J335" s="1889"/>
      <c r="K335" s="1889"/>
      <c r="L335" s="1889"/>
      <c r="M335" s="1889"/>
      <c r="N335" s="1889"/>
      <c r="O335" s="1889"/>
      <c r="P335" s="1889"/>
      <c r="Q335" s="1889"/>
      <c r="R335" s="1889"/>
      <c r="T335" s="58" t="s">
        <v>495</v>
      </c>
      <c r="V335" s="58"/>
      <c r="W335" s="58"/>
      <c r="X335" s="58"/>
      <c r="Y335" s="58"/>
      <c r="AA335" s="1889" t="s">
        <v>2477</v>
      </c>
      <c r="AB335" s="1889"/>
      <c r="AC335" s="1889"/>
      <c r="AD335" s="1889"/>
      <c r="AE335" s="1889"/>
      <c r="AF335" s="1889"/>
      <c r="AG335" s="1889"/>
      <c r="AH335" s="1889"/>
      <c r="AI335" s="1889"/>
      <c r="AJ335" s="1889"/>
      <c r="AK335" s="1889"/>
      <c r="AL335" s="39"/>
    </row>
    <row r="336" spans="1:66" ht="12.75" customHeight="1">
      <c r="B336" s="58" t="s">
        <v>79</v>
      </c>
      <c r="C336" s="240"/>
      <c r="D336" s="240"/>
      <c r="E336" s="240"/>
      <c r="F336" s="240"/>
      <c r="G336" s="3"/>
      <c r="H336" s="1889" t="s">
        <v>2500</v>
      </c>
      <c r="I336" s="1889"/>
      <c r="J336" s="1889"/>
      <c r="K336" s="1889"/>
      <c r="L336" s="1889"/>
      <c r="M336" s="1889"/>
      <c r="N336" s="1889"/>
      <c r="O336" s="1889"/>
      <c r="P336" s="1889"/>
      <c r="Q336" s="1889"/>
      <c r="R336" s="1889"/>
      <c r="T336" s="58" t="s">
        <v>79</v>
      </c>
      <c r="V336" s="58"/>
      <c r="W336" s="58"/>
      <c r="X336" s="58"/>
      <c r="Y336" s="58"/>
      <c r="AA336" s="1889" t="s">
        <v>2499</v>
      </c>
      <c r="AB336" s="1889"/>
      <c r="AC336" s="1889"/>
      <c r="AD336" s="1889"/>
      <c r="AE336" s="1889"/>
      <c r="AF336" s="1889"/>
      <c r="AG336" s="1889"/>
      <c r="AH336" s="1889"/>
      <c r="AI336" s="1889"/>
      <c r="AJ336" s="1889"/>
      <c r="AK336" s="1889"/>
      <c r="AL336" s="39"/>
    </row>
    <row r="337" spans="1:66" ht="12.75" customHeight="1">
      <c r="A337" s="39"/>
      <c r="B337" s="58" t="s">
        <v>92</v>
      </c>
      <c r="C337" s="240"/>
      <c r="D337" s="240"/>
      <c r="E337" s="240"/>
      <c r="F337" s="240"/>
      <c r="G337" s="240"/>
      <c r="H337" s="1889" t="s">
        <v>2544</v>
      </c>
      <c r="I337" s="1889"/>
      <c r="J337" s="1889"/>
      <c r="K337" s="1889"/>
      <c r="L337" s="1889"/>
      <c r="M337" s="1889"/>
      <c r="N337" s="1889"/>
      <c r="O337" s="1889"/>
      <c r="P337" s="1889"/>
      <c r="Q337" s="1889"/>
      <c r="R337" s="1889"/>
      <c r="T337" s="58" t="s">
        <v>92</v>
      </c>
      <c r="V337" s="58"/>
      <c r="W337" s="58"/>
      <c r="X337" s="58"/>
      <c r="Y337" s="58"/>
      <c r="AA337" s="1889" t="s">
        <v>2545</v>
      </c>
      <c r="AB337" s="1889"/>
      <c r="AC337" s="1889"/>
      <c r="AD337" s="1889"/>
      <c r="AE337" s="1889"/>
      <c r="AF337" s="1889"/>
      <c r="AG337" s="1889"/>
      <c r="AH337" s="1889"/>
      <c r="AI337" s="1889"/>
      <c r="AJ337" s="1889"/>
      <c r="AK337" s="1889"/>
      <c r="AL337" s="39"/>
    </row>
    <row r="338" spans="1:66" ht="12.75" customHeight="1">
      <c r="A338" s="39"/>
      <c r="B338" s="58" t="s">
        <v>93</v>
      </c>
      <c r="C338" s="240"/>
      <c r="D338" s="240"/>
      <c r="E338" s="240"/>
      <c r="F338" s="240"/>
      <c r="G338" s="240"/>
      <c r="H338" s="2047" t="s">
        <v>2546</v>
      </c>
      <c r="I338" s="2036"/>
      <c r="J338" s="2036"/>
      <c r="K338" s="2036"/>
      <c r="L338" s="2036"/>
      <c r="M338" s="2036"/>
      <c r="N338" s="7" t="s">
        <v>211</v>
      </c>
      <c r="O338" s="7"/>
      <c r="P338" s="2046"/>
      <c r="Q338" s="2046"/>
      <c r="R338" s="2046"/>
      <c r="S338" s="58"/>
      <c r="T338" s="58" t="s">
        <v>93</v>
      </c>
      <c r="V338" s="58"/>
      <c r="W338" s="58"/>
      <c r="X338" s="58"/>
      <c r="Y338" s="58"/>
      <c r="AA338" s="2047" t="s">
        <v>2486</v>
      </c>
      <c r="AB338" s="2036"/>
      <c r="AC338" s="2036"/>
      <c r="AD338" s="2036"/>
      <c r="AE338" s="2036"/>
      <c r="AF338" s="2036"/>
      <c r="AG338" s="7" t="s">
        <v>211</v>
      </c>
      <c r="AH338" s="7"/>
      <c r="AI338" s="2046"/>
      <c r="AJ338" s="2046"/>
      <c r="AK338" s="2046"/>
      <c r="AL338" s="39"/>
    </row>
    <row r="339" spans="1:66" ht="13.2">
      <c r="A339" s="39"/>
      <c r="B339" s="58" t="s">
        <v>94</v>
      </c>
      <c r="C339" s="240"/>
      <c r="D339" s="240"/>
      <c r="E339" s="240"/>
      <c r="F339" s="240"/>
      <c r="G339" s="240"/>
      <c r="H339" s="1912"/>
      <c r="I339" s="1912"/>
      <c r="J339" s="1912"/>
      <c r="K339" s="1912"/>
      <c r="L339" s="1912"/>
      <c r="M339" s="1912"/>
      <c r="N339" s="60"/>
      <c r="O339" s="60"/>
      <c r="P339" s="62"/>
      <c r="Q339" s="62"/>
      <c r="R339" s="62"/>
      <c r="S339" s="58"/>
      <c r="T339" s="58" t="s">
        <v>94</v>
      </c>
      <c r="V339" s="58"/>
      <c r="W339" s="58"/>
      <c r="X339" s="58"/>
      <c r="Y339" s="58"/>
      <c r="AA339" s="1912"/>
      <c r="AB339" s="1912"/>
      <c r="AC339" s="1912"/>
      <c r="AD339" s="1912"/>
      <c r="AE339" s="1912"/>
      <c r="AF339" s="1912"/>
      <c r="AG339" s="60"/>
      <c r="AH339" s="60"/>
      <c r="AI339" s="62"/>
      <c r="AJ339" s="62"/>
      <c r="AK339" s="62"/>
      <c r="AL339" s="39"/>
    </row>
    <row r="340" spans="1:66" ht="13.2">
      <c r="A340" s="39"/>
      <c r="B340" s="58" t="s">
        <v>80</v>
      </c>
      <c r="C340" s="237"/>
      <c r="D340" s="237"/>
      <c r="E340" s="237"/>
      <c r="F340" s="237"/>
      <c r="G340" s="237"/>
      <c r="H340" s="1889" t="s">
        <v>2547</v>
      </c>
      <c r="I340" s="1889"/>
      <c r="J340" s="1889"/>
      <c r="K340" s="1889"/>
      <c r="L340" s="1889"/>
      <c r="M340" s="1889"/>
      <c r="N340" s="1887"/>
      <c r="O340" s="1887"/>
      <c r="P340" s="1887"/>
      <c r="Q340" s="1887"/>
      <c r="R340" s="1887"/>
      <c r="S340" s="58"/>
      <c r="T340" s="58" t="s">
        <v>80</v>
      </c>
      <c r="V340" s="58"/>
      <c r="W340" s="58"/>
      <c r="X340" s="58"/>
      <c r="Y340" s="58"/>
      <c r="AA340" s="1889" t="s">
        <v>2548</v>
      </c>
      <c r="AB340" s="1889"/>
      <c r="AC340" s="1889"/>
      <c r="AD340" s="1889"/>
      <c r="AE340" s="1889"/>
      <c r="AF340" s="1889"/>
      <c r="AG340" s="1887"/>
      <c r="AH340" s="1887"/>
      <c r="AI340" s="1887"/>
      <c r="AJ340" s="1887"/>
      <c r="AK340" s="188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3"/>
      <c r="D342" s="403"/>
      <c r="E342" s="403"/>
      <c r="F342" s="403"/>
      <c r="G342" s="88"/>
      <c r="H342" s="88"/>
      <c r="I342" s="402" t="s">
        <v>934</v>
      </c>
      <c r="P342" s="1887" t="s">
        <v>616</v>
      </c>
      <c r="Q342" s="1887"/>
      <c r="R342" s="1887"/>
      <c r="S342" s="1887"/>
      <c r="T342" s="1887"/>
      <c r="U342" s="1887"/>
      <c r="V342" s="1887"/>
      <c r="W342" s="1887"/>
      <c r="X342" s="1887"/>
      <c r="Y342" s="1887"/>
      <c r="Z342" s="1887"/>
      <c r="AA342" s="1887"/>
      <c r="AB342" s="1887"/>
      <c r="AC342" s="1887"/>
      <c r="AD342" s="1887"/>
      <c r="AE342" s="1887"/>
      <c r="AF342" s="88"/>
      <c r="AG342" s="88"/>
      <c r="AH342" s="88"/>
      <c r="AI342" s="88"/>
      <c r="AJ342" s="88"/>
      <c r="AK342" s="88"/>
      <c r="AL342" s="39"/>
      <c r="BN342" s="12" t="s">
        <v>616</v>
      </c>
    </row>
    <row r="343" spans="1:66" ht="13.2">
      <c r="A343" s="3"/>
      <c r="B343" s="60"/>
      <c r="C343" s="60"/>
      <c r="D343" s="60"/>
      <c r="E343" s="60"/>
      <c r="F343" s="60"/>
      <c r="G343" s="3"/>
      <c r="H343" s="88"/>
      <c r="I343" s="7" t="s">
        <v>495</v>
      </c>
      <c r="P343" s="1889"/>
      <c r="Q343" s="1889"/>
      <c r="R343" s="1889"/>
      <c r="S343" s="1889"/>
      <c r="T343" s="1889"/>
      <c r="U343" s="1889"/>
      <c r="V343" s="1889"/>
      <c r="W343" s="1889"/>
      <c r="X343" s="1889"/>
      <c r="Y343" s="1889"/>
      <c r="Z343" s="1889"/>
      <c r="AA343" s="1889"/>
      <c r="AB343" s="1889"/>
      <c r="AC343" s="1889"/>
      <c r="AD343" s="1889"/>
      <c r="AE343" s="1889"/>
      <c r="AF343" s="88"/>
      <c r="AG343" s="88"/>
      <c r="AH343" s="88"/>
      <c r="AI343" s="88"/>
      <c r="AJ343" s="88"/>
      <c r="AK343" s="88"/>
      <c r="AL343" s="39"/>
      <c r="BN343" s="12" t="s">
        <v>694</v>
      </c>
    </row>
    <row r="344" spans="1:66" ht="13.2">
      <c r="A344" s="3"/>
      <c r="B344" s="60"/>
      <c r="C344" s="60"/>
      <c r="D344" s="60"/>
      <c r="E344" s="60"/>
      <c r="F344" s="60"/>
      <c r="G344" s="3"/>
      <c r="H344" s="88"/>
      <c r="I344" s="7" t="s">
        <v>79</v>
      </c>
      <c r="P344" s="1889"/>
      <c r="Q344" s="1889"/>
      <c r="R344" s="1889"/>
      <c r="S344" s="1889"/>
      <c r="T344" s="1889"/>
      <c r="U344" s="1889"/>
      <c r="V344" s="1889"/>
      <c r="W344" s="1889"/>
      <c r="X344" s="1889"/>
      <c r="Y344" s="1889"/>
      <c r="Z344" s="1889"/>
      <c r="AA344" s="1889"/>
      <c r="AB344" s="1889"/>
      <c r="AC344" s="1889"/>
      <c r="AD344" s="1889"/>
      <c r="AE344" s="1889"/>
      <c r="AF344" s="88"/>
      <c r="AG344" s="88"/>
      <c r="AH344" s="88"/>
      <c r="AI344" s="88"/>
      <c r="AJ344" s="88"/>
      <c r="AK344" s="88"/>
      <c r="AL344" s="39"/>
      <c r="BN344" s="12" t="s">
        <v>569</v>
      </c>
    </row>
    <row r="345" spans="1:66" ht="13.2">
      <c r="A345" s="3"/>
      <c r="B345" s="60"/>
      <c r="C345" s="60"/>
      <c r="D345" s="60"/>
      <c r="E345" s="60"/>
      <c r="F345" s="60"/>
      <c r="G345" s="60"/>
      <c r="H345" s="88"/>
      <c r="I345" s="7" t="s">
        <v>92</v>
      </c>
      <c r="P345" s="1889"/>
      <c r="Q345" s="1889"/>
      <c r="R345" s="1889"/>
      <c r="S345" s="1889"/>
      <c r="T345" s="1889"/>
      <c r="U345" s="1889"/>
      <c r="V345" s="1889"/>
      <c r="W345" s="1889"/>
      <c r="X345" s="1889"/>
      <c r="Y345" s="1889"/>
      <c r="Z345" s="1889"/>
      <c r="AA345" s="1889"/>
      <c r="AB345" s="1889"/>
      <c r="AC345" s="1889"/>
      <c r="AD345" s="1889"/>
      <c r="AE345" s="1889"/>
      <c r="AF345" s="88"/>
      <c r="AG345" s="88"/>
      <c r="AH345" s="88"/>
      <c r="AI345" s="88"/>
      <c r="AJ345" s="88"/>
      <c r="AK345" s="88"/>
      <c r="AL345" s="39"/>
    </row>
    <row r="346" spans="1:66" ht="13.2">
      <c r="A346" s="3"/>
      <c r="B346" s="60"/>
      <c r="C346" s="60"/>
      <c r="D346" s="60"/>
      <c r="E346" s="60"/>
      <c r="F346" s="60"/>
      <c r="G346" s="60"/>
      <c r="H346" s="462"/>
      <c r="I346" s="7" t="s">
        <v>93</v>
      </c>
      <c r="P346" s="1912"/>
      <c r="Q346" s="1912"/>
      <c r="R346" s="1912"/>
      <c r="S346" s="1912"/>
      <c r="T346" s="1912"/>
      <c r="U346" s="1912"/>
      <c r="V346" s="1912"/>
      <c r="W346" s="1912"/>
      <c r="X346" s="1912"/>
      <c r="Y346" s="1912"/>
      <c r="Z346" s="1912"/>
      <c r="AA346" s="7" t="s">
        <v>211</v>
      </c>
      <c r="AB346" s="7"/>
      <c r="AC346" s="1878"/>
      <c r="AD346" s="1878"/>
      <c r="AE346" s="1878"/>
      <c r="AF346" s="462"/>
      <c r="AG346" s="60"/>
      <c r="AH346" s="60"/>
      <c r="AI346" s="403"/>
      <c r="AJ346" s="403"/>
      <c r="AK346" s="403"/>
      <c r="AL346" s="39"/>
    </row>
    <row r="347" spans="1:66" ht="12.75" customHeight="1">
      <c r="A347" s="3"/>
      <c r="B347" s="60"/>
      <c r="C347" s="60"/>
      <c r="D347" s="60"/>
      <c r="E347" s="60"/>
      <c r="F347" s="60"/>
      <c r="G347" s="60"/>
      <c r="H347" s="462"/>
      <c r="I347" s="7" t="s">
        <v>94</v>
      </c>
      <c r="P347" s="1912"/>
      <c r="Q347" s="1912"/>
      <c r="R347" s="1912"/>
      <c r="S347" s="1912"/>
      <c r="T347" s="1912"/>
      <c r="U347" s="1912"/>
      <c r="V347" s="1912"/>
      <c r="W347" s="1912"/>
      <c r="X347" s="1912"/>
      <c r="Y347" s="1912"/>
      <c r="Z347" s="1912"/>
      <c r="AF347" s="462"/>
      <c r="AG347" s="60"/>
      <c r="AH347" s="60"/>
      <c r="AI347" s="62"/>
      <c r="AJ347" s="62"/>
      <c r="AK347" s="62"/>
      <c r="AL347" s="39"/>
    </row>
    <row r="348" spans="1:66" ht="13.2">
      <c r="A348" s="3"/>
      <c r="B348" s="60"/>
      <c r="C348" s="403"/>
      <c r="D348" s="403"/>
      <c r="E348" s="403"/>
      <c r="F348" s="403"/>
      <c r="G348" s="403"/>
      <c r="H348" s="88"/>
      <c r="I348" s="7" t="s">
        <v>80</v>
      </c>
      <c r="P348" s="1887"/>
      <c r="Q348" s="1887"/>
      <c r="R348" s="1887"/>
      <c r="S348" s="1887"/>
      <c r="T348" s="1887"/>
      <c r="U348" s="1887"/>
      <c r="V348" s="1887"/>
      <c r="W348" s="1887"/>
      <c r="X348" s="1887"/>
      <c r="Y348" s="1887"/>
      <c r="Z348" s="1887"/>
      <c r="AA348" s="1887"/>
      <c r="AB348" s="1887"/>
      <c r="AC348" s="1887"/>
      <c r="AD348" s="1887"/>
      <c r="AE348" s="188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1933" t="s">
        <v>566</v>
      </c>
      <c r="B350" s="1933"/>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1933"/>
      <c r="AL350" s="1933"/>
      <c r="AM350" s="144"/>
      <c r="AN350" s="144"/>
      <c r="AO350" s="144"/>
      <c r="AP350" s="144"/>
      <c r="AQ350" s="144"/>
      <c r="AR350" s="144"/>
      <c r="AS350" s="144"/>
      <c r="AT350" s="144"/>
      <c r="AU350" s="144"/>
      <c r="AV350" s="144"/>
      <c r="AW350" s="144"/>
      <c r="AX350" s="144"/>
      <c r="AY350" s="144"/>
    </row>
    <row r="351" spans="1:66" ht="13.8" thickBot="1">
      <c r="A351" s="1934"/>
      <c r="B351" s="1934"/>
      <c r="C351" s="1934"/>
      <c r="D351" s="1934"/>
      <c r="E351" s="1934"/>
      <c r="F351" s="1934"/>
      <c r="G351" s="1934"/>
      <c r="H351" s="1934"/>
      <c r="I351" s="1934"/>
      <c r="J351" s="1934"/>
      <c r="K351" s="1934"/>
      <c r="L351" s="1934"/>
      <c r="M351" s="1934"/>
      <c r="N351" s="1934"/>
      <c r="O351" s="1934"/>
      <c r="P351" s="1934"/>
      <c r="Q351" s="1934"/>
      <c r="R351" s="1934"/>
      <c r="S351" s="1934"/>
      <c r="T351" s="1934"/>
      <c r="U351" s="1934"/>
      <c r="V351" s="1934"/>
      <c r="W351" s="1934"/>
      <c r="X351" s="1934"/>
      <c r="Y351" s="1934"/>
      <c r="Z351" s="1934"/>
      <c r="AA351" s="1934"/>
      <c r="AB351" s="1934"/>
      <c r="AC351" s="1934"/>
      <c r="AD351" s="1934"/>
      <c r="AE351" s="1934"/>
      <c r="AF351" s="1934"/>
      <c r="AG351" s="1934"/>
      <c r="AH351" s="1934"/>
      <c r="AI351" s="1934"/>
      <c r="AJ351" s="1934"/>
      <c r="AK351" s="1934"/>
      <c r="AL351" s="1934"/>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822</v>
      </c>
      <c r="K353" s="25"/>
      <c r="L353" s="25"/>
    </row>
    <row r="354" spans="1:37" ht="12.75" customHeight="1">
      <c r="D354" s="12" t="s">
        <v>375</v>
      </c>
      <c r="M354" s="1886" t="s">
        <v>569</v>
      </c>
      <c r="N354" s="1886"/>
      <c r="P354" s="12" t="s">
        <v>1853</v>
      </c>
      <c r="AJ354" s="1886" t="s">
        <v>569</v>
      </c>
      <c r="AK354" s="1886"/>
    </row>
    <row r="355" spans="1:37" ht="12.75" customHeight="1">
      <c r="D355" s="58" t="s">
        <v>1842</v>
      </c>
      <c r="M355" s="1886" t="s">
        <v>616</v>
      </c>
      <c r="N355" s="1886"/>
      <c r="P355" s="58" t="s">
        <v>2029</v>
      </c>
      <c r="AJ355" s="2007" t="s">
        <v>2549</v>
      </c>
      <c r="AK355" s="2007"/>
    </row>
    <row r="356" spans="1:37" ht="12.75" customHeight="1">
      <c r="D356" s="12" t="s">
        <v>733</v>
      </c>
      <c r="M356" s="1886" t="s">
        <v>616</v>
      </c>
      <c r="N356" s="1886"/>
      <c r="P356" s="711" t="s">
        <v>1852</v>
      </c>
      <c r="AJ356" s="1886" t="s">
        <v>569</v>
      </c>
      <c r="AK356" s="1886"/>
    </row>
    <row r="357" spans="1:37" ht="12.75" customHeight="1">
      <c r="D357" s="12" t="s">
        <v>734</v>
      </c>
      <c r="M357" s="1886" t="s">
        <v>616</v>
      </c>
      <c r="N357" s="1886"/>
      <c r="Q357" s="7"/>
    </row>
    <row r="358" spans="1:37" ht="12.75" customHeight="1">
      <c r="Q358" s="7"/>
    </row>
    <row r="359" spans="1:37" ht="12.75" customHeight="1">
      <c r="Q359" s="7"/>
    </row>
    <row r="360" spans="1:37" ht="12.75" customHeight="1">
      <c r="A360" s="50" t="s">
        <v>601</v>
      </c>
      <c r="B360" s="50"/>
      <c r="C360" s="50" t="s">
        <v>576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886" t="s">
        <v>616</v>
      </c>
      <c r="O362" s="1886"/>
      <c r="P362" s="69"/>
      <c r="Q362" s="69"/>
      <c r="R362" s="69"/>
      <c r="S362" s="69"/>
      <c r="T362" s="69"/>
      <c r="U362" s="69"/>
      <c r="V362" s="69"/>
      <c r="W362" s="69"/>
      <c r="X362" s="69"/>
      <c r="Y362" s="70"/>
      <c r="Z362" s="70"/>
      <c r="AC362" s="69"/>
      <c r="AD362" s="69"/>
      <c r="AE362" s="69"/>
    </row>
    <row r="363" spans="1:37" ht="12.75" customHeight="1">
      <c r="E363" s="12" t="s">
        <v>377</v>
      </c>
      <c r="Y363" s="1886" t="s">
        <v>616</v>
      </c>
      <c r="Z363" s="1886"/>
    </row>
    <row r="364" spans="1:37" ht="12.75" customHeight="1">
      <c r="D364" s="7" t="s">
        <v>1034</v>
      </c>
      <c r="Q364" s="1887" t="s">
        <v>616</v>
      </c>
      <c r="R364" s="1887"/>
      <c r="S364" s="1887"/>
      <c r="T364" s="1887"/>
      <c r="U364" s="1887"/>
      <c r="V364" s="1887"/>
      <c r="W364" s="1887"/>
      <c r="X364" s="1887"/>
      <c r="Y364" s="1887"/>
      <c r="Z364" s="1887"/>
      <c r="AA364" s="1887"/>
      <c r="AB364" s="1887"/>
      <c r="AC364" s="1887"/>
      <c r="AD364" s="1887"/>
      <c r="AE364" s="1887"/>
      <c r="AF364" s="1887"/>
      <c r="AG364" s="1887"/>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886" t="s">
        <v>616</v>
      </c>
      <c r="K366" s="1886"/>
      <c r="L366" s="69"/>
      <c r="M366" s="69"/>
      <c r="N366" s="69"/>
      <c r="O366" s="69"/>
      <c r="P366" s="69"/>
      <c r="Q366" s="69"/>
      <c r="R366" s="69"/>
      <c r="S366" s="69"/>
      <c r="T366" s="69"/>
      <c r="U366" s="69"/>
      <c r="V366" s="69"/>
      <c r="W366" s="69"/>
      <c r="X366" s="69"/>
      <c r="Y366" s="69"/>
      <c r="Z366" s="69"/>
      <c r="AC366" s="69"/>
      <c r="AD366" s="69"/>
      <c r="AE366" s="69"/>
    </row>
    <row r="367" spans="1:37" ht="12.75" customHeight="1">
      <c r="E367" s="2238" t="s">
        <v>735</v>
      </c>
      <c r="F367" s="2238"/>
      <c r="G367" s="2238"/>
      <c r="H367" s="2238"/>
      <c r="I367" s="2238"/>
      <c r="J367" s="2238"/>
      <c r="K367" s="2238"/>
      <c r="L367" s="2238"/>
      <c r="M367" s="2238"/>
      <c r="N367" s="2238"/>
      <c r="O367" s="2238"/>
      <c r="P367" s="2238"/>
      <c r="Q367" s="2238"/>
      <c r="R367" s="2238"/>
      <c r="S367" s="2238"/>
      <c r="T367" s="2238"/>
      <c r="U367" s="2238"/>
      <c r="V367" s="2238"/>
      <c r="W367" s="2238"/>
      <c r="X367" s="2238"/>
      <c r="Y367" s="2238"/>
      <c r="Z367" s="2238"/>
      <c r="AA367" s="2238"/>
      <c r="AB367" s="2238"/>
      <c r="AC367" s="2238"/>
      <c r="AD367" s="2238"/>
      <c r="AE367" s="2238"/>
      <c r="AF367" s="2238"/>
      <c r="AG367" s="2238"/>
      <c r="AH367" s="2238"/>
    </row>
    <row r="368" spans="1:37" ht="12.75" customHeight="1">
      <c r="E368" s="2238"/>
      <c r="F368" s="2238"/>
      <c r="G368" s="2238"/>
      <c r="H368" s="2238"/>
      <c r="I368" s="2238"/>
      <c r="J368" s="2238"/>
      <c r="K368" s="2238"/>
      <c r="L368" s="2238"/>
      <c r="M368" s="2238"/>
      <c r="N368" s="2238"/>
      <c r="O368" s="2238"/>
      <c r="P368" s="2238"/>
      <c r="Q368" s="2238"/>
      <c r="R368" s="2238"/>
      <c r="S368" s="2238"/>
      <c r="T368" s="2238"/>
      <c r="U368" s="2238"/>
      <c r="V368" s="2238"/>
      <c r="W368" s="2238"/>
      <c r="X368" s="2238"/>
      <c r="Y368" s="2238"/>
      <c r="Z368" s="2238"/>
      <c r="AA368" s="2238"/>
      <c r="AB368" s="2238"/>
      <c r="AC368" s="2238"/>
      <c r="AD368" s="2238"/>
      <c r="AE368" s="2238"/>
      <c r="AF368" s="2238"/>
      <c r="AG368" s="2238"/>
      <c r="AH368" s="2238"/>
    </row>
    <row r="369" spans="1:36" ht="12.75" customHeight="1">
      <c r="E369" s="7" t="s">
        <v>471</v>
      </c>
      <c r="F369" s="7"/>
      <c r="G369" s="7"/>
      <c r="H369" s="7"/>
      <c r="I369" s="7"/>
      <c r="J369" s="7"/>
      <c r="K369" s="7"/>
      <c r="L369" s="7"/>
      <c r="N369" s="1910" t="s">
        <v>616</v>
      </c>
      <c r="O369" s="1911"/>
      <c r="P369" s="1911"/>
      <c r="Q369" s="1911"/>
      <c r="R369" s="7"/>
      <c r="U369" s="7" t="s">
        <v>472</v>
      </c>
      <c r="V369" s="7"/>
      <c r="W369" s="7"/>
      <c r="X369" s="7"/>
      <c r="Y369" s="7"/>
      <c r="Z369" s="7"/>
      <c r="AA369" s="7"/>
      <c r="AB369" s="7"/>
      <c r="AC369" s="1910" t="s">
        <v>616</v>
      </c>
      <c r="AD369" s="1911"/>
      <c r="AE369" s="1911"/>
      <c r="AF369" s="1911"/>
    </row>
    <row r="370" spans="1:36" ht="12.75" customHeight="1">
      <c r="E370" s="7" t="s">
        <v>473</v>
      </c>
      <c r="F370" s="7"/>
      <c r="G370" s="7"/>
      <c r="H370" s="7"/>
      <c r="I370" s="7"/>
      <c r="J370" s="7"/>
      <c r="K370" s="7"/>
      <c r="L370" s="7"/>
      <c r="N370" s="1910" t="s">
        <v>616</v>
      </c>
      <c r="O370" s="1911"/>
      <c r="P370" s="1911"/>
      <c r="Q370" s="1911"/>
      <c r="R370" s="7"/>
      <c r="U370" s="7" t="s">
        <v>0</v>
      </c>
      <c r="V370" s="7"/>
      <c r="W370" s="7"/>
      <c r="X370" s="7"/>
      <c r="Y370" s="7"/>
      <c r="Z370" s="7"/>
      <c r="AA370" s="7"/>
      <c r="AB370" s="7"/>
      <c r="AC370" s="1911"/>
      <c r="AD370" s="1911"/>
      <c r="AE370" s="1911"/>
      <c r="AF370" s="1911"/>
    </row>
    <row r="371" spans="1:36" ht="12.75" customHeight="1">
      <c r="E371" s="7" t="s">
        <v>1</v>
      </c>
      <c r="F371" s="7"/>
      <c r="G371" s="7"/>
      <c r="H371" s="7"/>
      <c r="I371" s="7"/>
      <c r="J371" s="7"/>
      <c r="K371" s="7"/>
      <c r="L371" s="7"/>
      <c r="N371" s="1910" t="s">
        <v>616</v>
      </c>
      <c r="O371" s="1911"/>
      <c r="P371" s="1911"/>
      <c r="Q371" s="1911"/>
      <c r="R371" s="7"/>
      <c r="V371" s="7"/>
      <c r="W371" s="7"/>
      <c r="X371" s="7"/>
      <c r="Y371" s="7"/>
      <c r="Z371" s="7"/>
      <c r="AA371" s="7"/>
      <c r="AB371" s="7"/>
    </row>
    <row r="372" spans="1:36" ht="12.75" customHeight="1">
      <c r="E372" s="7" t="s">
        <v>2</v>
      </c>
      <c r="F372" s="7"/>
      <c r="G372" s="7"/>
      <c r="H372" s="7"/>
      <c r="I372" s="7"/>
      <c r="J372" s="7"/>
      <c r="K372" s="7"/>
      <c r="L372" s="7"/>
      <c r="N372" s="1913" t="s">
        <v>616</v>
      </c>
      <c r="O372" s="1914"/>
      <c r="P372" s="1914"/>
      <c r="Q372" s="1914"/>
      <c r="R372" s="1914"/>
      <c r="S372" s="1914"/>
      <c r="T372" s="1914"/>
      <c r="U372" s="1914"/>
      <c r="V372" s="1914"/>
      <c r="W372" s="1914"/>
      <c r="X372" s="1914"/>
      <c r="Y372" s="1914"/>
      <c r="Z372" s="1914"/>
      <c r="AA372" s="1914"/>
      <c r="AB372" s="1914"/>
      <c r="AC372" s="1914"/>
      <c r="AD372" s="1914"/>
      <c r="AE372" s="1914"/>
      <c r="AF372" s="1914"/>
    </row>
    <row r="373" spans="1:36" ht="12.75" customHeight="1">
      <c r="E373" s="7"/>
      <c r="F373" s="7"/>
      <c r="G373" s="7"/>
      <c r="H373" s="7"/>
      <c r="I373" s="7"/>
      <c r="J373" s="7"/>
      <c r="K373" s="7"/>
      <c r="L373" s="7"/>
      <c r="N373" s="1915"/>
      <c r="O373" s="1915"/>
      <c r="P373" s="1915"/>
      <c r="Q373" s="1915"/>
      <c r="R373" s="1915"/>
      <c r="S373" s="1915"/>
      <c r="T373" s="1915"/>
      <c r="U373" s="1915"/>
      <c r="V373" s="1915"/>
      <c r="W373" s="1915"/>
      <c r="X373" s="1915"/>
      <c r="Y373" s="1915"/>
      <c r="Z373" s="1915"/>
      <c r="AA373" s="1915"/>
      <c r="AB373" s="1915"/>
      <c r="AC373" s="1915"/>
      <c r="AD373" s="1915"/>
      <c r="AE373" s="1915"/>
      <c r="AF373" s="1915"/>
    </row>
    <row r="374" spans="1:36" ht="12.75" customHeight="1">
      <c r="C374" s="904"/>
      <c r="E374" s="7"/>
      <c r="F374" s="7"/>
      <c r="G374" s="7"/>
      <c r="H374" s="7"/>
      <c r="I374" s="7"/>
      <c r="J374" s="7"/>
      <c r="K374" s="7"/>
      <c r="L374" s="7"/>
    </row>
    <row r="375" spans="1:36" ht="12.75" customHeight="1">
      <c r="D375" s="50" t="s">
        <v>1031</v>
      </c>
      <c r="E375" s="50"/>
      <c r="F375" s="7"/>
      <c r="G375" s="7"/>
      <c r="H375" s="7"/>
      <c r="I375" s="7"/>
      <c r="J375" s="7"/>
      <c r="K375" s="7"/>
      <c r="L375" s="7"/>
    </row>
    <row r="376" spans="1:36" ht="12.75" customHeight="1">
      <c r="E376" s="7" t="s">
        <v>2683</v>
      </c>
      <c r="F376" s="7"/>
      <c r="G376" s="7"/>
      <c r="H376" s="7"/>
      <c r="I376" s="7"/>
      <c r="J376" s="7"/>
      <c r="K376" s="7"/>
      <c r="L376" s="7"/>
      <c r="N376" s="25" t="s">
        <v>2677</v>
      </c>
      <c r="P376" s="25"/>
      <c r="Q376" s="25" t="s">
        <v>310</v>
      </c>
      <c r="S376" s="1935"/>
      <c r="T376" s="1935"/>
      <c r="U376" s="4" t="s">
        <v>311</v>
      </c>
      <c r="V376" s="1935"/>
      <c r="W376" s="1935"/>
      <c r="Y376" s="25" t="s">
        <v>2677</v>
      </c>
      <c r="AA376" s="25"/>
      <c r="AB376" s="25" t="s">
        <v>310</v>
      </c>
      <c r="AD376" s="1935"/>
      <c r="AE376" s="1935"/>
      <c r="AF376" s="4" t="s">
        <v>311</v>
      </c>
      <c r="AG376" s="1935"/>
      <c r="AH376" s="1935"/>
    </row>
    <row r="377" spans="1:36" ht="12.75" customHeight="1">
      <c r="E377" s="7" t="s">
        <v>1060</v>
      </c>
      <c r="F377" s="7"/>
      <c r="G377" s="7"/>
      <c r="H377" s="7"/>
      <c r="I377" s="7"/>
      <c r="J377" s="7"/>
      <c r="K377" s="7"/>
      <c r="L377" s="7"/>
      <c r="N377" s="1935"/>
      <c r="O377" s="1935"/>
      <c r="P377" s="1935"/>
    </row>
    <row r="378" spans="1:36" ht="12.75" customHeight="1">
      <c r="E378" s="379" t="s">
        <v>2684</v>
      </c>
      <c r="F378" s="7"/>
      <c r="G378" s="7"/>
      <c r="H378" s="7"/>
      <c r="I378" s="7"/>
      <c r="J378" s="7"/>
      <c r="K378" s="7"/>
      <c r="L378" s="7"/>
      <c r="AG378" s="2054" t="s">
        <v>616</v>
      </c>
      <c r="AH378" s="2054"/>
    </row>
    <row r="379" spans="1:36" ht="12.75" customHeight="1">
      <c r="E379" s="7"/>
      <c r="F379" s="7"/>
      <c r="G379" s="7" t="s">
        <v>2685</v>
      </c>
      <c r="H379" s="7"/>
      <c r="I379" s="7"/>
      <c r="J379" s="7"/>
      <c r="K379" s="7"/>
      <c r="L379" s="7"/>
      <c r="AG379" s="2054" t="s">
        <v>616</v>
      </c>
      <c r="AH379" s="2054"/>
    </row>
    <row r="380" spans="1:36" ht="12.75" customHeight="1">
      <c r="E380" s="7"/>
      <c r="F380" s="7"/>
      <c r="G380" s="502" t="s">
        <v>1061</v>
      </c>
      <c r="H380" s="7"/>
      <c r="I380" s="7"/>
      <c r="J380" s="7"/>
      <c r="K380" s="7"/>
      <c r="L380" s="7"/>
      <c r="V380" s="1886" t="s">
        <v>616</v>
      </c>
      <c r="W380" s="1886"/>
      <c r="Y380" s="35" t="s">
        <v>1036</v>
      </c>
    </row>
    <row r="381" spans="1:36" ht="12.75" customHeight="1">
      <c r="E381" s="7" t="s">
        <v>1037</v>
      </c>
      <c r="F381" s="7"/>
      <c r="G381" s="7"/>
      <c r="H381" s="7"/>
      <c r="I381" s="7"/>
      <c r="J381" s="7"/>
      <c r="K381" s="7"/>
      <c r="L381" s="7"/>
      <c r="V381" s="1886" t="s">
        <v>616</v>
      </c>
      <c r="W381" s="1886"/>
      <c r="Y381" s="7" t="s">
        <v>1038</v>
      </c>
    </row>
    <row r="382" spans="1:36" ht="12.75" customHeight="1"/>
    <row r="383" spans="1:36" ht="12.75" customHeight="1">
      <c r="A383" s="50" t="s">
        <v>82</v>
      </c>
      <c r="B383" s="50"/>
    </row>
    <row r="384" spans="1:36" ht="12.75" customHeight="1">
      <c r="D384" s="12" t="s">
        <v>444</v>
      </c>
      <c r="J384" s="2048" t="s">
        <v>2756</v>
      </c>
      <c r="K384" s="1887"/>
      <c r="L384" s="1887"/>
      <c r="M384" s="1887"/>
      <c r="N384" s="1887"/>
      <c r="O384" s="1887"/>
      <c r="P384" s="1887"/>
      <c r="Q384" s="1887"/>
      <c r="R384" s="1887"/>
      <c r="S384" s="1887"/>
      <c r="T384" s="1887"/>
      <c r="U384" s="1887"/>
      <c r="V384" s="14" t="s">
        <v>88</v>
      </c>
      <c r="W384" s="14"/>
      <c r="X384" s="14"/>
      <c r="Y384" s="14"/>
      <c r="Z384" s="14"/>
      <c r="AA384" s="14"/>
      <c r="AB384" s="14"/>
      <c r="AC384" s="1887" t="s">
        <v>616</v>
      </c>
      <c r="AD384" s="1887"/>
      <c r="AE384" s="1887"/>
      <c r="AF384" s="1887"/>
      <c r="AG384" s="1887"/>
      <c r="AH384" s="1887"/>
      <c r="AI384" s="1887"/>
      <c r="AJ384" s="1887"/>
    </row>
    <row r="385" spans="1:96" ht="12.75" customHeight="1">
      <c r="A385" s="711"/>
      <c r="B385" s="711"/>
      <c r="C385" s="711"/>
      <c r="D385" s="58" t="s">
        <v>1343</v>
      </c>
      <c r="E385" s="711"/>
      <c r="F385" s="711"/>
      <c r="G385" s="711"/>
      <c r="H385" s="711"/>
      <c r="I385" s="711"/>
      <c r="J385" s="1889" t="s">
        <v>616</v>
      </c>
      <c r="K385" s="1889"/>
      <c r="L385" s="1889"/>
      <c r="M385" s="1889"/>
      <c r="N385" s="1889"/>
      <c r="O385" s="1889"/>
      <c r="P385" s="1889"/>
      <c r="Q385" s="1889"/>
      <c r="R385" s="1889"/>
      <c r="S385" s="1889"/>
      <c r="T385" s="1889"/>
      <c r="U385" s="1889"/>
      <c r="V385" s="58" t="s">
        <v>1343</v>
      </c>
      <c r="W385" s="14"/>
      <c r="X385" s="14"/>
      <c r="Y385" s="14"/>
      <c r="Z385" s="14"/>
      <c r="AA385" s="14"/>
      <c r="AB385" s="14"/>
      <c r="AC385" s="1887" t="s">
        <v>616</v>
      </c>
      <c r="AD385" s="1887"/>
      <c r="AE385" s="1887"/>
      <c r="AF385" s="1887"/>
      <c r="AG385" s="1887"/>
      <c r="AH385" s="1887"/>
      <c r="AI385" s="1887"/>
      <c r="AJ385" s="1887"/>
      <c r="AK385" s="711"/>
      <c r="AL385" s="711"/>
    </row>
    <row r="386" spans="1:96" ht="12.75" customHeight="1">
      <c r="A386" s="711"/>
      <c r="B386" s="711"/>
      <c r="C386" s="711"/>
      <c r="D386" s="58" t="s">
        <v>458</v>
      </c>
      <c r="E386" s="711"/>
      <c r="F386" s="711"/>
      <c r="G386" s="711"/>
      <c r="H386" s="711"/>
      <c r="I386" s="711"/>
      <c r="J386" s="1889" t="s">
        <v>616</v>
      </c>
      <c r="K386" s="1889"/>
      <c r="L386" s="1889"/>
      <c r="M386" s="1889"/>
      <c r="N386" s="1889"/>
      <c r="O386" s="1889"/>
      <c r="P386" s="1889"/>
      <c r="Q386" s="1889"/>
      <c r="R386" s="1889"/>
      <c r="S386" s="1889"/>
      <c r="T386" s="1889"/>
      <c r="U386" s="1889"/>
      <c r="V386" s="58" t="s">
        <v>458</v>
      </c>
      <c r="W386" s="14"/>
      <c r="X386" s="14"/>
      <c r="Y386" s="14"/>
      <c r="Z386" s="14"/>
      <c r="AA386" s="14"/>
      <c r="AB386" s="14"/>
      <c r="AC386" s="1887" t="s">
        <v>616</v>
      </c>
      <c r="AD386" s="1887"/>
      <c r="AE386" s="1887"/>
      <c r="AF386" s="1887"/>
      <c r="AG386" s="1887"/>
      <c r="AH386" s="1887"/>
      <c r="AI386" s="1887"/>
      <c r="AJ386" s="1887"/>
      <c r="AK386" s="711"/>
      <c r="AL386" s="711"/>
    </row>
    <row r="387" spans="1:96" ht="12.75" customHeight="1">
      <c r="A387" s="711"/>
      <c r="B387" s="711"/>
      <c r="C387" s="711"/>
      <c r="D387" s="474" t="s">
        <v>1339</v>
      </c>
      <c r="E387" s="711"/>
      <c r="F387" s="711"/>
      <c r="G387" s="711"/>
      <c r="H387" s="711"/>
      <c r="I387" s="88"/>
      <c r="J387" s="1907"/>
      <c r="K387" s="1907"/>
      <c r="L387" s="1907"/>
      <c r="M387" s="1907"/>
      <c r="N387" s="1907"/>
      <c r="O387" s="1907"/>
      <c r="P387" s="1907"/>
      <c r="Q387" s="1907"/>
      <c r="R387" s="1907"/>
      <c r="S387" s="1907"/>
      <c r="T387" s="1907"/>
      <c r="U387" s="1907"/>
      <c r="V387" s="1887"/>
      <c r="W387" s="1887"/>
      <c r="X387" s="1887"/>
      <c r="Y387" s="1887"/>
      <c r="Z387" s="1887"/>
      <c r="AA387" s="1887"/>
      <c r="AB387" s="1887"/>
      <c r="AC387" s="1887"/>
      <c r="AD387" s="1887"/>
      <c r="AE387" s="1887"/>
      <c r="AF387" s="1887"/>
      <c r="AG387" s="1887"/>
      <c r="AH387" s="1887"/>
      <c r="AI387" s="1887"/>
      <c r="AJ387" s="1887"/>
      <c r="AK387" s="711"/>
      <c r="AL387" s="711"/>
    </row>
    <row r="388" spans="1:96" ht="12.75" customHeight="1">
      <c r="D388" s="12" t="s">
        <v>4</v>
      </c>
      <c r="Q388" s="2242"/>
      <c r="R388" s="2242"/>
      <c r="S388" s="2242"/>
      <c r="T388" s="2242"/>
      <c r="U388" s="2242"/>
      <c r="V388" s="12" t="s">
        <v>314</v>
      </c>
      <c r="AI388" s="1886" t="s">
        <v>694</v>
      </c>
      <c r="AJ388" s="1886"/>
    </row>
    <row r="389" spans="1:96" ht="12.75" customHeight="1">
      <c r="D389" s="12" t="s">
        <v>5</v>
      </c>
      <c r="Q389" s="2176"/>
      <c r="R389" s="2237"/>
      <c r="S389" s="2237"/>
      <c r="T389" s="2237"/>
      <c r="U389" s="2237"/>
      <c r="W389" s="33" t="s">
        <v>78</v>
      </c>
      <c r="AG389" s="1908"/>
      <c r="AH389" s="1908"/>
      <c r="AI389" s="1908"/>
      <c r="AJ389" s="1908"/>
    </row>
    <row r="390" spans="1:96" ht="12.75" customHeight="1">
      <c r="D390" s="12" t="s">
        <v>443</v>
      </c>
      <c r="Q390" s="2243"/>
      <c r="R390" s="2243"/>
      <c r="S390" s="2243"/>
      <c r="T390" s="2243"/>
      <c r="U390" s="2243"/>
      <c r="V390" s="58" t="s">
        <v>1342</v>
      </c>
      <c r="AG390" s="1909"/>
      <c r="AH390" s="1909"/>
      <c r="AI390" s="1909"/>
      <c r="AJ390" s="1909"/>
    </row>
    <row r="391" spans="1:96" ht="12.75" customHeight="1">
      <c r="D391" s="12" t="s">
        <v>93</v>
      </c>
      <c r="I391" s="2036"/>
      <c r="J391" s="2036"/>
      <c r="K391" s="2036"/>
      <c r="L391" s="2036"/>
      <c r="M391" s="2036"/>
      <c r="N391" s="2036"/>
      <c r="Q391" s="57" t="s">
        <v>211</v>
      </c>
      <c r="S391" s="2105"/>
      <c r="T391" s="2105"/>
      <c r="U391" s="2105"/>
      <c r="V391" s="12" t="s">
        <v>77</v>
      </c>
      <c r="AI391" s="1886" t="s">
        <v>694</v>
      </c>
      <c r="AJ391" s="1886"/>
    </row>
    <row r="392" spans="1:96" ht="12.75" customHeight="1">
      <c r="D392" s="12" t="s">
        <v>315</v>
      </c>
      <c r="Q392" s="1890"/>
      <c r="R392" s="1890"/>
      <c r="S392" s="1890"/>
      <c r="T392" s="1890"/>
      <c r="U392" s="1890"/>
      <c r="V392" s="12" t="s">
        <v>316</v>
      </c>
      <c r="AG392" s="1908"/>
      <c r="AH392" s="1908"/>
      <c r="AI392" s="1908"/>
      <c r="AJ392" s="1908"/>
    </row>
    <row r="393" spans="1:96" ht="12.75" customHeight="1">
      <c r="D393" s="12" t="s">
        <v>317</v>
      </c>
      <c r="Q393" s="2039"/>
      <c r="R393" s="2039"/>
      <c r="S393" s="2039"/>
      <c r="T393" s="2039"/>
      <c r="U393" s="2039"/>
      <c r="V393" s="711" t="s">
        <v>1323</v>
      </c>
      <c r="AG393" s="1908"/>
      <c r="AH393" s="1908"/>
      <c r="AI393" s="1908"/>
      <c r="AJ393" s="1908"/>
    </row>
    <row r="394" spans="1:96" ht="13.2">
      <c r="D394" s="711" t="s">
        <v>1322</v>
      </c>
      <c r="V394" s="711"/>
      <c r="AG394" s="1908"/>
      <c r="AH394" s="1908"/>
      <c r="AI394" s="1908"/>
      <c r="AJ394" s="1908"/>
    </row>
    <row r="395" spans="1:96" s="711" customFormat="1" ht="13.2">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2">
      <c r="D396" s="58" t="s">
        <v>1870</v>
      </c>
      <c r="AG396" s="740"/>
      <c r="AH396" s="740"/>
      <c r="AI396" s="1886" t="s">
        <v>694</v>
      </c>
      <c r="AJ396" s="1886"/>
      <c r="AM396" s="39"/>
      <c r="AN396" s="39"/>
      <c r="AO396" s="39"/>
      <c r="AP396" s="39"/>
      <c r="AQ396" s="39"/>
      <c r="AR396" s="39"/>
      <c r="AS396" s="39"/>
      <c r="AT396" s="39"/>
      <c r="AU396" s="39"/>
      <c r="AV396" s="39"/>
      <c r="AW396" s="39"/>
      <c r="AX396" s="39"/>
      <c r="AY396" s="39"/>
      <c r="CR396" s="25"/>
    </row>
    <row r="397" spans="1:96" s="711" customFormat="1" ht="13.2">
      <c r="D397" s="58" t="s">
        <v>1872</v>
      </c>
      <c r="T397" s="1953"/>
      <c r="U397" s="1953"/>
      <c r="V397" s="1953"/>
      <c r="W397" s="1953"/>
      <c r="X397" s="1953"/>
      <c r="Y397" s="1953"/>
      <c r="Z397" s="1953"/>
      <c r="AA397" s="1953"/>
      <c r="AB397" s="1953"/>
      <c r="AC397" s="1953"/>
      <c r="AD397" s="1953"/>
      <c r="AE397" s="1953"/>
      <c r="AF397" s="1953"/>
      <c r="AG397" s="1953"/>
      <c r="AH397" s="1953"/>
      <c r="AI397" s="1953"/>
      <c r="AJ397" s="1953"/>
      <c r="AM397" s="39"/>
      <c r="AN397" s="39"/>
      <c r="AO397" s="39"/>
      <c r="AP397" s="39"/>
      <c r="AQ397" s="39"/>
      <c r="AR397" s="39"/>
      <c r="AS397" s="39"/>
      <c r="AT397" s="39"/>
      <c r="AU397" s="39"/>
      <c r="AV397" s="39"/>
      <c r="AW397" s="39"/>
      <c r="AX397" s="39"/>
      <c r="AY397" s="39"/>
      <c r="CR397" s="25"/>
    </row>
    <row r="398" spans="1:96" s="711" customFormat="1" ht="13.2">
      <c r="D398" s="58" t="s">
        <v>1871</v>
      </c>
      <c r="T398" s="1953"/>
      <c r="U398" s="1953"/>
      <c r="V398" s="1953"/>
      <c r="W398" s="1953"/>
      <c r="X398" s="1953"/>
      <c r="Y398" s="1953"/>
      <c r="Z398" s="1953"/>
      <c r="AA398" s="1953"/>
      <c r="AB398" s="1953"/>
      <c r="AC398" s="1953"/>
      <c r="AD398" s="1953"/>
      <c r="AE398" s="1953"/>
      <c r="AF398" s="1953"/>
      <c r="AG398" s="1953"/>
      <c r="AH398" s="1953"/>
      <c r="AI398" s="1953"/>
      <c r="AJ398" s="1953"/>
      <c r="AM398" s="39"/>
      <c r="AN398" s="39"/>
      <c r="AO398" s="39"/>
      <c r="AP398" s="39"/>
      <c r="AQ398" s="39"/>
      <c r="AR398" s="39"/>
      <c r="AS398" s="39"/>
      <c r="AT398" s="39"/>
      <c r="AU398" s="39"/>
      <c r="AV398" s="39"/>
      <c r="AW398" s="39"/>
      <c r="AX398" s="39"/>
      <c r="AY398" s="39"/>
      <c r="CR398" s="25"/>
    </row>
    <row r="399" spans="1:96" ht="13.2">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2">
      <c r="A400" s="711"/>
      <c r="B400" s="711"/>
      <c r="C400" s="711"/>
      <c r="D400" s="58" t="s">
        <v>1864</v>
      </c>
      <c r="E400" s="711"/>
      <c r="F400" s="711"/>
      <c r="G400" s="711"/>
      <c r="H400" s="711"/>
      <c r="I400" s="711"/>
      <c r="J400" s="711"/>
      <c r="K400" s="711"/>
      <c r="L400" s="711"/>
      <c r="M400" s="711"/>
      <c r="N400" s="711"/>
      <c r="O400" s="711"/>
      <c r="P400" s="711"/>
      <c r="Q400" s="711"/>
      <c r="R400" s="711"/>
      <c r="S400" s="1953" t="s">
        <v>569</v>
      </c>
      <c r="T400" s="1953"/>
      <c r="U400" s="1953"/>
      <c r="V400" s="474" t="s">
        <v>1865</v>
      </c>
      <c r="W400" s="711"/>
      <c r="X400" s="711"/>
      <c r="Y400" s="711"/>
      <c r="Z400" s="711"/>
      <c r="AA400" s="711"/>
      <c r="AB400" s="39"/>
      <c r="AC400" s="39"/>
      <c r="AD400" s="39"/>
      <c r="AE400" s="39"/>
      <c r="AF400" s="39"/>
      <c r="AG400" s="2055">
        <v>75</v>
      </c>
      <c r="AH400" s="2055"/>
      <c r="AI400" s="2055"/>
      <c r="AJ400" s="2055"/>
      <c r="AK400" s="39"/>
      <c r="AL400" s="711"/>
    </row>
    <row r="401" spans="1:96" s="711" customFormat="1" ht="13.2">
      <c r="D401" s="58" t="s">
        <v>1862</v>
      </c>
      <c r="S401" s="1953" t="s">
        <v>569</v>
      </c>
      <c r="T401" s="1953"/>
      <c r="U401" s="1953"/>
      <c r="V401" s="474" t="s">
        <v>1867</v>
      </c>
      <c r="AB401" s="39"/>
      <c r="AC401" s="39"/>
      <c r="AD401" s="39"/>
      <c r="AE401" s="2056">
        <v>15000</v>
      </c>
      <c r="AF401" s="2056"/>
      <c r="AG401" s="2056"/>
      <c r="AH401" s="2056"/>
      <c r="AI401" s="2056"/>
      <c r="AJ401" s="2056"/>
      <c r="AK401" s="39"/>
      <c r="AM401" s="39"/>
      <c r="AN401" s="39"/>
      <c r="AO401" s="39"/>
      <c r="AP401" s="39"/>
      <c r="AQ401" s="39"/>
      <c r="AR401" s="39"/>
      <c r="AS401" s="39"/>
      <c r="AT401" s="39"/>
      <c r="AU401" s="39"/>
      <c r="AV401" s="39"/>
      <c r="AW401" s="39"/>
      <c r="AX401" s="39"/>
      <c r="AY401" s="39"/>
      <c r="CR401" s="25"/>
    </row>
    <row r="402" spans="1:96" s="711" customFormat="1" ht="13.2">
      <c r="D402" s="58" t="s">
        <v>1863</v>
      </c>
      <c r="K402" s="1939" t="s">
        <v>616</v>
      </c>
      <c r="L402" s="1939"/>
      <c r="M402" s="1939"/>
      <c r="N402" s="1939"/>
      <c r="O402" s="1939"/>
      <c r="P402" s="1939"/>
      <c r="Q402" s="1939"/>
      <c r="R402" s="1939"/>
      <c r="S402" s="1939"/>
      <c r="T402" s="1939"/>
      <c r="U402" s="1939"/>
      <c r="V402" s="1939"/>
      <c r="W402" s="1939"/>
      <c r="X402" s="1939"/>
      <c r="Y402" s="1939"/>
      <c r="Z402" s="1939"/>
      <c r="AA402" s="1939"/>
      <c r="AB402" s="1939"/>
      <c r="AC402" s="1939"/>
      <c r="AD402" s="1939"/>
      <c r="AE402" s="1939"/>
      <c r="AF402" s="1939"/>
      <c r="AG402" s="1939"/>
      <c r="AH402" s="1939"/>
      <c r="AI402" s="1939"/>
      <c r="AJ402" s="1939"/>
      <c r="AK402" s="39"/>
      <c r="AM402" s="39"/>
      <c r="AN402" s="39"/>
      <c r="AO402" s="39"/>
      <c r="AP402" s="39"/>
      <c r="AQ402" s="39"/>
      <c r="AR402" s="39"/>
      <c r="AS402" s="39"/>
      <c r="AT402" s="39"/>
      <c r="AU402" s="39"/>
      <c r="AV402" s="39"/>
      <c r="AW402" s="39"/>
      <c r="AX402" s="39"/>
      <c r="AY402" s="39"/>
      <c r="CR402" s="25"/>
    </row>
    <row r="403" spans="1:96" s="711" customFormat="1" ht="13.2">
      <c r="D403" s="58" t="s">
        <v>1866</v>
      </c>
      <c r="K403" s="1939" t="s">
        <v>2541</v>
      </c>
      <c r="L403" s="1939"/>
      <c r="M403" s="1939"/>
      <c r="N403" s="1939"/>
      <c r="O403" s="1939"/>
      <c r="P403" s="1939"/>
      <c r="Q403" s="1939"/>
      <c r="R403" s="1939"/>
      <c r="S403" s="1939"/>
      <c r="T403" s="1939"/>
      <c r="U403" s="1939"/>
      <c r="V403" s="1939"/>
      <c r="W403" s="1939"/>
      <c r="X403" s="1939"/>
      <c r="Y403" s="1939"/>
      <c r="Z403" s="1939"/>
      <c r="AA403" s="1939"/>
      <c r="AB403" s="1939"/>
      <c r="AC403" s="1939"/>
      <c r="AD403" s="1939"/>
      <c r="AE403" s="1939"/>
      <c r="AF403" s="1939"/>
      <c r="AG403" s="1939"/>
      <c r="AH403" s="1939"/>
      <c r="AI403" s="1939"/>
      <c r="AJ403" s="1939"/>
      <c r="AK403" s="39"/>
      <c r="AM403" s="39"/>
      <c r="AN403" s="39"/>
      <c r="AO403" s="39"/>
      <c r="AP403" s="39"/>
      <c r="AQ403" s="39"/>
      <c r="AR403" s="39"/>
      <c r="AS403" s="39"/>
      <c r="AT403" s="39"/>
      <c r="AU403" s="39"/>
      <c r="AV403" s="39"/>
      <c r="AW403" s="39"/>
      <c r="AX403" s="39"/>
      <c r="AY403" s="39"/>
      <c r="CR403" s="25"/>
    </row>
    <row r="404" spans="1:96" s="711" customFormat="1" ht="12.75" customHeight="1">
      <c r="D404" s="181" t="s">
        <v>1869</v>
      </c>
      <c r="E404" s="942"/>
      <c r="F404" s="942"/>
      <c r="G404" s="942"/>
      <c r="H404" s="942"/>
      <c r="I404" s="942"/>
      <c r="J404" s="942"/>
      <c r="K404" s="942"/>
      <c r="L404" s="942"/>
      <c r="M404" s="942"/>
      <c r="N404" s="942"/>
      <c r="O404" s="942"/>
      <c r="P404" s="942"/>
      <c r="Q404" s="942"/>
      <c r="R404" s="942"/>
      <c r="S404" s="1962" t="s">
        <v>2550</v>
      </c>
      <c r="T404" s="1962"/>
      <c r="U404" s="1962"/>
      <c r="V404" s="1962"/>
      <c r="W404" s="1962"/>
      <c r="X404" s="1962"/>
      <c r="Y404" s="1962"/>
      <c r="Z404" s="1962"/>
      <c r="AA404" s="1962"/>
      <c r="AB404" s="1962"/>
      <c r="AC404" s="1962"/>
      <c r="AD404" s="1962"/>
      <c r="AE404" s="1962"/>
      <c r="AF404" s="1962"/>
      <c r="AG404" s="1962"/>
      <c r="AH404" s="1962"/>
      <c r="AI404" s="1962"/>
      <c r="AJ404" s="1962"/>
      <c r="AK404" s="39"/>
      <c r="AL404" s="39"/>
      <c r="AM404" s="39"/>
      <c r="AN404" s="39"/>
      <c r="AO404" s="39"/>
      <c r="AP404" s="39"/>
      <c r="AQ404" s="39"/>
      <c r="AR404" s="39"/>
      <c r="AS404" s="39"/>
      <c r="AT404" s="39"/>
      <c r="AU404" s="39"/>
      <c r="AV404" s="39"/>
      <c r="AW404" s="39"/>
      <c r="AX404" s="39"/>
      <c r="AY404" s="39"/>
      <c r="CR404" s="25"/>
    </row>
    <row r="405" spans="1:96" s="711" customFormat="1" ht="13.2">
      <c r="D405" s="2057" t="s">
        <v>1868</v>
      </c>
      <c r="E405" s="2057"/>
      <c r="F405" s="2057"/>
      <c r="G405" s="2057"/>
      <c r="H405" s="2057"/>
      <c r="I405" s="2057"/>
      <c r="J405" s="2057"/>
      <c r="K405" s="2057"/>
      <c r="L405" s="2057"/>
      <c r="M405" s="2057"/>
      <c r="N405" s="2057"/>
      <c r="O405" s="2057"/>
      <c r="P405" s="2057"/>
      <c r="Q405" s="2057"/>
      <c r="R405" s="2057"/>
      <c r="S405" s="2057"/>
      <c r="T405" s="2057"/>
      <c r="U405" s="2057"/>
      <c r="V405" s="2057"/>
      <c r="W405" s="2057"/>
      <c r="X405" s="2057"/>
      <c r="Y405" s="2057"/>
      <c r="Z405" s="2057"/>
      <c r="AA405" s="2057"/>
      <c r="AB405" s="2057"/>
      <c r="AC405" s="2057"/>
      <c r="AD405" s="2057"/>
      <c r="AE405" s="2057"/>
      <c r="AF405" s="2057"/>
      <c r="AG405" s="2057"/>
      <c r="AH405" s="2057"/>
      <c r="AI405" s="2057"/>
      <c r="AJ405" s="2057"/>
      <c r="AK405" s="39"/>
      <c r="AL405" s="39"/>
      <c r="AM405" s="39"/>
      <c r="AN405" s="39"/>
      <c r="AO405" s="39"/>
      <c r="AP405" s="39"/>
      <c r="AQ405" s="39"/>
      <c r="AR405" s="39"/>
      <c r="AS405" s="39"/>
      <c r="AT405" s="39"/>
      <c r="AU405" s="39"/>
      <c r="AV405" s="39"/>
      <c r="AW405" s="39"/>
      <c r="AX405" s="39"/>
      <c r="AY405" s="39"/>
      <c r="CR405" s="25"/>
    </row>
    <row r="406" spans="1:96" s="711" customFormat="1" ht="13.2">
      <c r="D406" s="2057"/>
      <c r="E406" s="2057"/>
      <c r="F406" s="2057"/>
      <c r="G406" s="2057"/>
      <c r="H406" s="2057"/>
      <c r="I406" s="2057"/>
      <c r="J406" s="2057"/>
      <c r="K406" s="2057"/>
      <c r="L406" s="2057"/>
      <c r="M406" s="2057"/>
      <c r="N406" s="2057"/>
      <c r="O406" s="2057"/>
      <c r="P406" s="2057"/>
      <c r="Q406" s="2057"/>
      <c r="R406" s="2057"/>
      <c r="S406" s="2057"/>
      <c r="T406" s="2057"/>
      <c r="U406" s="2057"/>
      <c r="V406" s="2057"/>
      <c r="W406" s="2057"/>
      <c r="X406" s="2057"/>
      <c r="Y406" s="2057"/>
      <c r="Z406" s="2057"/>
      <c r="AA406" s="2057"/>
      <c r="AB406" s="2057"/>
      <c r="AC406" s="2057"/>
      <c r="AD406" s="2057"/>
      <c r="AE406" s="2057"/>
      <c r="AF406" s="2057"/>
      <c r="AG406" s="2057"/>
      <c r="AH406" s="2057"/>
      <c r="AI406" s="2057"/>
      <c r="AJ406" s="2057"/>
      <c r="AK406" s="39"/>
      <c r="AL406" s="39"/>
      <c r="AM406" s="39"/>
      <c r="AN406" s="39"/>
      <c r="AO406" s="39"/>
      <c r="AP406" s="39"/>
      <c r="AQ406" s="39"/>
      <c r="AR406" s="39"/>
      <c r="AS406" s="39"/>
      <c r="AT406" s="39"/>
      <c r="AU406" s="39"/>
      <c r="AV406" s="39"/>
      <c r="AW406" s="39"/>
      <c r="AX406" s="39"/>
      <c r="AY406" s="39"/>
      <c r="CR406" s="25"/>
    </row>
    <row r="407" spans="1:96" s="711"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2">
      <c r="A408" s="50" t="s">
        <v>614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1365</v>
      </c>
      <c r="I409" s="2048" t="s">
        <v>2551</v>
      </c>
      <c r="J409" s="2048"/>
      <c r="K409" s="2048"/>
      <c r="L409" s="2048"/>
      <c r="M409" s="2048"/>
      <c r="N409" s="2048"/>
      <c r="O409" s="2048"/>
      <c r="P409" s="2048"/>
      <c r="Q409" s="2048"/>
      <c r="R409" s="2048"/>
      <c r="S409" s="2048"/>
      <c r="T409" s="2048"/>
      <c r="U409" s="2048"/>
      <c r="V409" s="2048"/>
      <c r="W409" s="2048"/>
      <c r="X409" s="2048"/>
      <c r="Y409" s="2048"/>
      <c r="Z409" s="2048"/>
      <c r="AA409" s="2048"/>
      <c r="AB409" s="2048"/>
      <c r="AC409" s="2048"/>
      <c r="AD409" s="2048"/>
      <c r="AE409" s="2048"/>
    </row>
    <row r="410" spans="1:96" ht="12.75" customHeight="1">
      <c r="C410" s="25"/>
      <c r="D410" s="25"/>
      <c r="E410" s="12" t="s">
        <v>111</v>
      </c>
      <c r="F410" s="25"/>
      <c r="G410" s="25"/>
      <c r="H410" s="25"/>
      <c r="I410" s="25"/>
      <c r="J410" s="25"/>
      <c r="K410" s="25"/>
      <c r="L410" s="25"/>
      <c r="M410" s="25"/>
      <c r="N410" s="25"/>
      <c r="O410" s="25"/>
      <c r="P410" s="711"/>
      <c r="Q410" s="711"/>
      <c r="R410" s="1886" t="s">
        <v>569</v>
      </c>
      <c r="S410" s="1886"/>
      <c r="T410" s="12" t="s">
        <v>594</v>
      </c>
      <c r="U410" s="711"/>
      <c r="V410" s="711"/>
      <c r="W410" s="711"/>
      <c r="X410" s="711"/>
      <c r="Y410" s="711"/>
      <c r="Z410" s="711"/>
      <c r="AA410" s="711"/>
      <c r="AB410" s="711"/>
      <c r="AC410" s="711"/>
      <c r="AD410" s="1911">
        <v>8</v>
      </c>
      <c r="AE410" s="1911"/>
      <c r="AF410" s="711"/>
    </row>
    <row r="411" spans="1:96" ht="13.2">
      <c r="C411" s="25"/>
      <c r="E411" s="12" t="s">
        <v>112</v>
      </c>
      <c r="F411" s="711"/>
      <c r="G411" s="711"/>
      <c r="H411" s="711"/>
      <c r="I411" s="711"/>
      <c r="J411" s="711"/>
      <c r="K411" s="711"/>
      <c r="L411" s="711"/>
      <c r="M411" s="711"/>
      <c r="N411" s="25"/>
      <c r="O411" s="25"/>
      <c r="P411" s="711"/>
      <c r="Q411" s="711"/>
      <c r="R411" s="1886" t="s">
        <v>616</v>
      </c>
      <c r="S411" s="1886"/>
      <c r="T411" s="12" t="s">
        <v>594</v>
      </c>
      <c r="U411" s="711"/>
      <c r="V411" s="711"/>
      <c r="W411" s="711"/>
      <c r="X411" s="711"/>
      <c r="Y411" s="711"/>
      <c r="Z411" s="711"/>
      <c r="AA411" s="711"/>
      <c r="AB411" s="711"/>
      <c r="AC411" s="711"/>
      <c r="AD411" s="1911">
        <v>0</v>
      </c>
      <c r="AE411" s="1911"/>
      <c r="AF411" s="711"/>
    </row>
    <row r="412" spans="1:96" ht="12.75" customHeight="1">
      <c r="C412" s="25"/>
      <c r="E412" s="12" t="s">
        <v>113</v>
      </c>
      <c r="F412" s="711"/>
      <c r="G412" s="711"/>
      <c r="H412" s="711"/>
      <c r="I412" s="711"/>
      <c r="J412" s="711"/>
      <c r="K412" s="711"/>
      <c r="L412" s="711"/>
      <c r="M412" s="711"/>
      <c r="N412" s="25"/>
      <c r="O412" s="25"/>
      <c r="P412" s="711"/>
      <c r="Q412" s="711"/>
      <c r="R412" s="711"/>
      <c r="S412" s="1886" t="s">
        <v>616</v>
      </c>
      <c r="T412" s="1886"/>
      <c r="U412" s="711"/>
      <c r="V412" s="711"/>
      <c r="W412" s="711"/>
      <c r="X412" s="711"/>
      <c r="Y412" s="711"/>
      <c r="Z412" s="711"/>
      <c r="AA412" s="711"/>
      <c r="AB412" s="711"/>
      <c r="AC412" s="711"/>
      <c r="AD412" s="711"/>
      <c r="AE412" s="711"/>
      <c r="AF412" s="711"/>
    </row>
    <row r="413" spans="1:96" ht="12.75" customHeight="1">
      <c r="E413" s="12" t="s">
        <v>174</v>
      </c>
      <c r="F413" s="711"/>
      <c r="G413" s="711"/>
      <c r="H413" s="2037" t="s">
        <v>339</v>
      </c>
      <c r="I413" s="2037"/>
      <c r="J413" s="2037"/>
      <c r="K413" s="2037"/>
      <c r="L413" s="2037"/>
      <c r="M413" s="2037"/>
      <c r="N413" s="2037"/>
      <c r="O413" s="2037"/>
      <c r="P413" s="2037"/>
      <c r="Q413" s="2037"/>
      <c r="R413" s="2037"/>
      <c r="S413" s="2037"/>
      <c r="T413" s="2037"/>
      <c r="U413" s="2037"/>
      <c r="V413" s="2037"/>
      <c r="W413" s="2037"/>
      <c r="X413" s="2037"/>
      <c r="Y413" s="2037"/>
      <c r="Z413" s="2037"/>
      <c r="AA413" s="2037"/>
      <c r="AB413" s="2037"/>
      <c r="AC413" s="2037"/>
      <c r="AD413" s="2037"/>
      <c r="AE413" s="2037"/>
      <c r="AF413" s="711"/>
    </row>
    <row r="414" spans="1:96" ht="12.75" customHeight="1">
      <c r="E414" s="25"/>
      <c r="F414" s="711"/>
      <c r="G414" s="711"/>
      <c r="H414" s="2038"/>
      <c r="I414" s="2038"/>
      <c r="J414" s="2038"/>
      <c r="K414" s="2038"/>
      <c r="L414" s="2038"/>
      <c r="M414" s="2038"/>
      <c r="N414" s="2038"/>
      <c r="O414" s="2038"/>
      <c r="P414" s="2038"/>
      <c r="Q414" s="2038"/>
      <c r="R414" s="2038"/>
      <c r="S414" s="2038"/>
      <c r="T414" s="2038"/>
      <c r="U414" s="2038"/>
      <c r="V414" s="2038"/>
      <c r="W414" s="2038"/>
      <c r="X414" s="2038"/>
      <c r="Y414" s="2038"/>
      <c r="Z414" s="2038"/>
      <c r="AA414" s="2038"/>
      <c r="AB414" s="2038"/>
      <c r="AC414" s="2038"/>
      <c r="AD414" s="2038"/>
      <c r="AE414" s="2038"/>
      <c r="AF414" s="711"/>
    </row>
    <row r="415" spans="1:96" ht="12.75" customHeight="1"/>
    <row r="416" spans="1:96" ht="12.75" customHeight="1">
      <c r="A416" s="50" t="s">
        <v>615</v>
      </c>
      <c r="B416" s="50"/>
      <c r="C416" s="50"/>
      <c r="D416" s="50" t="s">
        <v>119</v>
      </c>
      <c r="AF416" s="50" t="s">
        <v>1013</v>
      </c>
    </row>
    <row r="417" spans="1:96" ht="12.75" customHeight="1">
      <c r="E417" s="1935"/>
      <c r="F417" s="1935"/>
      <c r="G417" s="1935"/>
      <c r="H417" s="23" t="s">
        <v>120</v>
      </c>
      <c r="I417" s="1935"/>
      <c r="J417" s="1935"/>
      <c r="K417" s="1935"/>
      <c r="L417" s="12" t="s">
        <v>121</v>
      </c>
      <c r="N417" s="141" t="s">
        <v>600</v>
      </c>
      <c r="P417" s="2104">
        <v>0.31714999999999999</v>
      </c>
      <c r="Q417" s="2104"/>
      <c r="R417" s="2104"/>
      <c r="S417" s="12" t="s">
        <v>122</v>
      </c>
      <c r="W417" s="1924">
        <f>IF(E417&gt;0,(E417*I417),(P417*43560))</f>
        <v>13815.054</v>
      </c>
      <c r="X417" s="1924"/>
      <c r="Y417" s="1924"/>
      <c r="Z417" s="12" t="s">
        <v>123</v>
      </c>
      <c r="AF417" s="2053">
        <f>IF(P417&gt;0,(AG436/P417),(AG436/(W417/43560)))</f>
        <v>353.14519943244522</v>
      </c>
      <c r="AG417" s="2053"/>
      <c r="AH417" s="2053"/>
      <c r="AM417" s="239"/>
    </row>
    <row r="418" spans="1:96" ht="13.2">
      <c r="E418" s="12" t="s">
        <v>54</v>
      </c>
    </row>
    <row r="419" spans="1:96" ht="12.75" customHeight="1">
      <c r="E419" s="2045"/>
      <c r="F419" s="2045"/>
      <c r="G419" s="2045"/>
      <c r="H419" s="2045"/>
      <c r="I419" s="2045"/>
      <c r="J419" s="2045"/>
      <c r="K419" s="2045"/>
      <c r="L419" s="2045"/>
      <c r="M419" s="2045"/>
      <c r="N419" s="2045"/>
      <c r="O419" s="2045"/>
      <c r="P419" s="2045"/>
      <c r="Q419" s="2045"/>
      <c r="R419" s="2045"/>
      <c r="S419" s="2045"/>
      <c r="T419" s="2045"/>
      <c r="U419" s="2045"/>
      <c r="V419" s="2045"/>
      <c r="W419" s="2045"/>
      <c r="X419" s="2045"/>
      <c r="Y419" s="2045"/>
      <c r="Z419" s="2045"/>
      <c r="AA419" s="2045"/>
      <c r="AB419" s="2045"/>
      <c r="AC419" s="2045"/>
      <c r="AD419" s="2045"/>
      <c r="AE419" s="2045"/>
      <c r="AF419" s="2045"/>
      <c r="AG419" s="2045"/>
      <c r="AH419" s="2045"/>
      <c r="AI419" s="2045"/>
      <c r="AJ419" s="2045"/>
    </row>
    <row r="420" spans="1:96" s="39" customFormat="1" ht="12.75" customHeight="1">
      <c r="E420" s="254" t="s">
        <v>2046</v>
      </c>
      <c r="F420" s="1096"/>
      <c r="G420" s="1096"/>
      <c r="H420" s="1096"/>
      <c r="I420" s="2244">
        <v>0.31714999999999999</v>
      </c>
      <c r="J420" s="2244"/>
      <c r="K420" s="2244"/>
      <c r="L420" s="1096"/>
      <c r="M420" s="254"/>
      <c r="N420" s="1096"/>
      <c r="O420" s="1096"/>
      <c r="P420" s="2272">
        <f>(CS637+CS645+CS661)/I420</f>
        <v>454.04382784171531</v>
      </c>
      <c r="Q420" s="2272"/>
      <c r="R420" s="2272"/>
      <c r="S420" s="254" t="s">
        <v>2047</v>
      </c>
      <c r="T420" s="1096"/>
      <c r="U420" s="1096"/>
      <c r="V420" s="1096"/>
      <c r="W420" s="1096"/>
      <c r="X420" s="1096"/>
      <c r="Y420" s="1096"/>
      <c r="Z420" s="1096"/>
      <c r="AA420" s="1096"/>
      <c r="AB420" s="1096"/>
      <c r="AC420" s="1096"/>
      <c r="AD420" s="1096"/>
      <c r="AE420" s="1096"/>
      <c r="AF420" s="1096"/>
      <c r="AG420" s="1096"/>
      <c r="AH420" s="1096"/>
      <c r="AI420" s="1096"/>
      <c r="AJ420" s="1096"/>
      <c r="CR420" s="673"/>
    </row>
    <row r="421" spans="1:96" ht="13.2">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2">
      <c r="A422" s="50" t="s">
        <v>617</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2">
      <c r="E423" s="12" t="s">
        <v>126</v>
      </c>
      <c r="P423" s="1886">
        <v>1</v>
      </c>
      <c r="Q423" s="1886"/>
      <c r="S423" s="12" t="s">
        <v>194</v>
      </c>
      <c r="AE423" s="1886">
        <v>1</v>
      </c>
      <c r="AF423" s="1886"/>
    </row>
    <row r="424" spans="1:96" ht="13.2">
      <c r="E424" s="12" t="s">
        <v>195</v>
      </c>
      <c r="P424" s="1886" t="s">
        <v>616</v>
      </c>
      <c r="Q424" s="1886"/>
      <c r="S424" s="12" t="s">
        <v>136</v>
      </c>
      <c r="AE424" s="1886" t="s">
        <v>569</v>
      </c>
      <c r="AF424" s="1886"/>
    </row>
    <row r="425" spans="1:96" ht="13.2">
      <c r="F425" s="67" t="s">
        <v>137</v>
      </c>
    </row>
    <row r="426" spans="1:96" ht="13.2">
      <c r="F426" s="1913" t="s">
        <v>2757</v>
      </c>
      <c r="G426" s="1936"/>
      <c r="H426" s="1936"/>
      <c r="I426" s="1936"/>
      <c r="J426" s="1936"/>
      <c r="K426" s="1936"/>
      <c r="L426" s="1936"/>
      <c r="M426" s="1936"/>
      <c r="N426" s="1936"/>
      <c r="O426" s="1936"/>
      <c r="P426" s="1936"/>
      <c r="Q426" s="1936"/>
      <c r="R426" s="1936"/>
      <c r="S426" s="1936"/>
      <c r="T426" s="1936"/>
      <c r="U426" s="1936"/>
      <c r="V426" s="1936"/>
      <c r="W426" s="1936"/>
      <c r="X426" s="1936"/>
      <c r="Y426" s="1936"/>
      <c r="Z426" s="1936"/>
      <c r="AA426" s="1936"/>
      <c r="AB426" s="1936"/>
      <c r="AC426" s="1936"/>
      <c r="AD426" s="1936"/>
      <c r="AE426" s="1936"/>
      <c r="AF426" s="1936"/>
      <c r="AG426" s="1936"/>
      <c r="AH426" s="1936"/>
    </row>
    <row r="427" spans="1:96" ht="12.75" customHeight="1">
      <c r="F427" s="1937"/>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1937"/>
      <c r="AG427" s="1937"/>
      <c r="AH427" s="1937"/>
    </row>
    <row r="428" spans="1:96" ht="12.75" customHeight="1">
      <c r="E428" s="12" t="s">
        <v>633</v>
      </c>
      <c r="N428" s="39"/>
      <c r="O428" s="39"/>
      <c r="P428" s="235"/>
      <c r="Q428" s="1886" t="s">
        <v>569</v>
      </c>
      <c r="R428" s="1886"/>
      <c r="S428" s="39"/>
      <c r="T428" s="39"/>
      <c r="U428" s="39"/>
      <c r="V428" s="39"/>
      <c r="W428" s="39"/>
      <c r="X428" s="39"/>
      <c r="Y428" s="39"/>
      <c r="Z428" s="39"/>
      <c r="AA428" s="39"/>
      <c r="AB428" s="39"/>
      <c r="AC428" s="39"/>
      <c r="AD428" s="39"/>
      <c r="AG428" s="25"/>
    </row>
    <row r="429" spans="1:96" ht="12.75" customHeight="1">
      <c r="F429" s="12" t="s">
        <v>634</v>
      </c>
      <c r="N429" s="39"/>
      <c r="O429" s="39"/>
      <c r="P429" s="235"/>
      <c r="Q429" s="235"/>
      <c r="R429" s="39"/>
      <c r="S429" s="39"/>
      <c r="T429" s="39"/>
      <c r="U429" s="39"/>
      <c r="V429" s="39"/>
      <c r="W429" s="39"/>
      <c r="X429" s="39"/>
      <c r="Y429" s="39"/>
      <c r="Z429" s="39"/>
      <c r="AA429" s="39"/>
      <c r="AB429" s="39"/>
      <c r="AC429" s="39"/>
      <c r="AD429" s="39"/>
      <c r="AF429" s="1886" t="s">
        <v>616</v>
      </c>
      <c r="AG429" s="1955"/>
    </row>
    <row r="430" spans="1:96" ht="12.75" customHeight="1">
      <c r="S430" s="25"/>
      <c r="T430" s="25"/>
    </row>
    <row r="431" spans="1:96" ht="12.75" customHeight="1">
      <c r="A431" s="50"/>
      <c r="B431" s="50"/>
      <c r="C431" s="50"/>
      <c r="E431" s="7" t="s">
        <v>313</v>
      </c>
      <c r="Z431" s="1886" t="s">
        <v>694</v>
      </c>
      <c r="AA431" s="188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736</v>
      </c>
      <c r="G433" s="69"/>
      <c r="I433" s="69"/>
      <c r="J433" s="69"/>
      <c r="K433" s="69"/>
      <c r="L433" s="69"/>
      <c r="M433" s="69"/>
      <c r="N433" s="69"/>
      <c r="O433" s="67"/>
      <c r="P433" s="69"/>
      <c r="Q433" s="69"/>
      <c r="R433" s="69"/>
      <c r="S433" s="69"/>
      <c r="T433" s="69"/>
      <c r="U433" s="69"/>
      <c r="V433" s="69"/>
      <c r="W433" s="69"/>
      <c r="Z433" s="1886" t="s">
        <v>616</v>
      </c>
      <c r="AA433" s="1886"/>
    </row>
    <row r="434" spans="1:110" ht="12.75" customHeight="1"/>
    <row r="435" spans="1:110" ht="12.75" customHeight="1">
      <c r="A435" s="50" t="s">
        <v>491</v>
      </c>
      <c r="B435" s="50"/>
      <c r="C435" s="50"/>
      <c r="D435" s="50" t="s">
        <v>805</v>
      </c>
      <c r="AF435" s="80"/>
    </row>
    <row r="436" spans="1:110" ht="12.75" customHeight="1">
      <c r="D436" s="1921" t="s">
        <v>46</v>
      </c>
      <c r="E436" s="1919"/>
      <c r="F436" s="1919"/>
      <c r="G436" s="1919"/>
      <c r="H436" s="1919"/>
      <c r="I436" s="1919"/>
      <c r="J436" s="1919"/>
      <c r="K436" s="1919"/>
      <c r="L436" s="1919"/>
      <c r="M436" s="1919"/>
      <c r="N436" s="1919"/>
      <c r="O436" s="1919"/>
      <c r="P436" s="1919"/>
      <c r="Q436" s="1919"/>
      <c r="R436" s="1919"/>
      <c r="S436" s="1919"/>
      <c r="T436" s="1919"/>
      <c r="U436" s="1919"/>
      <c r="V436" s="1919"/>
      <c r="W436" s="1919"/>
      <c r="X436" s="1919"/>
      <c r="Y436" s="1919"/>
      <c r="Z436" s="1919"/>
      <c r="AA436" s="1919"/>
      <c r="AB436" s="1919"/>
      <c r="AC436" s="1919"/>
      <c r="AD436" s="1919"/>
      <c r="AE436" s="1919"/>
      <c r="AF436" s="1920"/>
      <c r="AG436" s="1903">
        <v>112</v>
      </c>
      <c r="AH436" s="1903"/>
      <c r="AI436" s="1903"/>
      <c r="AJ436" s="1903"/>
    </row>
    <row r="437" spans="1:110" ht="12.75" customHeight="1">
      <c r="D437" s="1869" t="s">
        <v>1388</v>
      </c>
      <c r="E437" s="1870"/>
      <c r="F437" s="1870"/>
      <c r="G437" s="1870"/>
      <c r="H437" s="1870"/>
      <c r="I437" s="1870"/>
      <c r="J437" s="1870"/>
      <c r="K437" s="1870"/>
      <c r="L437" s="1870"/>
      <c r="M437" s="1870"/>
      <c r="N437" s="1870"/>
      <c r="O437" s="1870"/>
      <c r="P437" s="1870"/>
      <c r="Q437" s="1870"/>
      <c r="R437" s="1870"/>
      <c r="S437" s="1870"/>
      <c r="T437" s="1870"/>
      <c r="U437" s="1870"/>
      <c r="V437" s="1870"/>
      <c r="W437" s="1870"/>
      <c r="X437" s="1870"/>
      <c r="Y437" s="1870"/>
      <c r="Z437" s="1870"/>
      <c r="AA437" s="1870"/>
      <c r="AB437" s="1870"/>
      <c r="AC437" s="1870"/>
      <c r="AD437" s="1870"/>
      <c r="AE437" s="1870"/>
      <c r="AF437" s="1871"/>
      <c r="AG437" s="1931"/>
      <c r="AH437" s="1932"/>
      <c r="AI437" s="1932"/>
      <c r="AJ437" s="1932"/>
    </row>
    <row r="438" spans="1:110" ht="12.75" customHeight="1">
      <c r="D438" s="1869" t="s">
        <v>1110</v>
      </c>
      <c r="E438" s="1870"/>
      <c r="F438" s="1870"/>
      <c r="G438" s="1870"/>
      <c r="H438" s="1870"/>
      <c r="I438" s="1870"/>
      <c r="J438" s="1870"/>
      <c r="K438" s="1870"/>
      <c r="L438" s="1870"/>
      <c r="M438" s="1870"/>
      <c r="N438" s="1870"/>
      <c r="O438" s="1870"/>
      <c r="P438" s="1870"/>
      <c r="Q438" s="1870"/>
      <c r="R438" s="1870"/>
      <c r="S438" s="1870"/>
      <c r="T438" s="1870"/>
      <c r="U438" s="1870"/>
      <c r="V438" s="1870"/>
      <c r="W438" s="1870"/>
      <c r="X438" s="1870"/>
      <c r="Y438" s="1870"/>
      <c r="Z438" s="1870"/>
      <c r="AA438" s="1870"/>
      <c r="AB438" s="1870"/>
      <c r="AC438" s="1870"/>
      <c r="AD438" s="1870"/>
      <c r="AE438" s="1870"/>
      <c r="AF438" s="1871"/>
      <c r="AG438" s="1903">
        <v>110</v>
      </c>
      <c r="AH438" s="1903"/>
      <c r="AI438" s="1903"/>
      <c r="AJ438" s="1903"/>
    </row>
    <row r="439" spans="1:110" ht="12.75" customHeight="1">
      <c r="D439" s="1869" t="s">
        <v>1111</v>
      </c>
      <c r="E439" s="1870"/>
      <c r="F439" s="1870"/>
      <c r="G439" s="1870"/>
      <c r="H439" s="1870"/>
      <c r="I439" s="1870"/>
      <c r="J439" s="1870"/>
      <c r="K439" s="1870"/>
      <c r="L439" s="1870"/>
      <c r="M439" s="1870"/>
      <c r="N439" s="1870"/>
      <c r="O439" s="1870"/>
      <c r="P439" s="1870"/>
      <c r="Q439" s="1870"/>
      <c r="R439" s="1870"/>
      <c r="S439" s="1870"/>
      <c r="T439" s="1870"/>
      <c r="U439" s="1870"/>
      <c r="V439" s="1870"/>
      <c r="W439" s="1870"/>
      <c r="X439" s="1870"/>
      <c r="Y439" s="1870"/>
      <c r="Z439" s="1870"/>
      <c r="AA439" s="1870"/>
      <c r="AB439" s="1870"/>
      <c r="AC439" s="1870"/>
      <c r="AD439" s="1870"/>
      <c r="AE439" s="1870"/>
      <c r="AF439" s="1871"/>
      <c r="AG439" s="1903">
        <v>110</v>
      </c>
      <c r="AH439" s="1903"/>
      <c r="AI439" s="1903"/>
      <c r="AJ439" s="1903"/>
    </row>
    <row r="440" spans="1:110" ht="12.75" customHeight="1">
      <c r="D440" s="1869" t="s">
        <v>1113</v>
      </c>
      <c r="E440" s="1870"/>
      <c r="F440" s="1870"/>
      <c r="G440" s="1870"/>
      <c r="H440" s="1870"/>
      <c r="I440" s="1870"/>
      <c r="J440" s="1870"/>
      <c r="K440" s="1870"/>
      <c r="L440" s="1870"/>
      <c r="M440" s="1870"/>
      <c r="N440" s="1870"/>
      <c r="O440" s="1870"/>
      <c r="P440" s="1870"/>
      <c r="Q440" s="1870"/>
      <c r="R440" s="1870"/>
      <c r="S440" s="1870"/>
      <c r="T440" s="1870"/>
      <c r="U440" s="1870"/>
      <c r="V440" s="1870"/>
      <c r="W440" s="1870"/>
      <c r="X440" s="1870"/>
      <c r="Y440" s="1870"/>
      <c r="Z440" s="1870"/>
      <c r="AA440" s="1870"/>
      <c r="AB440" s="1870"/>
      <c r="AC440" s="1870"/>
      <c r="AD440" s="1870"/>
      <c r="AE440" s="1870"/>
      <c r="AF440" s="1871"/>
      <c r="AG440" s="1923">
        <f>IF(ISERROR(AG439/AG438),"",AG439/AG438)</f>
        <v>1</v>
      </c>
      <c r="AH440" s="1923"/>
      <c r="AI440" s="1923"/>
      <c r="AJ440" s="1923"/>
    </row>
    <row r="441" spans="1:110" ht="12.75" customHeight="1">
      <c r="D441" s="1869" t="s">
        <v>1112</v>
      </c>
      <c r="E441" s="1870"/>
      <c r="F441" s="1870"/>
      <c r="G441" s="1870"/>
      <c r="H441" s="1870"/>
      <c r="I441" s="1870"/>
      <c r="J441" s="1870"/>
      <c r="K441" s="1870"/>
      <c r="L441" s="1870"/>
      <c r="M441" s="1870"/>
      <c r="N441" s="1870"/>
      <c r="O441" s="1870"/>
      <c r="P441" s="1870"/>
      <c r="Q441" s="1870"/>
      <c r="R441" s="1870"/>
      <c r="S441" s="1870"/>
      <c r="T441" s="1870"/>
      <c r="U441" s="1870"/>
      <c r="V441" s="1870"/>
      <c r="W441" s="1870"/>
      <c r="X441" s="1870"/>
      <c r="Y441" s="1870"/>
      <c r="Z441" s="1870"/>
      <c r="AA441" s="1870"/>
      <c r="AB441" s="1870"/>
      <c r="AC441" s="1870"/>
      <c r="AD441" s="1870"/>
      <c r="AE441" s="1870"/>
      <c r="AF441" s="1871"/>
      <c r="AG441" s="1922">
        <v>51510</v>
      </c>
      <c r="AH441" s="1922"/>
      <c r="AI441" s="1922"/>
      <c r="AJ441" s="1922"/>
    </row>
    <row r="442" spans="1:110" ht="12.75" customHeight="1">
      <c r="D442" s="1869" t="s">
        <v>1114</v>
      </c>
      <c r="E442" s="1870"/>
      <c r="F442" s="1870"/>
      <c r="G442" s="1870"/>
      <c r="H442" s="1870"/>
      <c r="I442" s="1870"/>
      <c r="J442" s="1870"/>
      <c r="K442" s="1870"/>
      <c r="L442" s="1870"/>
      <c r="M442" s="1870"/>
      <c r="N442" s="1870"/>
      <c r="O442" s="1870"/>
      <c r="P442" s="1870"/>
      <c r="Q442" s="1870"/>
      <c r="R442" s="1870"/>
      <c r="S442" s="1870"/>
      <c r="T442" s="1870"/>
      <c r="U442" s="1870"/>
      <c r="V442" s="1870"/>
      <c r="W442" s="1870"/>
      <c r="X442" s="1870"/>
      <c r="Y442" s="1870"/>
      <c r="Z442" s="1870"/>
      <c r="AA442" s="1870"/>
      <c r="AB442" s="1870"/>
      <c r="AC442" s="1870"/>
      <c r="AD442" s="1870"/>
      <c r="AE442" s="1870"/>
      <c r="AF442" s="1871"/>
      <c r="AG442" s="1922">
        <v>51510</v>
      </c>
      <c r="AH442" s="1922"/>
      <c r="AI442" s="1922"/>
      <c r="AJ442" s="1922"/>
    </row>
    <row r="443" spans="1:110" ht="12.75" customHeight="1">
      <c r="D443" s="1869" t="s">
        <v>1115</v>
      </c>
      <c r="E443" s="1870"/>
      <c r="F443" s="1870"/>
      <c r="G443" s="1870"/>
      <c r="H443" s="1870"/>
      <c r="I443" s="1870"/>
      <c r="J443" s="1870"/>
      <c r="K443" s="1870"/>
      <c r="L443" s="1870"/>
      <c r="M443" s="1870"/>
      <c r="N443" s="1870"/>
      <c r="O443" s="1870"/>
      <c r="P443" s="1870"/>
      <c r="Q443" s="1870"/>
      <c r="R443" s="1870"/>
      <c r="S443" s="1870"/>
      <c r="T443" s="1870"/>
      <c r="U443" s="1870"/>
      <c r="V443" s="1870"/>
      <c r="W443" s="1870"/>
      <c r="X443" s="1870"/>
      <c r="Y443" s="1870"/>
      <c r="Z443" s="1870"/>
      <c r="AA443" s="1870"/>
      <c r="AB443" s="1870"/>
      <c r="AC443" s="1870"/>
      <c r="AD443" s="1870"/>
      <c r="AE443" s="1870"/>
      <c r="AF443" s="1871"/>
      <c r="AG443" s="1923">
        <f>IF(ISERROR(AG442/AG441),"",AG442/AG441)</f>
        <v>1</v>
      </c>
      <c r="AH443" s="1923"/>
      <c r="AI443" s="1923"/>
      <c r="AJ443" s="1923"/>
    </row>
    <row r="444" spans="1:110" ht="12.75" customHeight="1">
      <c r="D444" s="1869" t="s">
        <v>1116</v>
      </c>
      <c r="E444" s="1870"/>
      <c r="F444" s="1870"/>
      <c r="G444" s="1870"/>
      <c r="H444" s="1870"/>
      <c r="I444" s="1870"/>
      <c r="J444" s="1870"/>
      <c r="K444" s="1870"/>
      <c r="L444" s="1870"/>
      <c r="M444" s="1870"/>
      <c r="N444" s="1870"/>
      <c r="O444" s="1870"/>
      <c r="P444" s="1870"/>
      <c r="Q444" s="1870"/>
      <c r="R444" s="1870"/>
      <c r="S444" s="1870"/>
      <c r="T444" s="1870"/>
      <c r="U444" s="1870"/>
      <c r="V444" s="1870"/>
      <c r="W444" s="1870"/>
      <c r="X444" s="1870"/>
      <c r="Y444" s="1870"/>
      <c r="Z444" s="1870"/>
      <c r="AA444" s="1870"/>
      <c r="AB444" s="1870"/>
      <c r="AC444" s="1870"/>
      <c r="AD444" s="1870"/>
      <c r="AE444" s="1870"/>
      <c r="AF444" s="1871"/>
      <c r="AG444" s="1923">
        <f>MIN(IF(AG440&gt;AG443,AG443,AG440),1)</f>
        <v>1</v>
      </c>
      <c r="AH444" s="1923"/>
      <c r="AI444" s="1923"/>
      <c r="AJ444" s="1923"/>
    </row>
    <row r="445" spans="1:110" ht="12.75" customHeight="1">
      <c r="D445" s="1869" t="s">
        <v>2686</v>
      </c>
      <c r="E445" s="1919"/>
      <c r="F445" s="1919"/>
      <c r="G445" s="1919"/>
      <c r="H445" s="1919"/>
      <c r="I445" s="1919"/>
      <c r="J445" s="1919"/>
      <c r="K445" s="1919"/>
      <c r="L445" s="1919"/>
      <c r="M445" s="1919"/>
      <c r="N445" s="1919"/>
      <c r="O445" s="1919"/>
      <c r="P445" s="1919"/>
      <c r="Q445" s="1919"/>
      <c r="R445" s="1919"/>
      <c r="S445" s="1919"/>
      <c r="T445" s="1919"/>
      <c r="U445" s="1919"/>
      <c r="V445" s="1919"/>
      <c r="W445" s="1919"/>
      <c r="X445" s="1919"/>
      <c r="Y445" s="1919"/>
      <c r="Z445" s="1919"/>
      <c r="AA445" s="1919"/>
      <c r="AB445" s="1919"/>
      <c r="AC445" s="1919"/>
      <c r="AD445" s="1919"/>
      <c r="AE445" s="1919"/>
      <c r="AF445" s="1920"/>
      <c r="AG445" s="1922">
        <v>3560</v>
      </c>
      <c r="AH445" s="1922"/>
      <c r="AI445" s="1922"/>
      <c r="AJ445" s="1922"/>
    </row>
    <row r="446" spans="1:110" ht="12.75" customHeight="1">
      <c r="D446" s="1921" t="s">
        <v>593</v>
      </c>
      <c r="E446" s="1919"/>
      <c r="F446" s="1919"/>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1920"/>
      <c r="AG446" s="1922">
        <v>1430</v>
      </c>
      <c r="AH446" s="1922"/>
      <c r="AI446" s="1922"/>
      <c r="AJ446" s="192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971"/>
      <c r="CS446" s="61"/>
      <c r="CT446" s="61"/>
      <c r="CU446" s="61"/>
      <c r="CV446" s="61"/>
      <c r="CW446" s="61"/>
      <c r="CX446" s="61"/>
      <c r="CY446" s="61"/>
      <c r="CZ446" s="61"/>
      <c r="DA446" s="61"/>
      <c r="DB446" s="61"/>
      <c r="DC446" s="61"/>
      <c r="DD446" s="61"/>
      <c r="DE446" s="61"/>
      <c r="DF446" s="61"/>
    </row>
    <row r="447" spans="1:110" ht="12.6" customHeight="1">
      <c r="D447" s="1869" t="s">
        <v>1366</v>
      </c>
      <c r="E447" s="1919"/>
      <c r="F447" s="1919"/>
      <c r="G447" s="1919"/>
      <c r="H447" s="1919"/>
      <c r="I447" s="1919"/>
      <c r="J447" s="1919"/>
      <c r="K447" s="1919"/>
      <c r="L447" s="1919"/>
      <c r="M447" s="1919"/>
      <c r="N447" s="1919"/>
      <c r="O447" s="1919"/>
      <c r="P447" s="1919"/>
      <c r="Q447" s="1919"/>
      <c r="R447" s="1919"/>
      <c r="S447" s="1919"/>
      <c r="T447" s="1919"/>
      <c r="U447" s="1919"/>
      <c r="V447" s="1919"/>
      <c r="W447" s="1919"/>
      <c r="X447" s="1919"/>
      <c r="Y447" s="1919"/>
      <c r="Z447" s="1919"/>
      <c r="AA447" s="1919"/>
      <c r="AB447" s="1919"/>
      <c r="AC447" s="1919"/>
      <c r="AD447" s="1919"/>
      <c r="AE447" s="1919"/>
      <c r="AF447" s="1920"/>
      <c r="AG447" s="1922">
        <v>31019</v>
      </c>
      <c r="AH447" s="1922"/>
      <c r="AI447" s="1922"/>
      <c r="AJ447" s="192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1869" t="s">
        <v>1117</v>
      </c>
      <c r="E448" s="1919"/>
      <c r="F448" s="1919"/>
      <c r="G448" s="1919"/>
      <c r="H448" s="1919"/>
      <c r="I448" s="1919"/>
      <c r="J448" s="1919"/>
      <c r="K448" s="1919"/>
      <c r="L448" s="1919"/>
      <c r="M448" s="1919"/>
      <c r="N448" s="1919"/>
      <c r="O448" s="1919"/>
      <c r="P448" s="1919"/>
      <c r="Q448" s="1919"/>
      <c r="R448" s="1919"/>
      <c r="S448" s="1919"/>
      <c r="T448" s="1919"/>
      <c r="U448" s="1919"/>
      <c r="V448" s="1919"/>
      <c r="W448" s="1919"/>
      <c r="X448" s="1919"/>
      <c r="Y448" s="1919"/>
      <c r="Z448" s="1919"/>
      <c r="AA448" s="1919"/>
      <c r="AB448" s="1919"/>
      <c r="AC448" s="1919"/>
      <c r="AD448" s="1919"/>
      <c r="AE448" s="1919"/>
      <c r="AF448" s="1920"/>
      <c r="AG448" s="1922">
        <v>0</v>
      </c>
      <c r="AH448" s="1922"/>
      <c r="AI448" s="1922"/>
      <c r="AJ448" s="192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040" t="s">
        <v>1118</v>
      </c>
      <c r="E449" s="2041"/>
      <c r="F449" s="2041"/>
      <c r="G449" s="2041"/>
      <c r="H449" s="2041"/>
      <c r="I449" s="2041"/>
      <c r="J449" s="2041"/>
      <c r="K449" s="2041"/>
      <c r="L449" s="2041"/>
      <c r="M449" s="2041"/>
      <c r="N449" s="2041"/>
      <c r="O449" s="2041"/>
      <c r="P449" s="2041"/>
      <c r="Q449" s="2041"/>
      <c r="R449" s="2041"/>
      <c r="S449" s="2041"/>
      <c r="T449" s="2041"/>
      <c r="U449" s="2041"/>
      <c r="V449" s="2041"/>
      <c r="W449" s="2041"/>
      <c r="X449" s="2041"/>
      <c r="Y449" s="2041"/>
      <c r="Z449" s="2041"/>
      <c r="AA449" s="2041"/>
      <c r="AB449" s="2041"/>
      <c r="AC449" s="2041"/>
      <c r="AD449" s="2041"/>
      <c r="AE449" s="2041"/>
      <c r="AF449" s="2042"/>
      <c r="AG449" s="1951">
        <f>AG441+AG445+AG447+AG448</f>
        <v>86089</v>
      </c>
      <c r="AH449" s="1951"/>
      <c r="AI449" s="1951"/>
      <c r="AJ449" s="19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043" t="s">
        <v>1367</v>
      </c>
      <c r="E450" s="2043"/>
      <c r="F450" s="2043"/>
      <c r="G450" s="2043"/>
      <c r="H450" s="2043"/>
      <c r="I450" s="2043"/>
      <c r="J450" s="2043"/>
      <c r="K450" s="2043"/>
      <c r="L450" s="2043"/>
      <c r="M450" s="2043"/>
      <c r="N450" s="2043"/>
      <c r="O450" s="2043"/>
      <c r="P450" s="2043"/>
      <c r="Q450" s="2043"/>
      <c r="R450" s="2043"/>
      <c r="S450" s="2043"/>
      <c r="T450" s="2043"/>
      <c r="U450" s="2043"/>
      <c r="V450" s="2043"/>
      <c r="W450" s="2043"/>
      <c r="X450" s="2043"/>
      <c r="Y450" s="2043"/>
      <c r="Z450" s="2043"/>
      <c r="AA450" s="2043"/>
      <c r="AB450" s="2043"/>
      <c r="AC450" s="2043"/>
      <c r="AD450" s="2043"/>
      <c r="AE450" s="2043"/>
      <c r="AF450" s="2043"/>
      <c r="AG450" s="2043"/>
      <c r="AH450" s="2043"/>
      <c r="AI450" s="2043"/>
      <c r="AJ450" s="204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044"/>
      <c r="E451" s="2044"/>
      <c r="F451" s="2044"/>
      <c r="G451" s="2044"/>
      <c r="H451" s="2044"/>
      <c r="I451" s="2044"/>
      <c r="J451" s="2044"/>
      <c r="K451" s="2044"/>
      <c r="L451" s="2044"/>
      <c r="M451" s="2044"/>
      <c r="N451" s="2044"/>
      <c r="O451" s="2044"/>
      <c r="P451" s="2044"/>
      <c r="Q451" s="2044"/>
      <c r="R451" s="2044"/>
      <c r="S451" s="2044"/>
      <c r="T451" s="2044"/>
      <c r="U451" s="2044"/>
      <c r="V451" s="2044"/>
      <c r="W451" s="2044"/>
      <c r="X451" s="2044"/>
      <c r="Y451" s="2044"/>
      <c r="Z451" s="2044"/>
      <c r="AA451" s="2044"/>
      <c r="AB451" s="2044"/>
      <c r="AC451" s="2044"/>
      <c r="AD451" s="2044"/>
      <c r="AE451" s="2044"/>
      <c r="AF451" s="2044"/>
      <c r="AG451" s="2044"/>
      <c r="AH451" s="2044"/>
      <c r="AI451" s="2044"/>
      <c r="AJ451" s="204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857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1952">
        <f>'Sources and Uses Budget'!B105/Application!AG436</f>
        <v>806462.71428571432</v>
      </c>
      <c r="AD453" s="1952"/>
      <c r="AE453" s="1952"/>
      <c r="AF453" s="195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858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1952">
        <f>'Sources and Uses Budget'!C105/Application!AG436</f>
        <v>794311.11607142852</v>
      </c>
      <c r="AD454" s="1952"/>
      <c r="AE454" s="1952"/>
      <c r="AF454" s="195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908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1952">
        <f>('Sources and Uses Budget'!$S$107+'Sources and Uses Budget'!$T$107)/Application!AG436</f>
        <v>734558.90178571432</v>
      </c>
      <c r="AD455" s="1952"/>
      <c r="AE455" s="1952"/>
      <c r="AF455" s="195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638</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2192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2193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2194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718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1950" t="s">
        <v>719</v>
      </c>
      <c r="E464" s="1948"/>
      <c r="F464" s="1948"/>
      <c r="G464" s="1948"/>
      <c r="H464" s="1948"/>
      <c r="I464" s="1948"/>
      <c r="J464" s="1948"/>
      <c r="K464" s="1948"/>
      <c r="L464" s="1948"/>
      <c r="M464" s="1948"/>
      <c r="N464" s="1948"/>
      <c r="O464" s="1948"/>
      <c r="P464" s="1948"/>
      <c r="Q464" s="1948"/>
      <c r="R464" s="1948"/>
      <c r="S464" s="1948"/>
      <c r="T464" s="1948"/>
      <c r="U464" s="1948"/>
      <c r="V464" s="1949"/>
      <c r="W464" s="1956" t="s">
        <v>616</v>
      </c>
      <c r="X464" s="1945"/>
      <c r="Y464" s="194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1950" t="s">
        <v>720</v>
      </c>
      <c r="E465" s="1948"/>
      <c r="F465" s="1948"/>
      <c r="G465" s="1948"/>
      <c r="H465" s="1948"/>
      <c r="I465" s="1948"/>
      <c r="J465" s="1948"/>
      <c r="K465" s="1948"/>
      <c r="L465" s="1948"/>
      <c r="M465" s="1948"/>
      <c r="N465" s="1948"/>
      <c r="O465" s="1948"/>
      <c r="P465" s="1948"/>
      <c r="Q465" s="1948"/>
      <c r="R465" s="1948"/>
      <c r="S465" s="1948"/>
      <c r="T465" s="1948"/>
      <c r="U465" s="1948"/>
      <c r="V465" s="1949"/>
      <c r="W465" s="1956" t="s">
        <v>616</v>
      </c>
      <c r="X465" s="1945"/>
      <c r="Y465" s="194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943"/>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1950" t="s">
        <v>721</v>
      </c>
      <c r="E466" s="1948"/>
      <c r="F466" s="1948"/>
      <c r="G466" s="1948"/>
      <c r="H466" s="1948"/>
      <c r="I466" s="1948"/>
      <c r="J466" s="1948"/>
      <c r="K466" s="1948"/>
      <c r="L466" s="1948"/>
      <c r="M466" s="1948"/>
      <c r="N466" s="1948"/>
      <c r="O466" s="1948"/>
      <c r="P466" s="1948"/>
      <c r="Q466" s="1948"/>
      <c r="R466" s="1948"/>
      <c r="S466" s="1948"/>
      <c r="T466" s="1948"/>
      <c r="U466" s="1948"/>
      <c r="V466" s="1949"/>
      <c r="W466" s="1944">
        <v>28</v>
      </c>
      <c r="X466" s="1945"/>
      <c r="Y466" s="194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1950" t="s">
        <v>722</v>
      </c>
      <c r="E467" s="1948"/>
      <c r="F467" s="1948"/>
      <c r="G467" s="1948"/>
      <c r="H467" s="1948"/>
      <c r="I467" s="1948"/>
      <c r="J467" s="1948"/>
      <c r="K467" s="1948"/>
      <c r="L467" s="1948"/>
      <c r="M467" s="1948"/>
      <c r="N467" s="1948"/>
      <c r="O467" s="1948"/>
      <c r="P467" s="1948"/>
      <c r="Q467" s="1948"/>
      <c r="R467" s="1948"/>
      <c r="S467" s="1948"/>
      <c r="T467" s="1948"/>
      <c r="U467" s="1948"/>
      <c r="V467" s="1949"/>
      <c r="W467" s="1956" t="s">
        <v>616</v>
      </c>
      <c r="X467" s="1945"/>
      <c r="Y467" s="194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1950" t="s">
        <v>927</v>
      </c>
      <c r="E468" s="1948"/>
      <c r="F468" s="1948"/>
      <c r="G468" s="1948"/>
      <c r="H468" s="1948"/>
      <c r="I468" s="1948"/>
      <c r="J468" s="1948"/>
      <c r="K468" s="1948"/>
      <c r="L468" s="1948"/>
      <c r="M468" s="1948"/>
      <c r="N468" s="1948"/>
      <c r="O468" s="1948"/>
      <c r="P468" s="1948"/>
      <c r="Q468" s="1948"/>
      <c r="R468" s="1948"/>
      <c r="S468" s="1948"/>
      <c r="T468" s="1948"/>
      <c r="U468" s="1948"/>
      <c r="V468" s="1949"/>
      <c r="W468" s="1956" t="s">
        <v>616</v>
      </c>
      <c r="X468" s="1945"/>
      <c r="Y468" s="194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1950" t="s">
        <v>723</v>
      </c>
      <c r="E469" s="1948"/>
      <c r="F469" s="1948"/>
      <c r="G469" s="1948"/>
      <c r="H469" s="1948"/>
      <c r="I469" s="1948"/>
      <c r="J469" s="1948"/>
      <c r="K469" s="1948"/>
      <c r="L469" s="1948"/>
      <c r="M469" s="1948"/>
      <c r="N469" s="1948"/>
      <c r="O469" s="1948"/>
      <c r="P469" s="1948"/>
      <c r="Q469" s="1948"/>
      <c r="R469" s="1948"/>
      <c r="S469" s="1948"/>
      <c r="T469" s="1948"/>
      <c r="U469" s="1948"/>
      <c r="V469" s="1949"/>
      <c r="W469" s="1956" t="s">
        <v>616</v>
      </c>
      <c r="X469" s="1945"/>
      <c r="Y469" s="194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1950" t="s">
        <v>1086</v>
      </c>
      <c r="E470" s="1948"/>
      <c r="F470" s="1948"/>
      <c r="G470" s="1948"/>
      <c r="H470" s="1948"/>
      <c r="I470" s="1948"/>
      <c r="J470" s="1948"/>
      <c r="K470" s="1948"/>
      <c r="L470" s="1948"/>
      <c r="M470" s="1948"/>
      <c r="N470" s="1948"/>
      <c r="O470" s="1948"/>
      <c r="P470" s="1948"/>
      <c r="Q470" s="1948"/>
      <c r="R470" s="1948"/>
      <c r="S470" s="1948"/>
      <c r="T470" s="1948"/>
      <c r="U470" s="1948"/>
      <c r="V470" s="1949"/>
      <c r="W470" s="1956" t="s">
        <v>616</v>
      </c>
      <c r="X470" s="1945"/>
      <c r="Y470" s="194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1947" t="s">
        <v>1857</v>
      </c>
      <c r="E471" s="1948"/>
      <c r="F471" s="1948"/>
      <c r="G471" s="1948"/>
      <c r="H471" s="1948"/>
      <c r="I471" s="1948"/>
      <c r="J471" s="1948"/>
      <c r="K471" s="1948"/>
      <c r="L471" s="1948"/>
      <c r="M471" s="1948"/>
      <c r="N471" s="1948"/>
      <c r="O471" s="1948"/>
      <c r="P471" s="1948"/>
      <c r="Q471" s="1948"/>
      <c r="R471" s="1948"/>
      <c r="S471" s="1948"/>
      <c r="T471" s="1948"/>
      <c r="U471" s="1948"/>
      <c r="V471" s="1949"/>
      <c r="W471" s="1944">
        <v>17</v>
      </c>
      <c r="X471" s="1945"/>
      <c r="Y471" s="194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9" t="s">
        <v>174</v>
      </c>
      <c r="E472" s="390"/>
      <c r="F472" s="391"/>
      <c r="G472" s="1941"/>
      <c r="H472" s="1942"/>
      <c r="I472" s="1942"/>
      <c r="J472" s="1942"/>
      <c r="K472" s="1942"/>
      <c r="L472" s="1942"/>
      <c r="M472" s="1942"/>
      <c r="N472" s="1942"/>
      <c r="O472" s="1942"/>
      <c r="P472" s="1942"/>
      <c r="Q472" s="1942"/>
      <c r="R472" s="1942"/>
      <c r="S472" s="1942"/>
      <c r="T472" s="1942"/>
      <c r="U472" s="1942"/>
      <c r="V472" s="1943"/>
      <c r="W472" s="1944">
        <v>0</v>
      </c>
      <c r="X472" s="1945"/>
      <c r="Y472" s="194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2" t="s">
        <v>928</v>
      </c>
      <c r="E473" s="393"/>
      <c r="F473" s="393"/>
      <c r="G473" s="927"/>
      <c r="H473" s="927"/>
      <c r="I473" s="927"/>
      <c r="J473" s="927"/>
      <c r="K473" s="927"/>
      <c r="L473" s="927"/>
      <c r="M473" s="927"/>
      <c r="N473" s="927"/>
      <c r="O473" s="927"/>
      <c r="P473" s="927"/>
      <c r="Q473" s="927"/>
      <c r="R473" s="927"/>
      <c r="S473" s="927"/>
      <c r="T473" s="927"/>
      <c r="U473" s="927"/>
      <c r="V473" s="92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922"/>
      <c r="E475" s="921"/>
      <c r="F475" s="921"/>
      <c r="G475" s="921"/>
      <c r="H475" s="921"/>
      <c r="I475" s="921"/>
      <c r="J475" s="921"/>
      <c r="K475" s="921"/>
      <c r="L475" s="921"/>
      <c r="M475" s="921"/>
      <c r="N475" s="921"/>
      <c r="O475" s="921"/>
      <c r="P475" s="921"/>
      <c r="Q475" s="921"/>
      <c r="R475" s="921"/>
      <c r="S475" s="921"/>
      <c r="T475" s="921"/>
      <c r="U475" s="921"/>
      <c r="V475" s="921"/>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922"/>
      <c r="E476" s="921"/>
      <c r="F476" s="921"/>
      <c r="G476" s="921"/>
      <c r="H476" s="921"/>
      <c r="I476" s="921"/>
      <c r="J476" s="921"/>
      <c r="K476" s="921"/>
      <c r="L476" s="921"/>
      <c r="M476" s="921"/>
      <c r="N476" s="921"/>
      <c r="O476" s="921"/>
      <c r="P476" s="921"/>
      <c r="Q476" s="921"/>
      <c r="R476" s="921"/>
      <c r="S476" s="921"/>
      <c r="T476" s="921"/>
      <c r="U476" s="921"/>
      <c r="V476" s="921"/>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1933" t="s">
        <v>851</v>
      </c>
      <c r="B478" s="1933"/>
      <c r="C478" s="1933"/>
      <c r="D478" s="1933"/>
      <c r="E478" s="1933"/>
      <c r="F478" s="1933"/>
      <c r="G478" s="1933"/>
      <c r="H478" s="1933"/>
      <c r="I478" s="1933"/>
      <c r="J478" s="1933"/>
      <c r="K478" s="1933"/>
      <c r="L478" s="1933"/>
      <c r="M478" s="1933"/>
      <c r="N478" s="1933"/>
      <c r="O478" s="1933"/>
      <c r="P478" s="1933"/>
      <c r="Q478" s="1933"/>
      <c r="R478" s="1933"/>
      <c r="S478" s="1933"/>
      <c r="T478" s="1933"/>
      <c r="U478" s="1933"/>
      <c r="V478" s="1933"/>
      <c r="W478" s="1933"/>
      <c r="X478" s="1933"/>
      <c r="Y478" s="1933"/>
      <c r="Z478" s="1933"/>
      <c r="AA478" s="1933"/>
      <c r="AB478" s="1933"/>
      <c r="AC478" s="1933"/>
      <c r="AD478" s="1933"/>
      <c r="AE478" s="1933"/>
      <c r="AF478" s="1933"/>
      <c r="AG478" s="1933"/>
      <c r="AH478" s="1933"/>
      <c r="AI478" s="1933"/>
      <c r="AJ478" s="1933"/>
      <c r="AK478" s="1933"/>
      <c r="AL478" s="193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1934"/>
      <c r="B479" s="1934"/>
      <c r="C479" s="1934"/>
      <c r="D479" s="1934"/>
      <c r="E479" s="1934"/>
      <c r="F479" s="1934"/>
      <c r="G479" s="1934"/>
      <c r="H479" s="1934"/>
      <c r="I479" s="1934"/>
      <c r="J479" s="1934"/>
      <c r="K479" s="1934"/>
      <c r="L479" s="1934"/>
      <c r="M479" s="1934"/>
      <c r="N479" s="1934"/>
      <c r="O479" s="1934"/>
      <c r="P479" s="1934"/>
      <c r="Q479" s="1934"/>
      <c r="R479" s="1934"/>
      <c r="S479" s="1934"/>
      <c r="T479" s="1934"/>
      <c r="U479" s="1934"/>
      <c r="V479" s="1934"/>
      <c r="W479" s="1934"/>
      <c r="X479" s="1934"/>
      <c r="Y479" s="1934"/>
      <c r="Z479" s="1934"/>
      <c r="AA479" s="1934"/>
      <c r="AB479" s="1934"/>
      <c r="AC479" s="1934"/>
      <c r="AD479" s="1934"/>
      <c r="AE479" s="1934"/>
      <c r="AF479" s="1934"/>
      <c r="AG479" s="1934"/>
      <c r="AH479" s="1934"/>
      <c r="AI479" s="1934"/>
      <c r="AJ479" s="1934"/>
      <c r="AK479" s="1934"/>
      <c r="AL479" s="193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324</v>
      </c>
      <c r="C481" s="50" t="s">
        <v>849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7"/>
      <c r="C483" s="497"/>
      <c r="D483" s="497"/>
      <c r="E483" s="861"/>
      <c r="F483" s="862"/>
      <c r="G483" s="862"/>
      <c r="H483" s="862"/>
      <c r="I483" s="862"/>
      <c r="J483" s="862"/>
      <c r="K483" s="862"/>
      <c r="L483" s="862"/>
      <c r="M483" s="862"/>
      <c r="N483" s="862"/>
      <c r="O483" s="862"/>
      <c r="P483" s="862"/>
      <c r="Q483" s="862"/>
      <c r="R483" s="862"/>
      <c r="S483" s="863"/>
      <c r="T483" s="1957" t="s">
        <v>852</v>
      </c>
      <c r="U483" s="1958"/>
      <c r="V483" s="1958"/>
      <c r="W483" s="1958"/>
      <c r="X483" s="1958"/>
      <c r="Y483" s="1958"/>
      <c r="Z483" s="1958"/>
      <c r="AA483" s="1958"/>
      <c r="AB483" s="1958"/>
      <c r="AC483" s="1958"/>
      <c r="AD483" s="1958"/>
      <c r="AE483" s="1958"/>
      <c r="AF483" s="1958"/>
      <c r="AG483" s="1958"/>
      <c r="AH483" s="195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4"/>
      <c r="F484" s="673"/>
      <c r="G484" s="673"/>
      <c r="H484" s="673"/>
      <c r="I484" s="673"/>
      <c r="J484" s="673"/>
      <c r="K484" s="673"/>
      <c r="L484" s="673"/>
      <c r="M484" s="673"/>
      <c r="N484" s="673"/>
      <c r="O484" s="673"/>
      <c r="P484" s="673"/>
      <c r="Q484" s="673"/>
      <c r="R484" s="673"/>
      <c r="S484" s="865"/>
      <c r="T484" s="1975" t="s">
        <v>36</v>
      </c>
      <c r="U484" s="1975"/>
      <c r="V484" s="1975"/>
      <c r="W484" s="1975"/>
      <c r="X484" s="1975"/>
      <c r="Y484" s="1975" t="s">
        <v>37</v>
      </c>
      <c r="Z484" s="1975"/>
      <c r="AA484" s="1975"/>
      <c r="AB484" s="1975"/>
      <c r="AC484" s="1975"/>
      <c r="AD484" s="1975" t="s">
        <v>344</v>
      </c>
      <c r="AE484" s="1975"/>
      <c r="AF484" s="1975"/>
      <c r="AG484" s="1975"/>
      <c r="AH484" s="197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6"/>
      <c r="F485" s="867"/>
      <c r="G485" s="867"/>
      <c r="H485" s="867"/>
      <c r="I485" s="867"/>
      <c r="J485" s="867"/>
      <c r="K485" s="867"/>
      <c r="L485" s="867"/>
      <c r="M485" s="867"/>
      <c r="N485" s="867"/>
      <c r="O485" s="867"/>
      <c r="P485" s="867"/>
      <c r="Q485" s="867"/>
      <c r="R485" s="867"/>
      <c r="S485" s="868"/>
      <c r="T485" s="1975"/>
      <c r="U485" s="1975"/>
      <c r="V485" s="1975"/>
      <c r="W485" s="1975"/>
      <c r="X485" s="1975"/>
      <c r="Y485" s="1975"/>
      <c r="Z485" s="1975"/>
      <c r="AA485" s="1975"/>
      <c r="AB485" s="1975"/>
      <c r="AC485" s="1975"/>
      <c r="AD485" s="1975"/>
      <c r="AE485" s="1975"/>
      <c r="AF485" s="1975"/>
      <c r="AG485" s="1975"/>
      <c r="AH485" s="197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378</v>
      </c>
      <c r="F486" s="77"/>
      <c r="G486" s="77"/>
      <c r="H486" s="77"/>
      <c r="I486" s="77"/>
      <c r="J486" s="77"/>
      <c r="K486" s="77"/>
      <c r="L486" s="77"/>
      <c r="M486" s="77"/>
      <c r="N486" s="77"/>
      <c r="O486" s="77"/>
      <c r="P486" s="77"/>
      <c r="Q486" s="77"/>
      <c r="R486" s="77"/>
      <c r="S486" s="78"/>
      <c r="T486" s="1879" t="s">
        <v>616</v>
      </c>
      <c r="U486" s="1879"/>
      <c r="V486" s="1879"/>
      <c r="W486" s="1879"/>
      <c r="X486" s="1879"/>
      <c r="Y486" s="1879" t="s">
        <v>616</v>
      </c>
      <c r="Z486" s="1879"/>
      <c r="AA486" s="1879"/>
      <c r="AB486" s="1879"/>
      <c r="AC486" s="1879"/>
      <c r="AD486" s="1879" t="s">
        <v>616</v>
      </c>
      <c r="AE486" s="1879"/>
      <c r="AF486" s="1879"/>
      <c r="AG486" s="1879"/>
      <c r="AH486" s="187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379</v>
      </c>
      <c r="F487" s="77"/>
      <c r="G487" s="77"/>
      <c r="H487" s="77"/>
      <c r="I487" s="77"/>
      <c r="J487" s="77"/>
      <c r="K487" s="77"/>
      <c r="L487" s="77"/>
      <c r="M487" s="77"/>
      <c r="N487" s="77"/>
      <c r="O487" s="77"/>
      <c r="P487" s="77"/>
      <c r="Q487" s="77"/>
      <c r="R487" s="77"/>
      <c r="S487" s="77"/>
      <c r="T487" s="1879" t="s">
        <v>616</v>
      </c>
      <c r="U487" s="1879"/>
      <c r="V487" s="1879"/>
      <c r="W487" s="1879"/>
      <c r="X487" s="1879"/>
      <c r="Y487" s="1879" t="s">
        <v>616</v>
      </c>
      <c r="Z487" s="1879"/>
      <c r="AA487" s="1879"/>
      <c r="AB487" s="1879"/>
      <c r="AC487" s="1879"/>
      <c r="AD487" s="1879" t="s">
        <v>616</v>
      </c>
      <c r="AE487" s="1879"/>
      <c r="AF487" s="1879"/>
      <c r="AG487" s="1879"/>
      <c r="AH487" s="187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380</v>
      </c>
      <c r="F488" s="77"/>
      <c r="G488" s="77"/>
      <c r="H488" s="77"/>
      <c r="I488" s="77"/>
      <c r="J488" s="77"/>
      <c r="K488" s="77"/>
      <c r="L488" s="77"/>
      <c r="M488" s="77"/>
      <c r="N488" s="77"/>
      <c r="O488" s="77"/>
      <c r="P488" s="77"/>
      <c r="Q488" s="77"/>
      <c r="R488" s="77"/>
      <c r="S488" s="77"/>
      <c r="T488" s="1879" t="s">
        <v>616</v>
      </c>
      <c r="U488" s="1879"/>
      <c r="V488" s="1879"/>
      <c r="W488" s="1879"/>
      <c r="X488" s="1879"/>
      <c r="Y488" s="1879" t="s">
        <v>616</v>
      </c>
      <c r="Z488" s="1879"/>
      <c r="AA488" s="1879"/>
      <c r="AB488" s="1879"/>
      <c r="AC488" s="1879"/>
      <c r="AD488" s="1879" t="s">
        <v>616</v>
      </c>
      <c r="AE488" s="1879"/>
      <c r="AF488" s="1879"/>
      <c r="AG488" s="1879"/>
      <c r="AH488" s="187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381</v>
      </c>
      <c r="F489" s="77"/>
      <c r="G489" s="77"/>
      <c r="H489" s="77"/>
      <c r="I489" s="77"/>
      <c r="J489" s="77"/>
      <c r="K489" s="77"/>
      <c r="L489" s="77"/>
      <c r="M489" s="77"/>
      <c r="N489" s="77"/>
      <c r="O489" s="77"/>
      <c r="P489" s="77"/>
      <c r="Q489" s="77"/>
      <c r="R489" s="77"/>
      <c r="S489" s="77"/>
      <c r="T489" s="1879" t="s">
        <v>616</v>
      </c>
      <c r="U489" s="1879"/>
      <c r="V489" s="1879"/>
      <c r="W489" s="1879"/>
      <c r="X489" s="1879"/>
      <c r="Y489" s="1879" t="s">
        <v>616</v>
      </c>
      <c r="Z489" s="1879"/>
      <c r="AA489" s="1879"/>
      <c r="AB489" s="1879"/>
      <c r="AC489" s="1879"/>
      <c r="AD489" s="1879" t="s">
        <v>616</v>
      </c>
      <c r="AE489" s="1879"/>
      <c r="AF489" s="1879"/>
      <c r="AG489" s="1879"/>
      <c r="AH489" s="187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382</v>
      </c>
      <c r="F490" s="77"/>
      <c r="G490" s="77"/>
      <c r="H490" s="77"/>
      <c r="I490" s="77"/>
      <c r="J490" s="77"/>
      <c r="K490" s="77"/>
      <c r="L490" s="77"/>
      <c r="M490" s="77"/>
      <c r="N490" s="77"/>
      <c r="O490" s="77"/>
      <c r="P490" s="77"/>
      <c r="Q490" s="77"/>
      <c r="R490" s="77"/>
      <c r="S490" s="77"/>
      <c r="T490" s="1879" t="s">
        <v>616</v>
      </c>
      <c r="U490" s="1879"/>
      <c r="V490" s="1879"/>
      <c r="W490" s="1879"/>
      <c r="X490" s="1879"/>
      <c r="Y490" s="1879" t="s">
        <v>616</v>
      </c>
      <c r="Z490" s="1879"/>
      <c r="AA490" s="1879"/>
      <c r="AB490" s="1879"/>
      <c r="AC490" s="1879"/>
      <c r="AD490" s="1879" t="s">
        <v>616</v>
      </c>
      <c r="AE490" s="1879"/>
      <c r="AF490" s="1879"/>
      <c r="AG490" s="1879"/>
      <c r="AH490" s="187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383</v>
      </c>
      <c r="F491" s="77"/>
      <c r="G491" s="77"/>
      <c r="H491" s="77"/>
      <c r="I491" s="77"/>
      <c r="J491" s="77"/>
      <c r="K491" s="77"/>
      <c r="L491" s="77"/>
      <c r="M491" s="77"/>
      <c r="N491" s="77"/>
      <c r="O491" s="77"/>
      <c r="P491" s="77"/>
      <c r="Q491" s="77"/>
      <c r="R491" s="77"/>
      <c r="S491" s="77"/>
      <c r="T491" s="1879" t="s">
        <v>616</v>
      </c>
      <c r="U491" s="1879"/>
      <c r="V491" s="1879"/>
      <c r="W491" s="1879"/>
      <c r="X491" s="1879"/>
      <c r="Y491" s="1879" t="s">
        <v>616</v>
      </c>
      <c r="Z491" s="1879"/>
      <c r="AA491" s="1879"/>
      <c r="AB491" s="1879"/>
      <c r="AC491" s="1879"/>
      <c r="AD491" s="1879" t="s">
        <v>616</v>
      </c>
      <c r="AE491" s="1879"/>
      <c r="AF491" s="1879"/>
      <c r="AG491" s="1879"/>
      <c r="AH491" s="187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384</v>
      </c>
      <c r="F492" s="77"/>
      <c r="G492" s="77"/>
      <c r="H492" s="77"/>
      <c r="I492" s="77"/>
      <c r="J492" s="77"/>
      <c r="K492" s="77"/>
      <c r="L492" s="77"/>
      <c r="M492" s="77"/>
      <c r="N492" s="77"/>
      <c r="O492" s="77"/>
      <c r="P492" s="77"/>
      <c r="Q492" s="77"/>
      <c r="R492" s="77"/>
      <c r="S492" s="77"/>
      <c r="T492" s="1879">
        <v>44186</v>
      </c>
      <c r="U492" s="1879"/>
      <c r="V492" s="1879"/>
      <c r="W492" s="1879"/>
      <c r="X492" s="1879"/>
      <c r="Y492" s="1879" t="s">
        <v>616</v>
      </c>
      <c r="Z492" s="1879"/>
      <c r="AA492" s="1879"/>
      <c r="AB492" s="1879"/>
      <c r="AC492" s="1879"/>
      <c r="AD492" s="1879">
        <v>44350</v>
      </c>
      <c r="AE492" s="1879"/>
      <c r="AF492" s="1879"/>
      <c r="AG492" s="1879"/>
      <c r="AH492" s="187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407</v>
      </c>
      <c r="F493" s="77"/>
      <c r="G493" s="77"/>
      <c r="H493" s="77"/>
      <c r="I493" s="77"/>
      <c r="J493" s="77"/>
      <c r="K493" s="77"/>
      <c r="L493" s="77"/>
      <c r="M493" s="77"/>
      <c r="N493" s="77"/>
      <c r="O493" s="77"/>
      <c r="P493" s="77"/>
      <c r="Q493" s="77"/>
      <c r="R493" s="77"/>
      <c r="S493" s="77"/>
      <c r="T493" s="1879" t="s">
        <v>616</v>
      </c>
      <c r="U493" s="1879"/>
      <c r="V493" s="1879"/>
      <c r="W493" s="1879"/>
      <c r="X493" s="1879"/>
      <c r="Y493" s="1879" t="s">
        <v>616</v>
      </c>
      <c r="Z493" s="1879"/>
      <c r="AA493" s="1879"/>
      <c r="AB493" s="1879"/>
      <c r="AC493" s="1879"/>
      <c r="AD493" s="1879" t="s">
        <v>616</v>
      </c>
      <c r="AE493" s="1879"/>
      <c r="AF493" s="1879"/>
      <c r="AG493" s="1879"/>
      <c r="AH493" s="187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408</v>
      </c>
      <c r="F494" s="77"/>
      <c r="G494" s="77"/>
      <c r="H494" s="77"/>
      <c r="I494" s="77"/>
      <c r="J494" s="77"/>
      <c r="K494" s="77"/>
      <c r="L494" s="77"/>
      <c r="M494" s="77"/>
      <c r="N494" s="77"/>
      <c r="O494" s="77"/>
      <c r="P494" s="77"/>
      <c r="Q494" s="77"/>
      <c r="R494" s="77"/>
      <c r="S494" s="77"/>
      <c r="T494" s="1879" t="s">
        <v>616</v>
      </c>
      <c r="U494" s="1879"/>
      <c r="V494" s="1879"/>
      <c r="W494" s="1879"/>
      <c r="X494" s="1879"/>
      <c r="Y494" s="1879" t="s">
        <v>616</v>
      </c>
      <c r="Z494" s="1879"/>
      <c r="AA494" s="1879"/>
      <c r="AB494" s="1879"/>
      <c r="AC494" s="1879"/>
      <c r="AD494" s="1879" t="s">
        <v>616</v>
      </c>
      <c r="AE494" s="1879"/>
      <c r="AF494" s="1879"/>
      <c r="AG494" s="1879"/>
      <c r="AH494" s="187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1062</v>
      </c>
      <c r="F495" s="80"/>
      <c r="G495" s="80"/>
      <c r="H495" s="80"/>
      <c r="I495" s="80"/>
      <c r="J495" s="80"/>
      <c r="K495" s="80"/>
      <c r="L495" s="80"/>
      <c r="M495" s="80"/>
      <c r="N495" s="80"/>
      <c r="O495" s="80"/>
      <c r="P495" s="80"/>
      <c r="Q495" s="80"/>
      <c r="R495" s="80"/>
      <c r="S495" s="80"/>
      <c r="T495" s="1879" t="s">
        <v>616</v>
      </c>
      <c r="U495" s="1879"/>
      <c r="V495" s="1879"/>
      <c r="W495" s="1879"/>
      <c r="X495" s="1879"/>
      <c r="Y495" s="1879" t="s">
        <v>616</v>
      </c>
      <c r="Z495" s="1879"/>
      <c r="AA495" s="1879"/>
      <c r="AB495" s="1879"/>
      <c r="AC495" s="1879"/>
      <c r="AD495" s="1879" t="s">
        <v>616</v>
      </c>
      <c r="AE495" s="1879"/>
      <c r="AF495" s="1879"/>
      <c r="AG495" s="1879"/>
      <c r="AH495" s="187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1982" t="s">
        <v>409</v>
      </c>
      <c r="R497" s="1983"/>
      <c r="S497" s="1983"/>
      <c r="T497" s="1983"/>
      <c r="U497" s="1983"/>
      <c r="V497" s="1983"/>
      <c r="W497" s="1983"/>
      <c r="X497" s="1983"/>
      <c r="Y497" s="1983"/>
      <c r="Z497" s="1983"/>
      <c r="AA497" s="1983"/>
      <c r="AB497" s="1983"/>
      <c r="AC497" s="1983"/>
      <c r="AD497" s="1983"/>
      <c r="AE497" s="1983"/>
      <c r="AF497" s="1983"/>
      <c r="AG497" s="1983"/>
      <c r="AH497" s="1983"/>
      <c r="AI497" s="1983"/>
      <c r="AJ497" s="1983"/>
      <c r="AK497" s="198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410</v>
      </c>
      <c r="C498" s="77"/>
      <c r="D498" s="77"/>
      <c r="E498" s="77"/>
      <c r="F498" s="77"/>
      <c r="G498" s="77"/>
      <c r="H498" s="77"/>
      <c r="I498" s="77"/>
      <c r="J498" s="77"/>
      <c r="K498" s="77"/>
      <c r="L498" s="77"/>
      <c r="M498" s="77"/>
      <c r="N498" s="77"/>
      <c r="O498" s="77"/>
      <c r="P498" s="77"/>
      <c r="Q498" s="1960" t="s">
        <v>2552</v>
      </c>
      <c r="R498" s="1889"/>
      <c r="S498" s="1889"/>
      <c r="T498" s="1889"/>
      <c r="U498" s="1889"/>
      <c r="V498" s="1889"/>
      <c r="W498" s="1889"/>
      <c r="X498" s="1889"/>
      <c r="Y498" s="1889"/>
      <c r="Z498" s="1889"/>
      <c r="AA498" s="1889"/>
      <c r="AB498" s="1889"/>
      <c r="AC498" s="1889"/>
      <c r="AD498" s="1889"/>
      <c r="AE498" s="1889"/>
      <c r="AF498" s="1889"/>
      <c r="AG498" s="1889"/>
      <c r="AH498" s="1889"/>
      <c r="AI498" s="1889"/>
      <c r="AJ498" s="1889"/>
      <c r="AK498" s="19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411</v>
      </c>
      <c r="C499" s="77"/>
      <c r="D499" s="77"/>
      <c r="E499" s="77"/>
      <c r="F499" s="77"/>
      <c r="G499" s="77"/>
      <c r="H499" s="77"/>
      <c r="I499" s="77"/>
      <c r="J499" s="77"/>
      <c r="K499" s="77"/>
      <c r="L499" s="77"/>
      <c r="M499" s="77"/>
      <c r="N499" s="77"/>
      <c r="O499" s="77"/>
      <c r="P499" s="77"/>
      <c r="Q499" s="1960" t="s">
        <v>2553</v>
      </c>
      <c r="R499" s="1889"/>
      <c r="S499" s="1889"/>
      <c r="T499" s="1889"/>
      <c r="U499" s="1889"/>
      <c r="V499" s="1889"/>
      <c r="W499" s="1889"/>
      <c r="X499" s="1889"/>
      <c r="Y499" s="1889"/>
      <c r="Z499" s="1889"/>
      <c r="AA499" s="1889"/>
      <c r="AB499" s="1889"/>
      <c r="AC499" s="1889"/>
      <c r="AD499" s="1889"/>
      <c r="AE499" s="1889"/>
      <c r="AF499" s="1889"/>
      <c r="AG499" s="1889"/>
      <c r="AH499" s="1889"/>
      <c r="AI499" s="1889"/>
      <c r="AJ499" s="1889"/>
      <c r="AK499" s="19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412</v>
      </c>
      <c r="C500" s="77"/>
      <c r="D500" s="77"/>
      <c r="E500" s="77"/>
      <c r="F500" s="77"/>
      <c r="G500" s="77"/>
      <c r="H500" s="77"/>
      <c r="I500" s="77"/>
      <c r="J500" s="77"/>
      <c r="K500" s="77"/>
      <c r="L500" s="77"/>
      <c r="M500" s="77"/>
      <c r="N500" s="77"/>
      <c r="O500" s="77"/>
      <c r="P500" s="77"/>
      <c r="Q500" s="1960" t="s">
        <v>616</v>
      </c>
      <c r="R500" s="1889"/>
      <c r="S500" s="1889"/>
      <c r="T500" s="1889"/>
      <c r="U500" s="1889"/>
      <c r="V500" s="1889"/>
      <c r="W500" s="1889"/>
      <c r="X500" s="1889"/>
      <c r="Y500" s="1889"/>
      <c r="Z500" s="1889"/>
      <c r="AA500" s="1889"/>
      <c r="AB500" s="1889"/>
      <c r="AC500" s="1889"/>
      <c r="AD500" s="1889"/>
      <c r="AE500" s="1889"/>
      <c r="AF500" s="1889"/>
      <c r="AG500" s="1889"/>
      <c r="AH500" s="1889"/>
      <c r="AI500" s="1889"/>
      <c r="AJ500" s="1889"/>
      <c r="AK500" s="19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026" t="s">
        <v>413</v>
      </c>
      <c r="C501" s="2027"/>
      <c r="D501" s="2027"/>
      <c r="E501" s="2027"/>
      <c r="F501" s="2027"/>
      <c r="G501" s="2027"/>
      <c r="H501" s="2027"/>
      <c r="I501" s="2027"/>
      <c r="J501" s="2027"/>
      <c r="K501" s="2027"/>
      <c r="L501" s="2027"/>
      <c r="M501" s="2027"/>
      <c r="N501" s="2027"/>
      <c r="O501" s="2027"/>
      <c r="P501" s="2028"/>
      <c r="Q501" s="2032" t="s">
        <v>569</v>
      </c>
      <c r="R501" s="2033"/>
      <c r="S501" s="2256" t="s">
        <v>2554</v>
      </c>
      <c r="T501" s="2257"/>
      <c r="U501" s="2257"/>
      <c r="V501" s="2257"/>
      <c r="W501" s="2257"/>
      <c r="X501" s="2257"/>
      <c r="Y501" s="2257"/>
      <c r="Z501" s="2257"/>
      <c r="AA501" s="2257"/>
      <c r="AB501" s="2257"/>
      <c r="AC501" s="2257"/>
      <c r="AD501" s="2257"/>
      <c r="AE501" s="2257"/>
      <c r="AF501" s="2257"/>
      <c r="AG501" s="2257"/>
      <c r="AH501" s="2257"/>
      <c r="AI501" s="2257"/>
      <c r="AJ501" s="2257"/>
      <c r="AK501" s="22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029"/>
      <c r="C502" s="2030"/>
      <c r="D502" s="2030"/>
      <c r="E502" s="2030"/>
      <c r="F502" s="2030"/>
      <c r="G502" s="2030"/>
      <c r="H502" s="2030"/>
      <c r="I502" s="2030"/>
      <c r="J502" s="2030"/>
      <c r="K502" s="2030"/>
      <c r="L502" s="2030"/>
      <c r="M502" s="2030"/>
      <c r="N502" s="2030"/>
      <c r="O502" s="2030"/>
      <c r="P502" s="2031"/>
      <c r="Q502" s="2034"/>
      <c r="R502" s="2035"/>
      <c r="S502" s="2259"/>
      <c r="T502" s="2260"/>
      <c r="U502" s="2260"/>
      <c r="V502" s="2260"/>
      <c r="W502" s="2260"/>
      <c r="X502" s="2260"/>
      <c r="Y502" s="2260"/>
      <c r="Z502" s="2260"/>
      <c r="AA502" s="2260"/>
      <c r="AB502" s="2260"/>
      <c r="AC502" s="2260"/>
      <c r="AD502" s="2260"/>
      <c r="AE502" s="2260"/>
      <c r="AF502" s="2260"/>
      <c r="AG502" s="2260"/>
      <c r="AH502" s="2260"/>
      <c r="AI502" s="2260"/>
      <c r="AJ502" s="2260"/>
      <c r="AK502" s="226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946" t="s">
        <v>1876</v>
      </c>
      <c r="C503" s="928"/>
      <c r="D503" s="928"/>
      <c r="E503" s="928"/>
      <c r="F503" s="928"/>
      <c r="G503" s="928"/>
      <c r="H503" s="928"/>
      <c r="I503" s="928"/>
      <c r="J503" s="928"/>
      <c r="K503" s="928"/>
      <c r="L503" s="928"/>
      <c r="M503" s="928"/>
      <c r="N503" s="928"/>
      <c r="O503" s="928"/>
      <c r="P503" s="928"/>
      <c r="Q503" s="1928" t="s">
        <v>694</v>
      </c>
      <c r="R503" s="1929"/>
      <c r="S503" s="1929"/>
      <c r="T503" s="1929"/>
      <c r="U503" s="1929"/>
      <c r="V503" s="1929"/>
      <c r="W503" s="1929"/>
      <c r="X503" s="1929"/>
      <c r="Y503" s="1929"/>
      <c r="Z503" s="1929"/>
      <c r="AA503" s="1929"/>
      <c r="AB503" s="1929"/>
      <c r="AC503" s="1929"/>
      <c r="AD503" s="1929"/>
      <c r="AE503" s="1929"/>
      <c r="AF503" s="1929"/>
      <c r="AG503" s="1929"/>
      <c r="AH503" s="1929"/>
      <c r="AI503" s="1929"/>
      <c r="AJ503" s="1929"/>
      <c r="AK503" s="193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1960" t="s">
        <v>2555</v>
      </c>
      <c r="R504" s="1889"/>
      <c r="S504" s="1889"/>
      <c r="T504" s="1889"/>
      <c r="U504" s="1889"/>
      <c r="V504" s="1889"/>
      <c r="W504" s="1889"/>
      <c r="X504" s="1889"/>
      <c r="Y504" s="1889"/>
      <c r="Z504" s="1889"/>
      <c r="AA504" s="1889"/>
      <c r="AB504" s="1889"/>
      <c r="AC504" s="1889"/>
      <c r="AD504" s="1889"/>
      <c r="AE504" s="1889"/>
      <c r="AF504" s="1889"/>
      <c r="AG504" s="1889"/>
      <c r="AH504" s="1889"/>
      <c r="AI504" s="1889"/>
      <c r="AJ504" s="1889"/>
      <c r="AK504" s="19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415</v>
      </c>
      <c r="C505" s="77"/>
      <c r="D505" s="77"/>
      <c r="E505" s="77"/>
      <c r="F505" s="77"/>
      <c r="G505" s="77"/>
      <c r="H505" s="77"/>
      <c r="I505" s="77"/>
      <c r="J505" s="77"/>
      <c r="K505" s="77"/>
      <c r="L505" s="77"/>
      <c r="M505" s="77"/>
      <c r="N505" s="77"/>
      <c r="O505" s="77"/>
      <c r="P505" s="77"/>
      <c r="Q505" s="1960" t="s">
        <v>2556</v>
      </c>
      <c r="R505" s="1889"/>
      <c r="S505" s="1889"/>
      <c r="T505" s="1889"/>
      <c r="U505" s="1889"/>
      <c r="V505" s="1889"/>
      <c r="W505" s="1889"/>
      <c r="X505" s="1889"/>
      <c r="Y505" s="1889"/>
      <c r="Z505" s="1889"/>
      <c r="AA505" s="1889"/>
      <c r="AB505" s="1889"/>
      <c r="AC505" s="1889"/>
      <c r="AD505" s="1889"/>
      <c r="AE505" s="1889"/>
      <c r="AF505" s="1889"/>
      <c r="AG505" s="1889"/>
      <c r="AH505" s="1889"/>
      <c r="AI505" s="1889"/>
      <c r="AJ505" s="1889"/>
      <c r="AK505" s="19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1873</v>
      </c>
      <c r="C506" s="77"/>
      <c r="D506" s="77"/>
      <c r="E506" s="77"/>
      <c r="F506" s="77"/>
      <c r="G506" s="77"/>
      <c r="H506" s="77"/>
      <c r="I506" s="77"/>
      <c r="J506" s="77"/>
      <c r="K506" s="77"/>
      <c r="L506" s="77"/>
      <c r="M506" s="77"/>
      <c r="N506" s="77"/>
      <c r="O506" s="77"/>
      <c r="P506" s="77"/>
      <c r="Q506" s="1960" t="s">
        <v>2557</v>
      </c>
      <c r="R506" s="1889"/>
      <c r="S506" s="1889"/>
      <c r="T506" s="1889"/>
      <c r="U506" s="1889"/>
      <c r="V506" s="1889"/>
      <c r="W506" s="1889"/>
      <c r="X506" s="1889"/>
      <c r="Y506" s="1889"/>
      <c r="Z506" s="1889"/>
      <c r="AA506" s="1889"/>
      <c r="AB506" s="1889"/>
      <c r="AC506" s="1889"/>
      <c r="AD506" s="1889"/>
      <c r="AE506" s="1889"/>
      <c r="AF506" s="1889"/>
      <c r="AG506" s="1889"/>
      <c r="AH506" s="1889"/>
      <c r="AI506" s="1889"/>
      <c r="AJ506" s="1889"/>
      <c r="AK506" s="19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2">
      <c r="B507" s="185" t="s">
        <v>1874</v>
      </c>
      <c r="C507" s="77"/>
      <c r="D507" s="77"/>
      <c r="E507" s="77"/>
      <c r="F507" s="77"/>
      <c r="G507" s="77"/>
      <c r="H507" s="77"/>
      <c r="I507" s="77"/>
      <c r="J507" s="77"/>
      <c r="K507" s="77"/>
      <c r="L507" s="77"/>
      <c r="M507" s="2006"/>
      <c r="N507" s="2007"/>
      <c r="O507" s="2007"/>
      <c r="P507" s="2008"/>
      <c r="Q507" s="944" t="s">
        <v>1875</v>
      </c>
      <c r="R507" s="945"/>
      <c r="S507" s="945"/>
      <c r="T507" s="945"/>
      <c r="U507" s="945"/>
      <c r="V507" s="945"/>
      <c r="W507" s="945"/>
      <c r="X507" s="945"/>
      <c r="Y507" s="945"/>
      <c r="Z507" s="945"/>
      <c r="AA507" s="945"/>
      <c r="AB507" s="945"/>
      <c r="AC507" s="945"/>
      <c r="AD507" s="945"/>
      <c r="AE507" s="945"/>
      <c r="AF507" s="945"/>
      <c r="AG507" s="945"/>
      <c r="AH507" s="2006"/>
      <c r="AI507" s="2007"/>
      <c r="AJ507" s="2007"/>
      <c r="AK507" s="200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601</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1982" t="s">
        <v>417</v>
      </c>
      <c r="AD511" s="1983"/>
      <c r="AE511" s="1983"/>
      <c r="AF511" s="1983"/>
      <c r="AG511" s="1983"/>
      <c r="AH511" s="1983"/>
      <c r="AI511" s="1983"/>
      <c r="AJ511" s="1983"/>
      <c r="AK511" s="198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1957" t="s">
        <v>418</v>
      </c>
      <c r="AD512" s="1958"/>
      <c r="AE512" s="1958"/>
      <c r="AF512" s="1958"/>
      <c r="AG512" s="82" t="s">
        <v>419</v>
      </c>
      <c r="AH512" s="1958" t="s">
        <v>420</v>
      </c>
      <c r="AI512" s="1958"/>
      <c r="AJ512" s="1958"/>
      <c r="AK512" s="195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1872" t="s">
        <v>421</v>
      </c>
      <c r="C513" s="1873"/>
      <c r="D513" s="1873"/>
      <c r="E513" s="1873"/>
      <c r="F513" s="1873"/>
      <c r="G513" s="1873"/>
      <c r="H513" s="1874"/>
      <c r="I513" s="72" t="s">
        <v>422</v>
      </c>
      <c r="J513" s="72"/>
      <c r="K513" s="72"/>
      <c r="L513" s="72"/>
      <c r="M513" s="72"/>
      <c r="N513" s="72"/>
      <c r="O513" s="72"/>
      <c r="P513" s="72"/>
      <c r="Q513" s="72"/>
      <c r="R513" s="72"/>
      <c r="S513" s="72"/>
      <c r="T513" s="72"/>
      <c r="U513" s="72"/>
      <c r="V513" s="72"/>
      <c r="W513" s="72"/>
      <c r="X513" s="25"/>
      <c r="Y513" s="25"/>
      <c r="AC513" s="1970" t="s">
        <v>616</v>
      </c>
      <c r="AD513" s="1911"/>
      <c r="AE513" s="1911"/>
      <c r="AF513" s="1911"/>
      <c r="AG513" s="75" t="s">
        <v>419</v>
      </c>
      <c r="AH513" s="1907">
        <v>0</v>
      </c>
      <c r="AI513" s="1907"/>
      <c r="AJ513" s="1907"/>
      <c r="AK513" s="196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1875"/>
      <c r="C514" s="1876"/>
      <c r="D514" s="1876"/>
      <c r="E514" s="1876"/>
      <c r="F514" s="1876"/>
      <c r="G514" s="1876"/>
      <c r="H514" s="1877"/>
      <c r="I514" s="80" t="s">
        <v>423</v>
      </c>
      <c r="J514" s="80"/>
      <c r="K514" s="80"/>
      <c r="L514" s="80"/>
      <c r="M514" s="80"/>
      <c r="N514" s="80"/>
      <c r="O514" s="80"/>
      <c r="P514" s="80"/>
      <c r="Q514" s="80"/>
      <c r="R514" s="80"/>
      <c r="S514" s="80"/>
      <c r="T514" s="80"/>
      <c r="U514" s="80"/>
      <c r="V514" s="80"/>
      <c r="W514" s="80"/>
      <c r="X514" s="80"/>
      <c r="Y514" s="80"/>
      <c r="Z514" s="80"/>
      <c r="AA514" s="80"/>
      <c r="AB514" s="80"/>
      <c r="AC514" s="1970">
        <v>10</v>
      </c>
      <c r="AD514" s="1911"/>
      <c r="AE514" s="1911"/>
      <c r="AF514" s="1911"/>
      <c r="AG514" s="65" t="s">
        <v>419</v>
      </c>
      <c r="AH514" s="1907">
        <v>2022</v>
      </c>
      <c r="AI514" s="1907"/>
      <c r="AJ514" s="1907"/>
      <c r="AK514" s="196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1872" t="s">
        <v>424</v>
      </c>
      <c r="C515" s="1873"/>
      <c r="D515" s="1873"/>
      <c r="E515" s="1873"/>
      <c r="F515" s="1873"/>
      <c r="G515" s="1873"/>
      <c r="H515" s="1874"/>
      <c r="I515" s="72" t="s">
        <v>425</v>
      </c>
      <c r="J515" s="72"/>
      <c r="K515" s="72"/>
      <c r="L515" s="72"/>
      <c r="M515" s="72"/>
      <c r="N515" s="72"/>
      <c r="O515" s="72"/>
      <c r="P515" s="72"/>
      <c r="Q515" s="72"/>
      <c r="R515" s="72"/>
      <c r="S515" s="72"/>
      <c r="T515" s="72"/>
      <c r="U515" s="72"/>
      <c r="V515" s="72"/>
      <c r="W515" s="72"/>
      <c r="X515" s="25"/>
      <c r="Y515" s="25"/>
      <c r="AC515" s="1970" t="s">
        <v>616</v>
      </c>
      <c r="AD515" s="1911"/>
      <c r="AE515" s="1911"/>
      <c r="AF515" s="1911"/>
      <c r="AG515" s="75" t="s">
        <v>419</v>
      </c>
      <c r="AH515" s="1907"/>
      <c r="AI515" s="1907"/>
      <c r="AJ515" s="1907"/>
      <c r="AK515" s="196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1875"/>
      <c r="C516" s="1876"/>
      <c r="D516" s="1876"/>
      <c r="E516" s="1876"/>
      <c r="F516" s="1876"/>
      <c r="G516" s="1876"/>
      <c r="H516" s="1877"/>
      <c r="I516" s="25" t="s">
        <v>426</v>
      </c>
      <c r="J516" s="25"/>
      <c r="K516" s="25"/>
      <c r="L516" s="25"/>
      <c r="M516" s="25"/>
      <c r="N516" s="25"/>
      <c r="O516" s="25"/>
      <c r="P516" s="25"/>
      <c r="Q516" s="25"/>
      <c r="R516" s="25"/>
      <c r="S516" s="25"/>
      <c r="T516" s="25"/>
      <c r="U516" s="25"/>
      <c r="V516" s="25"/>
      <c r="W516" s="25"/>
      <c r="X516" s="25"/>
      <c r="Y516" s="25"/>
      <c r="AC516" s="1970" t="s">
        <v>616</v>
      </c>
      <c r="AD516" s="1911"/>
      <c r="AE516" s="1911"/>
      <c r="AF516" s="1911"/>
      <c r="AG516" s="75" t="s">
        <v>419</v>
      </c>
      <c r="AH516" s="1907"/>
      <c r="AI516" s="1907"/>
      <c r="AJ516" s="1907"/>
      <c r="AK516" s="196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875"/>
      <c r="C517" s="1876"/>
      <c r="D517" s="1876"/>
      <c r="E517" s="1876"/>
      <c r="F517" s="1876"/>
      <c r="G517" s="1876"/>
      <c r="H517" s="1877"/>
      <c r="I517" s="25" t="s">
        <v>427</v>
      </c>
      <c r="J517" s="25"/>
      <c r="K517" s="25"/>
      <c r="L517" s="25"/>
      <c r="M517" s="25"/>
      <c r="N517" s="25"/>
      <c r="O517" s="25"/>
      <c r="P517" s="25"/>
      <c r="Q517" s="25"/>
      <c r="R517" s="25"/>
      <c r="S517" s="25"/>
      <c r="T517" s="25"/>
      <c r="U517" s="25"/>
      <c r="V517" s="25"/>
      <c r="W517" s="25"/>
      <c r="X517" s="25"/>
      <c r="Y517" s="25"/>
      <c r="AC517" s="1970">
        <v>6</v>
      </c>
      <c r="AD517" s="1911"/>
      <c r="AE517" s="1911"/>
      <c r="AF517" s="1911"/>
      <c r="AG517" s="75" t="s">
        <v>419</v>
      </c>
      <c r="AH517" s="1907">
        <v>2021</v>
      </c>
      <c r="AI517" s="1907"/>
      <c r="AJ517" s="1907"/>
      <c r="AK517" s="196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1875"/>
      <c r="C518" s="1876"/>
      <c r="D518" s="1876"/>
      <c r="E518" s="1876"/>
      <c r="F518" s="1876"/>
      <c r="G518" s="1876"/>
      <c r="H518" s="1877"/>
      <c r="I518" s="25" t="s">
        <v>428</v>
      </c>
      <c r="J518" s="25"/>
      <c r="K518" s="25"/>
      <c r="L518" s="25"/>
      <c r="M518" s="25"/>
      <c r="N518" s="25"/>
      <c r="O518" s="25"/>
      <c r="P518" s="25"/>
      <c r="Q518" s="25"/>
      <c r="R518" s="25"/>
      <c r="S518" s="25"/>
      <c r="T518" s="25"/>
      <c r="U518" s="25"/>
      <c r="V518" s="25"/>
      <c r="W518" s="25"/>
      <c r="X518" s="25"/>
      <c r="Y518" s="25"/>
      <c r="AC518" s="1970" t="s">
        <v>616</v>
      </c>
      <c r="AD518" s="1911"/>
      <c r="AE518" s="1911"/>
      <c r="AF518" s="1911"/>
      <c r="AG518" s="75" t="s">
        <v>419</v>
      </c>
      <c r="AH518" s="1907"/>
      <c r="AI518" s="1907"/>
      <c r="AJ518" s="1907"/>
      <c r="AK518" s="196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1875"/>
      <c r="C519" s="1876"/>
      <c r="D519" s="1876"/>
      <c r="E519" s="1876"/>
      <c r="F519" s="1876"/>
      <c r="G519" s="1876"/>
      <c r="H519" s="1877"/>
      <c r="I519" s="177" t="s">
        <v>429</v>
      </c>
      <c r="J519" s="25"/>
      <c r="K519" s="25"/>
      <c r="L519" s="25"/>
      <c r="M519" s="25"/>
      <c r="N519" s="25"/>
      <c r="O519" s="25"/>
      <c r="P519" s="25"/>
      <c r="Q519" s="25"/>
      <c r="R519" s="25"/>
      <c r="S519" s="25"/>
      <c r="T519" s="25"/>
      <c r="U519" s="25"/>
      <c r="V519" s="25"/>
      <c r="W519" s="25"/>
      <c r="X519" s="25"/>
      <c r="Y519" s="25"/>
      <c r="AC519" s="1893" t="s">
        <v>616</v>
      </c>
      <c r="AD519" s="1894"/>
      <c r="AE519" s="1894"/>
      <c r="AF519" s="1894"/>
      <c r="AG519" s="75" t="s">
        <v>419</v>
      </c>
      <c r="AH519" s="1907"/>
      <c r="AI519" s="1907"/>
      <c r="AJ519" s="1907"/>
      <c r="AK519" s="196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1875"/>
      <c r="C520" s="1876"/>
      <c r="D520" s="1876"/>
      <c r="E520" s="1876"/>
      <c r="F520" s="1876"/>
      <c r="G520" s="1876"/>
      <c r="H520" s="1877"/>
      <c r="I520" s="947" t="s">
        <v>174</v>
      </c>
      <c r="J520" s="80"/>
      <c r="K520" s="80"/>
      <c r="L520" s="1973" t="s">
        <v>2558</v>
      </c>
      <c r="M520" s="1953"/>
      <c r="N520" s="1953"/>
      <c r="O520" s="1953"/>
      <c r="P520" s="1953"/>
      <c r="Q520" s="1953"/>
      <c r="R520" s="1953"/>
      <c r="S520" s="1953"/>
      <c r="T520" s="1953"/>
      <c r="U520" s="1953"/>
      <c r="V520" s="1953"/>
      <c r="W520" s="1953"/>
      <c r="X520" s="1953"/>
      <c r="Y520" s="1953"/>
      <c r="Z520" s="1953"/>
      <c r="AA520" s="1953"/>
      <c r="AB520" s="1974"/>
      <c r="AC520" s="1970">
        <v>6</v>
      </c>
      <c r="AD520" s="1911"/>
      <c r="AE520" s="1911"/>
      <c r="AF520" s="1911"/>
      <c r="AG520" s="932" t="s">
        <v>419</v>
      </c>
      <c r="AH520" s="1907">
        <v>2021</v>
      </c>
      <c r="AI520" s="1907"/>
      <c r="AJ520" s="1907"/>
      <c r="AK520" s="196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923"/>
      <c r="C521" s="924"/>
      <c r="D521" s="924"/>
      <c r="E521" s="924"/>
      <c r="F521" s="924"/>
      <c r="G521" s="924"/>
      <c r="H521" s="925"/>
      <c r="I521" s="240" t="s">
        <v>1880</v>
      </c>
      <c r="J521" s="25"/>
      <c r="K521" s="25"/>
      <c r="L521" s="25"/>
      <c r="M521" s="25"/>
      <c r="N521" s="25"/>
      <c r="O521" s="25"/>
      <c r="P521" s="25"/>
      <c r="Q521" s="25"/>
      <c r="R521" s="25"/>
      <c r="S521" s="25"/>
      <c r="T521" s="25"/>
      <c r="U521" s="25"/>
      <c r="V521" s="25"/>
      <c r="W521" s="25"/>
      <c r="X521" s="25"/>
      <c r="Y521" s="25"/>
      <c r="AC521" s="1902" t="s">
        <v>569</v>
      </c>
      <c r="AD521" s="1903"/>
      <c r="AE521" s="1903"/>
      <c r="AF521" s="1903"/>
      <c r="AG521" s="1091"/>
      <c r="AH521" s="1891"/>
      <c r="AI521" s="1891"/>
      <c r="AJ521" s="1891"/>
      <c r="AK521" s="189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2">
      <c r="B522" s="923"/>
      <c r="C522" s="924"/>
      <c r="D522" s="924"/>
      <c r="E522" s="924"/>
      <c r="F522" s="924"/>
      <c r="G522" s="924"/>
      <c r="H522" s="925"/>
      <c r="I522" s="679" t="s">
        <v>1877</v>
      </c>
      <c r="J522" s="25"/>
      <c r="K522" s="25"/>
      <c r="L522" s="25"/>
      <c r="M522" s="25"/>
      <c r="N522" s="25"/>
      <c r="O522" s="25"/>
      <c r="P522" s="25"/>
      <c r="Q522" s="25"/>
      <c r="R522" s="25"/>
      <c r="S522" s="25"/>
      <c r="T522" s="25"/>
      <c r="U522" s="25"/>
      <c r="V522" s="25"/>
      <c r="W522" s="25"/>
      <c r="X522" s="25"/>
      <c r="Y522" s="25"/>
      <c r="AC522" s="1893">
        <v>4</v>
      </c>
      <c r="AD522" s="1894"/>
      <c r="AE522" s="1894"/>
      <c r="AF522" s="1895"/>
      <c r="AG522" s="1091"/>
      <c r="AH522" s="1891"/>
      <c r="AI522" s="1891"/>
      <c r="AJ522" s="1891"/>
      <c r="AK522" s="189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2">
      <c r="B523" s="923"/>
      <c r="C523" s="924"/>
      <c r="D523" s="924"/>
      <c r="E523" s="924"/>
      <c r="F523" s="924"/>
      <c r="G523" s="924"/>
      <c r="H523" s="925"/>
      <c r="I523" s="679" t="s">
        <v>1878</v>
      </c>
      <c r="J523" s="25"/>
      <c r="K523" s="25"/>
      <c r="L523" s="25"/>
      <c r="M523" s="25"/>
      <c r="N523" s="25"/>
      <c r="O523" s="25"/>
      <c r="P523" s="25"/>
      <c r="Q523" s="25"/>
      <c r="R523" s="25"/>
      <c r="S523" s="25"/>
      <c r="T523" s="25"/>
      <c r="U523" s="25"/>
      <c r="V523" s="25"/>
      <c r="W523" s="25"/>
      <c r="X523" s="25"/>
      <c r="Y523" s="25"/>
      <c r="AC523" s="936"/>
      <c r="AD523" s="937"/>
      <c r="AE523" s="937"/>
      <c r="AF523" s="938"/>
      <c r="AG523" s="20"/>
      <c r="AH523" s="1088"/>
      <c r="AI523" s="1088"/>
      <c r="AJ523" s="1088"/>
      <c r="AK523" s="108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2">
      <c r="B524" s="923"/>
      <c r="C524" s="924"/>
      <c r="D524" s="924"/>
      <c r="E524" s="924"/>
      <c r="F524" s="924"/>
      <c r="G524" s="924"/>
      <c r="H524" s="925"/>
      <c r="I524" s="948" t="s">
        <v>1879</v>
      </c>
      <c r="J524" s="80"/>
      <c r="K524" s="80"/>
      <c r="L524" s="80"/>
      <c r="M524" s="80"/>
      <c r="N524" s="80"/>
      <c r="O524" s="80"/>
      <c r="P524" s="80"/>
      <c r="Q524" s="80"/>
      <c r="R524" s="80"/>
      <c r="S524" s="80"/>
      <c r="T524" s="80"/>
      <c r="U524" s="80"/>
      <c r="V524" s="80"/>
      <c r="W524" s="80"/>
      <c r="X524" s="80"/>
      <c r="Y524" s="80"/>
      <c r="Z524" s="80"/>
      <c r="AA524" s="80"/>
      <c r="AB524" s="80"/>
      <c r="AC524" s="1896">
        <v>0.5</v>
      </c>
      <c r="AD524" s="1897"/>
      <c r="AE524" s="1897"/>
      <c r="AF524" s="1898"/>
      <c r="AG524" s="1092"/>
      <c r="AH524" s="1899"/>
      <c r="AI524" s="1899"/>
      <c r="AJ524" s="1899"/>
      <c r="AK524" s="190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2">
      <c r="B525" s="923"/>
      <c r="C525" s="924"/>
      <c r="D525" s="924"/>
      <c r="E525" s="924"/>
      <c r="F525" s="924"/>
      <c r="G525" s="924"/>
      <c r="H525" s="925"/>
      <c r="I525" s="177"/>
      <c r="J525" s="673"/>
      <c r="K525" s="673"/>
      <c r="L525" s="14"/>
      <c r="M525" s="14"/>
      <c r="N525" s="14"/>
      <c r="O525" s="14"/>
      <c r="P525" s="14"/>
      <c r="Q525" s="14"/>
      <c r="R525" s="14"/>
      <c r="S525" s="14"/>
      <c r="T525" s="14"/>
      <c r="U525" s="14"/>
      <c r="V525" s="14"/>
      <c r="W525" s="14"/>
      <c r="X525" s="1090"/>
      <c r="Y525" s="1090"/>
      <c r="Z525" s="1090"/>
      <c r="AA525" s="1090"/>
      <c r="AB525" s="1097"/>
      <c r="AC525" s="1985" t="s">
        <v>418</v>
      </c>
      <c r="AD525" s="1986"/>
      <c r="AE525" s="1986"/>
      <c r="AF525" s="1986"/>
      <c r="AG525" s="1092" t="s">
        <v>419</v>
      </c>
      <c r="AH525" s="1986" t="s">
        <v>420</v>
      </c>
      <c r="AI525" s="1986"/>
      <c r="AJ525" s="1986"/>
      <c r="AK525" s="198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872" t="s">
        <v>430</v>
      </c>
      <c r="C526" s="1873"/>
      <c r="D526" s="1873"/>
      <c r="E526" s="1873"/>
      <c r="F526" s="1873"/>
      <c r="G526" s="1873"/>
      <c r="H526" s="1874"/>
      <c r="I526" s="72" t="s">
        <v>431</v>
      </c>
      <c r="J526" s="72"/>
      <c r="K526" s="72"/>
      <c r="L526" s="72"/>
      <c r="M526" s="72"/>
      <c r="N526" s="72"/>
      <c r="O526" s="72"/>
      <c r="P526" s="72"/>
      <c r="Q526" s="72"/>
      <c r="R526" s="72"/>
      <c r="S526" s="72"/>
      <c r="T526" s="72"/>
      <c r="U526" s="72"/>
      <c r="V526" s="72"/>
      <c r="W526" s="72"/>
      <c r="X526" s="25"/>
      <c r="Y526" s="25"/>
      <c r="AC526" s="1970">
        <v>8</v>
      </c>
      <c r="AD526" s="1911"/>
      <c r="AE526" s="1911"/>
      <c r="AF526" s="1911"/>
      <c r="AG526" s="75" t="s">
        <v>419</v>
      </c>
      <c r="AH526" s="1907">
        <v>2022</v>
      </c>
      <c r="AI526" s="1907"/>
      <c r="AJ526" s="1907"/>
      <c r="AK526" s="196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1875"/>
      <c r="C527" s="1876"/>
      <c r="D527" s="1876"/>
      <c r="E527" s="1876"/>
      <c r="F527" s="1876"/>
      <c r="G527" s="1876"/>
      <c r="H527" s="1877"/>
      <c r="I527" s="25" t="s">
        <v>432</v>
      </c>
      <c r="J527" s="25"/>
      <c r="K527" s="25"/>
      <c r="L527" s="25"/>
      <c r="M527" s="25"/>
      <c r="N527" s="25"/>
      <c r="O527" s="25"/>
      <c r="P527" s="25"/>
      <c r="Q527" s="25"/>
      <c r="R527" s="25"/>
      <c r="S527" s="25"/>
      <c r="T527" s="25"/>
      <c r="U527" s="25"/>
      <c r="V527" s="25"/>
      <c r="W527" s="25"/>
      <c r="X527" s="25"/>
      <c r="Y527" s="25"/>
      <c r="AC527" s="1970">
        <v>8</v>
      </c>
      <c r="AD527" s="1911"/>
      <c r="AE527" s="1911"/>
      <c r="AF527" s="1911"/>
      <c r="AG527" s="75" t="s">
        <v>419</v>
      </c>
      <c r="AH527" s="1907">
        <v>2022</v>
      </c>
      <c r="AI527" s="1907"/>
      <c r="AJ527" s="1907"/>
      <c r="AK527" s="196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1875"/>
      <c r="C528" s="1876"/>
      <c r="D528" s="1876"/>
      <c r="E528" s="1876"/>
      <c r="F528" s="1876"/>
      <c r="G528" s="1876"/>
      <c r="H528" s="1877"/>
      <c r="I528" s="80" t="s">
        <v>433</v>
      </c>
      <c r="J528" s="80"/>
      <c r="K528" s="80"/>
      <c r="L528" s="80"/>
      <c r="M528" s="80"/>
      <c r="N528" s="80"/>
      <c r="O528" s="80"/>
      <c r="P528" s="80"/>
      <c r="Q528" s="80"/>
      <c r="R528" s="80"/>
      <c r="S528" s="80"/>
      <c r="T528" s="80"/>
      <c r="U528" s="80"/>
      <c r="V528" s="80"/>
      <c r="W528" s="80"/>
      <c r="X528" s="80"/>
      <c r="Y528" s="80"/>
      <c r="Z528" s="80"/>
      <c r="AA528" s="80"/>
      <c r="AB528" s="80"/>
      <c r="AC528" s="1970">
        <v>5</v>
      </c>
      <c r="AD528" s="1911"/>
      <c r="AE528" s="1911"/>
      <c r="AF528" s="1911"/>
      <c r="AG528" s="65" t="s">
        <v>419</v>
      </c>
      <c r="AH528" s="1907">
        <v>2023</v>
      </c>
      <c r="AI528" s="1907"/>
      <c r="AJ528" s="1907"/>
      <c r="AK528" s="196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1872" t="s">
        <v>434</v>
      </c>
      <c r="C529" s="1873"/>
      <c r="D529" s="1873"/>
      <c r="E529" s="1873"/>
      <c r="F529" s="1873"/>
      <c r="G529" s="1873"/>
      <c r="H529" s="1874"/>
      <c r="I529" s="72" t="s">
        <v>431</v>
      </c>
      <c r="J529" s="72"/>
      <c r="K529" s="72"/>
      <c r="L529" s="72"/>
      <c r="M529" s="72"/>
      <c r="N529" s="72"/>
      <c r="O529" s="72"/>
      <c r="P529" s="72"/>
      <c r="Q529" s="72"/>
      <c r="R529" s="72"/>
      <c r="S529" s="72"/>
      <c r="T529" s="72"/>
      <c r="U529" s="72"/>
      <c r="V529" s="72"/>
      <c r="W529" s="72"/>
      <c r="X529" s="72"/>
      <c r="Y529" s="72"/>
      <c r="Z529" s="72"/>
      <c r="AA529" s="72"/>
      <c r="AB529" s="72"/>
      <c r="AC529" s="1893">
        <v>9</v>
      </c>
      <c r="AD529" s="1894"/>
      <c r="AE529" s="1894"/>
      <c r="AF529" s="1894"/>
      <c r="AG529" s="196" t="s">
        <v>419</v>
      </c>
      <c r="AH529" s="1907">
        <v>2022</v>
      </c>
      <c r="AI529" s="1907"/>
      <c r="AJ529" s="1907"/>
      <c r="AK529" s="196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1875"/>
      <c r="C530" s="1876"/>
      <c r="D530" s="1876"/>
      <c r="E530" s="1876"/>
      <c r="F530" s="1876"/>
      <c r="G530" s="1876"/>
      <c r="H530" s="1877"/>
      <c r="I530" s="25" t="s">
        <v>432</v>
      </c>
      <c r="J530" s="25"/>
      <c r="K530" s="25"/>
      <c r="L530" s="25"/>
      <c r="M530" s="25"/>
      <c r="N530" s="25"/>
      <c r="O530" s="25"/>
      <c r="P530" s="25"/>
      <c r="Q530" s="25"/>
      <c r="R530" s="25"/>
      <c r="S530" s="25"/>
      <c r="T530" s="25"/>
      <c r="U530" s="25"/>
      <c r="V530" s="25"/>
      <c r="W530" s="25"/>
      <c r="X530" s="25"/>
      <c r="Y530" s="25"/>
      <c r="Z530" s="25"/>
      <c r="AA530" s="25"/>
      <c r="AB530" s="25"/>
      <c r="AC530" s="1970">
        <v>11</v>
      </c>
      <c r="AD530" s="1911"/>
      <c r="AE530" s="1911"/>
      <c r="AF530" s="1911"/>
      <c r="AG530" s="75" t="s">
        <v>419</v>
      </c>
      <c r="AH530" s="1907">
        <v>2022</v>
      </c>
      <c r="AI530" s="1907"/>
      <c r="AJ530" s="1907"/>
      <c r="AK530" s="196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021"/>
      <c r="C531" s="2022"/>
      <c r="D531" s="2022"/>
      <c r="E531" s="2022"/>
      <c r="F531" s="2022"/>
      <c r="G531" s="2022"/>
      <c r="H531" s="2023"/>
      <c r="I531" s="80" t="s">
        <v>433</v>
      </c>
      <c r="J531" s="80"/>
      <c r="K531" s="80"/>
      <c r="L531" s="80"/>
      <c r="M531" s="80"/>
      <c r="N531" s="80"/>
      <c r="O531" s="80"/>
      <c r="P531" s="80"/>
      <c r="Q531" s="80"/>
      <c r="R531" s="80"/>
      <c r="S531" s="80"/>
      <c r="T531" s="80"/>
      <c r="U531" s="80"/>
      <c r="V531" s="80"/>
      <c r="W531" s="80"/>
      <c r="X531" s="80"/>
      <c r="Y531" s="80"/>
      <c r="Z531" s="80"/>
      <c r="AA531" s="80"/>
      <c r="AB531" s="80"/>
      <c r="AC531" s="1970">
        <v>5</v>
      </c>
      <c r="AD531" s="1911"/>
      <c r="AE531" s="1911"/>
      <c r="AF531" s="1911"/>
      <c r="AG531" s="65" t="s">
        <v>419</v>
      </c>
      <c r="AH531" s="1907">
        <v>2023</v>
      </c>
      <c r="AI531" s="1907"/>
      <c r="AJ531" s="1907"/>
      <c r="AK531" s="196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1872" t="s">
        <v>435</v>
      </c>
      <c r="C532" s="1873"/>
      <c r="D532" s="1873"/>
      <c r="E532" s="1873"/>
      <c r="F532" s="1873"/>
      <c r="G532" s="1873"/>
      <c r="H532" s="1874"/>
      <c r="I532" s="71" t="s">
        <v>436</v>
      </c>
      <c r="J532" s="72"/>
      <c r="K532" s="72"/>
      <c r="L532" s="72"/>
      <c r="M532" s="72"/>
      <c r="N532" s="72"/>
      <c r="O532" s="1889" t="s">
        <v>2559</v>
      </c>
      <c r="P532" s="1889"/>
      <c r="Q532" s="1889"/>
      <c r="R532" s="1889"/>
      <c r="S532" s="1889"/>
      <c r="T532" s="1889"/>
      <c r="U532" s="1889"/>
      <c r="V532" s="1889"/>
      <c r="W532" s="1889"/>
      <c r="X532" s="1889"/>
      <c r="Y532" s="1889"/>
      <c r="Z532" s="1889"/>
      <c r="AA532" s="1889"/>
      <c r="AB532" s="94"/>
      <c r="AC532" s="1893" t="s">
        <v>616</v>
      </c>
      <c r="AD532" s="1894"/>
      <c r="AE532" s="1894"/>
      <c r="AF532" s="1894"/>
      <c r="AG532" s="196" t="s">
        <v>419</v>
      </c>
      <c r="AH532" s="1907"/>
      <c r="AI532" s="1907"/>
      <c r="AJ532" s="1907"/>
      <c r="AK532" s="196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1875"/>
      <c r="C533" s="1876"/>
      <c r="D533" s="1876"/>
      <c r="E533" s="1876"/>
      <c r="F533" s="1876"/>
      <c r="G533" s="1876"/>
      <c r="H533" s="1877"/>
      <c r="I533" s="171" t="s">
        <v>437</v>
      </c>
      <c r="J533" s="25"/>
      <c r="K533" s="25"/>
      <c r="L533" s="25"/>
      <c r="M533" s="25"/>
      <c r="N533" s="25"/>
      <c r="O533" s="25"/>
      <c r="P533" s="25"/>
      <c r="Q533" s="25"/>
      <c r="R533" s="25"/>
      <c r="S533" s="25"/>
      <c r="T533" s="25"/>
      <c r="U533" s="25"/>
      <c r="V533" s="25"/>
      <c r="W533" s="25"/>
      <c r="X533" s="25"/>
      <c r="Y533" s="25"/>
      <c r="Z533" s="25"/>
      <c r="AA533" s="25"/>
      <c r="AB533" s="101"/>
      <c r="AC533" s="1970" t="s">
        <v>616</v>
      </c>
      <c r="AD533" s="1911"/>
      <c r="AE533" s="1911"/>
      <c r="AF533" s="1911"/>
      <c r="AG533" s="75" t="s">
        <v>419</v>
      </c>
      <c r="AH533" s="1907"/>
      <c r="AI533" s="1907"/>
      <c r="AJ533" s="1907"/>
      <c r="AK533" s="196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1875"/>
      <c r="C534" s="1876"/>
      <c r="D534" s="1876"/>
      <c r="E534" s="1876"/>
      <c r="F534" s="1876"/>
      <c r="G534" s="1876"/>
      <c r="H534" s="1877"/>
      <c r="I534" s="79" t="s">
        <v>438</v>
      </c>
      <c r="J534" s="80"/>
      <c r="K534" s="80"/>
      <c r="L534" s="80"/>
      <c r="M534" s="80"/>
      <c r="N534" s="80"/>
      <c r="O534" s="80"/>
      <c r="P534" s="80"/>
      <c r="Q534" s="80"/>
      <c r="R534" s="80"/>
      <c r="S534" s="80"/>
      <c r="T534" s="80"/>
      <c r="U534" s="80"/>
      <c r="V534" s="80"/>
      <c r="W534" s="80"/>
      <c r="X534" s="80"/>
      <c r="Y534" s="80"/>
      <c r="Z534" s="80"/>
      <c r="AA534" s="80"/>
      <c r="AB534" s="81"/>
      <c r="AC534" s="1970">
        <v>5</v>
      </c>
      <c r="AD534" s="1911"/>
      <c r="AE534" s="1911"/>
      <c r="AF534" s="1911"/>
      <c r="AG534" s="65" t="s">
        <v>419</v>
      </c>
      <c r="AH534" s="1907">
        <v>2023</v>
      </c>
      <c r="AI534" s="1907"/>
      <c r="AJ534" s="1907"/>
      <c r="AK534" s="196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1875"/>
      <c r="C535" s="1876"/>
      <c r="D535" s="1876"/>
      <c r="E535" s="1876"/>
      <c r="F535" s="1876"/>
      <c r="G535" s="1876"/>
      <c r="H535" s="1877"/>
      <c r="I535" s="72" t="s">
        <v>439</v>
      </c>
      <c r="J535" s="72"/>
      <c r="K535" s="72"/>
      <c r="L535" s="72"/>
      <c r="M535" s="72"/>
      <c r="N535" s="72"/>
      <c r="O535" s="1887" t="s">
        <v>2602</v>
      </c>
      <c r="P535" s="1887"/>
      <c r="Q535" s="1887"/>
      <c r="R535" s="1887"/>
      <c r="S535" s="1887"/>
      <c r="T535" s="1887"/>
      <c r="U535" s="1887"/>
      <c r="V535" s="1887"/>
      <c r="W535" s="1887"/>
      <c r="X535" s="1887"/>
      <c r="Y535" s="1887"/>
      <c r="Z535" s="1887"/>
      <c r="AA535" s="1887"/>
      <c r="AC535" s="1970" t="s">
        <v>616</v>
      </c>
      <c r="AD535" s="1911"/>
      <c r="AE535" s="1911"/>
      <c r="AF535" s="1911"/>
      <c r="AG535" s="75" t="s">
        <v>419</v>
      </c>
      <c r="AH535" s="1907"/>
      <c r="AI535" s="1907"/>
      <c r="AJ535" s="1907"/>
      <c r="AK535" s="196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1875"/>
      <c r="C536" s="1876"/>
      <c r="D536" s="1876"/>
      <c r="E536" s="1876"/>
      <c r="F536" s="1876"/>
      <c r="G536" s="1876"/>
      <c r="H536" s="1877"/>
      <c r="I536" s="25" t="s">
        <v>437</v>
      </c>
      <c r="J536" s="25"/>
      <c r="K536" s="25"/>
      <c r="L536" s="25"/>
      <c r="M536" s="25"/>
      <c r="N536" s="25"/>
      <c r="O536" s="25"/>
      <c r="P536" s="25"/>
      <c r="Q536" s="25"/>
      <c r="R536" s="25"/>
      <c r="S536" s="25"/>
      <c r="T536" s="25"/>
      <c r="U536" s="25"/>
      <c r="V536" s="25"/>
      <c r="W536" s="25"/>
      <c r="X536" s="25"/>
      <c r="Y536" s="25"/>
      <c r="AC536" s="1970">
        <v>7</v>
      </c>
      <c r="AD536" s="1911"/>
      <c r="AE536" s="1911"/>
      <c r="AF536" s="1911"/>
      <c r="AG536" s="75" t="s">
        <v>419</v>
      </c>
      <c r="AH536" s="1907">
        <v>2021</v>
      </c>
      <c r="AI536" s="1907"/>
      <c r="AJ536" s="1907"/>
      <c r="AK536" s="196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1875"/>
      <c r="C537" s="1876"/>
      <c r="D537" s="1876"/>
      <c r="E537" s="1876"/>
      <c r="F537" s="1876"/>
      <c r="G537" s="1876"/>
      <c r="H537" s="1877"/>
      <c r="I537" s="80" t="s">
        <v>438</v>
      </c>
      <c r="J537" s="80"/>
      <c r="K537" s="80"/>
      <c r="L537" s="80"/>
      <c r="M537" s="80"/>
      <c r="N537" s="80"/>
      <c r="O537" s="80"/>
      <c r="P537" s="80"/>
      <c r="Q537" s="80"/>
      <c r="R537" s="80"/>
      <c r="S537" s="80"/>
      <c r="T537" s="80"/>
      <c r="U537" s="80"/>
      <c r="V537" s="80"/>
      <c r="W537" s="80"/>
      <c r="X537" s="80"/>
      <c r="Y537" s="80"/>
      <c r="Z537" s="80"/>
      <c r="AA537" s="80"/>
      <c r="AB537" s="80"/>
      <c r="AC537" s="1970">
        <v>1</v>
      </c>
      <c r="AD537" s="1911"/>
      <c r="AE537" s="1911"/>
      <c r="AF537" s="1911"/>
      <c r="AG537" s="65" t="s">
        <v>419</v>
      </c>
      <c r="AH537" s="1907">
        <v>2022</v>
      </c>
      <c r="AI537" s="1907"/>
      <c r="AJ537" s="1907"/>
      <c r="AK537" s="196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1875"/>
      <c r="C538" s="1876"/>
      <c r="D538" s="1876"/>
      <c r="E538" s="1876"/>
      <c r="F538" s="1876"/>
      <c r="G538" s="1876"/>
      <c r="H538" s="1877"/>
      <c r="I538" s="72" t="s">
        <v>439</v>
      </c>
      <c r="J538" s="72"/>
      <c r="K538" s="72"/>
      <c r="L538" s="72"/>
      <c r="M538" s="72"/>
      <c r="N538" s="72"/>
      <c r="O538" s="1887" t="s">
        <v>2560</v>
      </c>
      <c r="P538" s="1887"/>
      <c r="Q538" s="1887"/>
      <c r="R538" s="1887"/>
      <c r="S538" s="1887"/>
      <c r="T538" s="1887"/>
      <c r="U538" s="1887"/>
      <c r="V538" s="1887"/>
      <c r="W538" s="1887"/>
      <c r="X538" s="1887"/>
      <c r="Y538" s="1887"/>
      <c r="Z538" s="1887"/>
      <c r="AA538" s="1887"/>
      <c r="AC538" s="1970" t="s">
        <v>616</v>
      </c>
      <c r="AD538" s="1911"/>
      <c r="AE538" s="1911"/>
      <c r="AF538" s="1911"/>
      <c r="AG538" s="75" t="s">
        <v>419</v>
      </c>
      <c r="AH538" s="1907"/>
      <c r="AI538" s="1907"/>
      <c r="AJ538" s="1907"/>
      <c r="AK538" s="196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1875"/>
      <c r="C539" s="1876"/>
      <c r="D539" s="1876"/>
      <c r="E539" s="1876"/>
      <c r="F539" s="1876"/>
      <c r="G539" s="1876"/>
      <c r="H539" s="1877"/>
      <c r="I539" s="25" t="s">
        <v>437</v>
      </c>
      <c r="J539" s="25"/>
      <c r="K539" s="25"/>
      <c r="L539" s="25"/>
      <c r="M539" s="25"/>
      <c r="N539" s="25"/>
      <c r="O539" s="25"/>
      <c r="P539" s="25"/>
      <c r="Q539" s="25"/>
      <c r="R539" s="25"/>
      <c r="S539" s="25"/>
      <c r="T539" s="25"/>
      <c r="U539" s="25"/>
      <c r="V539" s="25"/>
      <c r="W539" s="25"/>
      <c r="X539" s="25"/>
      <c r="Y539" s="25"/>
      <c r="AC539" s="1970">
        <v>2</v>
      </c>
      <c r="AD539" s="1911"/>
      <c r="AE539" s="1911"/>
      <c r="AF539" s="1911"/>
      <c r="AG539" s="75" t="s">
        <v>419</v>
      </c>
      <c r="AH539" s="1907">
        <v>2023</v>
      </c>
      <c r="AI539" s="1907"/>
      <c r="AJ539" s="1907"/>
      <c r="AK539" s="196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1875"/>
      <c r="C540" s="1876"/>
      <c r="D540" s="1876"/>
      <c r="E540" s="1876"/>
      <c r="F540" s="1876"/>
      <c r="G540" s="1876"/>
      <c r="H540" s="1877"/>
      <c r="I540" s="80" t="s">
        <v>438</v>
      </c>
      <c r="J540" s="80"/>
      <c r="K540" s="80"/>
      <c r="L540" s="80"/>
      <c r="M540" s="80"/>
      <c r="N540" s="80"/>
      <c r="O540" s="80"/>
      <c r="P540" s="80"/>
      <c r="Q540" s="80"/>
      <c r="R540" s="80"/>
      <c r="S540" s="80"/>
      <c r="T540" s="80"/>
      <c r="U540" s="80"/>
      <c r="V540" s="80"/>
      <c r="W540" s="80"/>
      <c r="X540" s="80"/>
      <c r="Y540" s="80"/>
      <c r="Z540" s="80"/>
      <c r="AA540" s="80"/>
      <c r="AB540" s="80"/>
      <c r="AC540" s="1970">
        <v>7</v>
      </c>
      <c r="AD540" s="1911"/>
      <c r="AE540" s="1911"/>
      <c r="AF540" s="1911"/>
      <c r="AG540" s="65" t="s">
        <v>419</v>
      </c>
      <c r="AH540" s="1907">
        <v>2023</v>
      </c>
      <c r="AI540" s="1907"/>
      <c r="AJ540" s="1907"/>
      <c r="AK540" s="196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1875"/>
      <c r="C541" s="1876"/>
      <c r="D541" s="1876"/>
      <c r="E541" s="1876"/>
      <c r="F541" s="1876"/>
      <c r="G541" s="1876"/>
      <c r="H541" s="1877"/>
      <c r="I541" s="72" t="s">
        <v>439</v>
      </c>
      <c r="J541" s="72"/>
      <c r="K541" s="72"/>
      <c r="L541" s="72"/>
      <c r="M541" s="72"/>
      <c r="N541" s="72"/>
      <c r="O541" s="1887" t="s">
        <v>2541</v>
      </c>
      <c r="P541" s="1887"/>
      <c r="Q541" s="1887"/>
      <c r="R541" s="1887"/>
      <c r="S541" s="1887"/>
      <c r="T541" s="1887"/>
      <c r="U541" s="1887"/>
      <c r="V541" s="1887"/>
      <c r="W541" s="1887"/>
      <c r="X541" s="1887"/>
      <c r="Y541" s="1887"/>
      <c r="Z541" s="1887"/>
      <c r="AA541" s="1887"/>
      <c r="AC541" s="1970" t="s">
        <v>616</v>
      </c>
      <c r="AD541" s="1911"/>
      <c r="AE541" s="1911"/>
      <c r="AF541" s="1911"/>
      <c r="AG541" s="75" t="s">
        <v>419</v>
      </c>
      <c r="AH541" s="1907"/>
      <c r="AI541" s="1907"/>
      <c r="AJ541" s="1907"/>
      <c r="AK541" s="196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1875"/>
      <c r="C542" s="1876"/>
      <c r="D542" s="1876"/>
      <c r="E542" s="1876"/>
      <c r="F542" s="1876"/>
      <c r="G542" s="1876"/>
      <c r="H542" s="1877"/>
      <c r="I542" s="25" t="s">
        <v>437</v>
      </c>
      <c r="J542" s="25"/>
      <c r="K542" s="25"/>
      <c r="L542" s="25"/>
      <c r="M542" s="25"/>
      <c r="N542" s="25"/>
      <c r="O542" s="25"/>
      <c r="P542" s="25"/>
      <c r="Q542" s="25"/>
      <c r="R542" s="25"/>
      <c r="S542" s="25"/>
      <c r="T542" s="25"/>
      <c r="U542" s="25"/>
      <c r="V542" s="25"/>
      <c r="W542" s="25"/>
      <c r="X542" s="25"/>
      <c r="Y542" s="25"/>
      <c r="AC542" s="1970">
        <v>1</v>
      </c>
      <c r="AD542" s="1911"/>
      <c r="AE542" s="1911"/>
      <c r="AF542" s="1911"/>
      <c r="AG542" s="75" t="s">
        <v>419</v>
      </c>
      <c r="AH542" s="1907">
        <v>2021</v>
      </c>
      <c r="AI542" s="1907"/>
      <c r="AJ542" s="1907"/>
      <c r="AK542" s="196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1875"/>
      <c r="C543" s="1876"/>
      <c r="D543" s="1876"/>
      <c r="E543" s="1876"/>
      <c r="F543" s="1876"/>
      <c r="G543" s="1876"/>
      <c r="H543" s="1877"/>
      <c r="I543" s="80" t="s">
        <v>438</v>
      </c>
      <c r="J543" s="80"/>
      <c r="K543" s="80"/>
      <c r="L543" s="80"/>
      <c r="M543" s="80"/>
      <c r="N543" s="80"/>
      <c r="O543" s="80"/>
      <c r="P543" s="80"/>
      <c r="Q543" s="80"/>
      <c r="R543" s="80"/>
      <c r="S543" s="80"/>
      <c r="T543" s="80"/>
      <c r="U543" s="80"/>
      <c r="V543" s="80"/>
      <c r="W543" s="80"/>
      <c r="X543" s="80"/>
      <c r="Y543" s="80"/>
      <c r="Z543" s="80"/>
      <c r="AA543" s="80"/>
      <c r="AB543" s="80"/>
      <c r="AC543" s="1970">
        <v>2</v>
      </c>
      <c r="AD543" s="1911"/>
      <c r="AE543" s="1911"/>
      <c r="AF543" s="1911"/>
      <c r="AG543" s="65" t="s">
        <v>419</v>
      </c>
      <c r="AH543" s="1907">
        <v>2022</v>
      </c>
      <c r="AI543" s="1907"/>
      <c r="AJ543" s="1907"/>
      <c r="AK543" s="196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1875"/>
      <c r="C544" s="1876"/>
      <c r="D544" s="1876"/>
      <c r="E544" s="1876"/>
      <c r="F544" s="1876"/>
      <c r="G544" s="1876"/>
      <c r="H544" s="1877"/>
      <c r="I544" s="72" t="s">
        <v>439</v>
      </c>
      <c r="J544" s="72"/>
      <c r="K544" s="72"/>
      <c r="L544" s="72"/>
      <c r="M544" s="72"/>
      <c r="N544" s="72"/>
      <c r="O544" s="1887" t="s">
        <v>339</v>
      </c>
      <c r="P544" s="1887"/>
      <c r="Q544" s="1887"/>
      <c r="R544" s="1887"/>
      <c r="S544" s="1887"/>
      <c r="T544" s="1887"/>
      <c r="U544" s="1887"/>
      <c r="V544" s="1887"/>
      <c r="W544" s="1887"/>
      <c r="X544" s="1887"/>
      <c r="Y544" s="1887"/>
      <c r="Z544" s="1887"/>
      <c r="AA544" s="1887"/>
      <c r="AC544" s="1970" t="s">
        <v>616</v>
      </c>
      <c r="AD544" s="1911"/>
      <c r="AE544" s="1911"/>
      <c r="AF544" s="1911"/>
      <c r="AG544" s="75" t="s">
        <v>419</v>
      </c>
      <c r="AH544" s="1907"/>
      <c r="AI544" s="1907"/>
      <c r="AJ544" s="1907"/>
      <c r="AK544" s="196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1875"/>
      <c r="C545" s="1876"/>
      <c r="D545" s="1876"/>
      <c r="E545" s="1876"/>
      <c r="F545" s="1876"/>
      <c r="G545" s="1876"/>
      <c r="H545" s="1877"/>
      <c r="I545" s="25" t="s">
        <v>437</v>
      </c>
      <c r="J545" s="25"/>
      <c r="K545" s="25"/>
      <c r="L545" s="25"/>
      <c r="M545" s="25"/>
      <c r="N545" s="25"/>
      <c r="O545" s="25"/>
      <c r="P545" s="25"/>
      <c r="Q545" s="25"/>
      <c r="R545" s="25"/>
      <c r="S545" s="25"/>
      <c r="T545" s="25"/>
      <c r="U545" s="25"/>
      <c r="V545" s="25"/>
      <c r="W545" s="25"/>
      <c r="X545" s="25"/>
      <c r="Y545" s="25"/>
      <c r="AC545" s="1970" t="s">
        <v>616</v>
      </c>
      <c r="AD545" s="1911"/>
      <c r="AE545" s="1911"/>
      <c r="AF545" s="1911"/>
      <c r="AG545" s="65" t="s">
        <v>419</v>
      </c>
      <c r="AH545" s="1907"/>
      <c r="AI545" s="1907"/>
      <c r="AJ545" s="1907"/>
      <c r="AK545" s="196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1875"/>
      <c r="C546" s="1876"/>
      <c r="D546" s="1876"/>
      <c r="E546" s="1876"/>
      <c r="F546" s="1876"/>
      <c r="G546" s="1876"/>
      <c r="H546" s="1877"/>
      <c r="I546" s="80" t="s">
        <v>438</v>
      </c>
      <c r="J546" s="80"/>
      <c r="K546" s="80"/>
      <c r="L546" s="80"/>
      <c r="M546" s="80"/>
      <c r="N546" s="80"/>
      <c r="O546" s="80"/>
      <c r="P546" s="80"/>
      <c r="Q546" s="80"/>
      <c r="R546" s="80"/>
      <c r="S546" s="80"/>
      <c r="T546" s="80"/>
      <c r="U546" s="80"/>
      <c r="V546" s="80"/>
      <c r="W546" s="80"/>
      <c r="X546" s="80"/>
      <c r="Y546" s="80"/>
      <c r="Z546" s="80"/>
      <c r="AA546" s="80"/>
      <c r="AB546" s="80"/>
      <c r="AC546" s="1970" t="s">
        <v>616</v>
      </c>
      <c r="AD546" s="1911"/>
      <c r="AE546" s="1911"/>
      <c r="AF546" s="1911"/>
      <c r="AG546" s="75" t="s">
        <v>419</v>
      </c>
      <c r="AH546" s="1907"/>
      <c r="AI546" s="1907"/>
      <c r="AJ546" s="1907"/>
      <c r="AK546" s="196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1875"/>
      <c r="C547" s="1876"/>
      <c r="D547" s="1876"/>
      <c r="E547" s="1876"/>
      <c r="F547" s="1876"/>
      <c r="G547" s="1876"/>
      <c r="H547" s="1877"/>
      <c r="I547" s="72" t="s">
        <v>439</v>
      </c>
      <c r="J547" s="72"/>
      <c r="K547" s="72"/>
      <c r="L547" s="72"/>
      <c r="M547" s="72"/>
      <c r="N547" s="72"/>
      <c r="O547" s="1887" t="s">
        <v>339</v>
      </c>
      <c r="P547" s="1887"/>
      <c r="Q547" s="1887"/>
      <c r="R547" s="1887"/>
      <c r="S547" s="1887"/>
      <c r="T547" s="1887"/>
      <c r="U547" s="1887"/>
      <c r="V547" s="1887"/>
      <c r="W547" s="1887"/>
      <c r="X547" s="1887"/>
      <c r="Y547" s="1887"/>
      <c r="Z547" s="1887"/>
      <c r="AA547" s="1887"/>
      <c r="AC547" s="1970" t="s">
        <v>616</v>
      </c>
      <c r="AD547" s="1911"/>
      <c r="AE547" s="1911"/>
      <c r="AF547" s="1911"/>
      <c r="AG547" s="65" t="s">
        <v>419</v>
      </c>
      <c r="AH547" s="1907"/>
      <c r="AI547" s="1907"/>
      <c r="AJ547" s="1907"/>
      <c r="AK547" s="196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1875"/>
      <c r="C548" s="1876"/>
      <c r="D548" s="1876"/>
      <c r="E548" s="1876"/>
      <c r="F548" s="1876"/>
      <c r="G548" s="1876"/>
      <c r="H548" s="1877"/>
      <c r="I548" s="25" t="s">
        <v>437</v>
      </c>
      <c r="J548" s="25"/>
      <c r="K548" s="25"/>
      <c r="L548" s="25"/>
      <c r="M548" s="25"/>
      <c r="N548" s="25"/>
      <c r="O548" s="25"/>
      <c r="P548" s="25"/>
      <c r="Q548" s="25"/>
      <c r="R548" s="25"/>
      <c r="S548" s="25"/>
      <c r="T548" s="25"/>
      <c r="U548" s="25"/>
      <c r="V548" s="25"/>
      <c r="W548" s="25"/>
      <c r="X548" s="25"/>
      <c r="Y548" s="25"/>
      <c r="AC548" s="1970" t="s">
        <v>616</v>
      </c>
      <c r="AD548" s="1911"/>
      <c r="AE548" s="1911"/>
      <c r="AF548" s="1911"/>
      <c r="AG548" s="75" t="s">
        <v>419</v>
      </c>
      <c r="AH548" s="1907"/>
      <c r="AI548" s="1907"/>
      <c r="AJ548" s="1907"/>
      <c r="AK548" s="196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1875"/>
      <c r="C549" s="1876"/>
      <c r="D549" s="1876"/>
      <c r="E549" s="1876"/>
      <c r="F549" s="1876"/>
      <c r="G549" s="1876"/>
      <c r="H549" s="1877"/>
      <c r="I549" s="80" t="s">
        <v>438</v>
      </c>
      <c r="J549" s="80"/>
      <c r="K549" s="80"/>
      <c r="L549" s="80"/>
      <c r="M549" s="80"/>
      <c r="N549" s="80"/>
      <c r="O549" s="80"/>
      <c r="P549" s="80"/>
      <c r="Q549" s="80"/>
      <c r="R549" s="80"/>
      <c r="S549" s="80"/>
      <c r="T549" s="80"/>
      <c r="U549" s="80"/>
      <c r="V549" s="80"/>
      <c r="W549" s="80"/>
      <c r="X549" s="80"/>
      <c r="Y549" s="80"/>
      <c r="Z549" s="80"/>
      <c r="AA549" s="80"/>
      <c r="AB549" s="80"/>
      <c r="AC549" s="1970" t="s">
        <v>616</v>
      </c>
      <c r="AD549" s="1911"/>
      <c r="AE549" s="1911"/>
      <c r="AF549" s="1911"/>
      <c r="AG549" s="65" t="s">
        <v>419</v>
      </c>
      <c r="AH549" s="1907"/>
      <c r="AI549" s="1907"/>
      <c r="AJ549" s="1907"/>
      <c r="AK549" s="196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1875"/>
      <c r="C550" s="1876"/>
      <c r="D550" s="1876"/>
      <c r="E550" s="1876"/>
      <c r="F550" s="1876"/>
      <c r="G550" s="1876"/>
      <c r="H550" s="1877"/>
      <c r="I550" s="72" t="s">
        <v>586</v>
      </c>
      <c r="J550" s="72"/>
      <c r="K550" s="72"/>
      <c r="L550" s="72"/>
      <c r="M550" s="72"/>
      <c r="N550" s="72"/>
      <c r="O550" s="72"/>
      <c r="P550" s="72"/>
      <c r="Q550" s="72"/>
      <c r="R550" s="72"/>
      <c r="S550" s="72"/>
      <c r="T550" s="72"/>
      <c r="U550" s="72"/>
      <c r="V550" s="72"/>
      <c r="W550" s="72"/>
      <c r="X550" s="25"/>
      <c r="Y550" s="25"/>
      <c r="AC550" s="1970" t="s">
        <v>616</v>
      </c>
      <c r="AD550" s="1911"/>
      <c r="AE550" s="1911"/>
      <c r="AF550" s="1911"/>
      <c r="AG550" s="65" t="s">
        <v>419</v>
      </c>
      <c r="AH550" s="1907"/>
      <c r="AI550" s="1907"/>
      <c r="AJ550" s="1907"/>
      <c r="AK550" s="196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1875"/>
      <c r="C551" s="1876"/>
      <c r="D551" s="1876"/>
      <c r="E551" s="1876"/>
      <c r="F551" s="1876"/>
      <c r="G551" s="1876"/>
      <c r="H551" s="1877"/>
      <c r="I551" s="25" t="s">
        <v>587</v>
      </c>
      <c r="J551" s="25"/>
      <c r="K551" s="25"/>
      <c r="L551" s="25"/>
      <c r="M551" s="25"/>
      <c r="N551" s="25"/>
      <c r="O551" s="25"/>
      <c r="P551" s="25"/>
      <c r="Q551" s="25"/>
      <c r="R551" s="25"/>
      <c r="S551" s="25"/>
      <c r="T551" s="25"/>
      <c r="U551" s="25"/>
      <c r="V551" s="25"/>
      <c r="W551" s="25"/>
      <c r="X551" s="25"/>
      <c r="Y551" s="25"/>
      <c r="AC551" s="1970">
        <v>5</v>
      </c>
      <c r="AD551" s="1911"/>
      <c r="AE551" s="1911"/>
      <c r="AF551" s="1911"/>
      <c r="AG551" s="75" t="s">
        <v>419</v>
      </c>
      <c r="AH551" s="1907">
        <v>2023</v>
      </c>
      <c r="AI551" s="1907"/>
      <c r="AJ551" s="1907"/>
      <c r="AK551" s="196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1875"/>
      <c r="C552" s="1876"/>
      <c r="D552" s="1876"/>
      <c r="E552" s="1876"/>
      <c r="F552" s="1876"/>
      <c r="G552" s="1876"/>
      <c r="H552" s="1877"/>
      <c r="I552" s="25" t="s">
        <v>588</v>
      </c>
      <c r="J552" s="25"/>
      <c r="K552" s="25"/>
      <c r="L552" s="25"/>
      <c r="M552" s="25"/>
      <c r="N552" s="25"/>
      <c r="O552" s="25"/>
      <c r="P552" s="25"/>
      <c r="Q552" s="25"/>
      <c r="R552" s="25"/>
      <c r="S552" s="25"/>
      <c r="T552" s="25"/>
      <c r="U552" s="25"/>
      <c r="V552" s="25"/>
      <c r="W552" s="25"/>
      <c r="X552" s="25"/>
      <c r="Y552" s="25"/>
      <c r="AC552" s="1970">
        <v>1</v>
      </c>
      <c r="AD552" s="1911"/>
      <c r="AE552" s="1911"/>
      <c r="AF552" s="1911"/>
      <c r="AG552" s="65" t="s">
        <v>419</v>
      </c>
      <c r="AH552" s="1907">
        <v>2025</v>
      </c>
      <c r="AI552" s="1907"/>
      <c r="AJ552" s="1907"/>
      <c r="AK552" s="196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1875"/>
      <c r="C553" s="1876"/>
      <c r="D553" s="1876"/>
      <c r="E553" s="1876"/>
      <c r="F553" s="1876"/>
      <c r="G553" s="1876"/>
      <c r="H553" s="1877"/>
      <c r="I553" s="25" t="s">
        <v>589</v>
      </c>
      <c r="J553" s="25"/>
      <c r="K553" s="25"/>
      <c r="L553" s="25"/>
      <c r="M553" s="25"/>
      <c r="N553" s="25"/>
      <c r="O553" s="25"/>
      <c r="P553" s="25"/>
      <c r="Q553" s="25"/>
      <c r="R553" s="25"/>
      <c r="S553" s="25"/>
      <c r="T553" s="25"/>
      <c r="U553" s="25"/>
      <c r="V553" s="25"/>
      <c r="W553" s="25"/>
      <c r="X553" s="25"/>
      <c r="Y553" s="25"/>
      <c r="AC553" s="1970">
        <v>1</v>
      </c>
      <c r="AD553" s="1911"/>
      <c r="AE553" s="1911"/>
      <c r="AF553" s="1911"/>
      <c r="AG553" s="65" t="s">
        <v>419</v>
      </c>
      <c r="AH553" s="1907">
        <v>2025</v>
      </c>
      <c r="AI553" s="1907"/>
      <c r="AJ553" s="1907"/>
      <c r="AK553" s="196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021"/>
      <c r="C554" s="2022"/>
      <c r="D554" s="2022"/>
      <c r="E554" s="2022"/>
      <c r="F554" s="2022"/>
      <c r="G554" s="2022"/>
      <c r="H554" s="2023"/>
      <c r="I554" s="80" t="s">
        <v>474</v>
      </c>
      <c r="J554" s="80"/>
      <c r="K554" s="80"/>
      <c r="L554" s="80"/>
      <c r="M554" s="80"/>
      <c r="N554" s="80"/>
      <c r="O554" s="80"/>
      <c r="P554" s="80"/>
      <c r="Q554" s="80"/>
      <c r="R554" s="80"/>
      <c r="S554" s="80"/>
      <c r="T554" s="80"/>
      <c r="U554" s="80"/>
      <c r="V554" s="80"/>
      <c r="W554" s="80"/>
      <c r="X554" s="80"/>
      <c r="Y554" s="80"/>
      <c r="Z554" s="80"/>
      <c r="AA554" s="80"/>
      <c r="AB554" s="80"/>
      <c r="AC554" s="1970">
        <v>5</v>
      </c>
      <c r="AD554" s="1911"/>
      <c r="AE554" s="1911"/>
      <c r="AF554" s="1911"/>
      <c r="AG554" s="65" t="s">
        <v>419</v>
      </c>
      <c r="AH554" s="1907">
        <v>2025</v>
      </c>
      <c r="AI554" s="1907"/>
      <c r="AJ554" s="1907"/>
      <c r="AK554" s="196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17" t="s">
        <v>567</v>
      </c>
      <c r="B556" s="1717"/>
      <c r="C556" s="1717"/>
      <c r="D556" s="1717"/>
      <c r="E556" s="1717"/>
      <c r="F556" s="1717"/>
      <c r="G556" s="1717"/>
      <c r="H556" s="1717"/>
      <c r="I556" s="1717"/>
      <c r="J556" s="1717"/>
      <c r="K556" s="1717"/>
      <c r="L556" s="1717"/>
      <c r="M556" s="1717"/>
      <c r="N556" s="1717"/>
      <c r="O556" s="1717"/>
      <c r="P556" s="1717"/>
      <c r="Q556" s="1717"/>
      <c r="R556" s="1717"/>
      <c r="S556" s="1717"/>
      <c r="T556" s="1717"/>
      <c r="U556" s="1717"/>
      <c r="V556" s="1717"/>
      <c r="W556" s="1717"/>
      <c r="X556" s="1717"/>
      <c r="Y556" s="1717"/>
      <c r="Z556" s="1717"/>
      <c r="AA556" s="1717"/>
      <c r="AB556" s="1717"/>
      <c r="AC556" s="1717"/>
      <c r="AD556" s="1717"/>
      <c r="AE556" s="1717"/>
      <c r="AF556" s="1717"/>
      <c r="AG556" s="1717"/>
      <c r="AH556" s="1717"/>
      <c r="AI556" s="1717"/>
      <c r="AJ556" s="1717"/>
      <c r="AK556" s="1717"/>
      <c r="AL556" s="1717"/>
      <c r="AM556" s="1717"/>
      <c r="AN556" s="1717"/>
      <c r="AO556" s="1717"/>
      <c r="AP556" s="1717"/>
      <c r="AQ556" s="1717"/>
      <c r="AR556" s="1717"/>
      <c r="AS556" s="1717"/>
      <c r="AT556" s="950"/>
      <c r="AU556" s="950"/>
      <c r="AV556" s="950"/>
      <c r="AW556" s="950"/>
      <c r="AX556" s="950"/>
      <c r="AY556" s="95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17"/>
      <c r="B557" s="1717"/>
      <c r="C557" s="1717"/>
      <c r="D557" s="1717"/>
      <c r="E557" s="1717"/>
      <c r="F557" s="1717"/>
      <c r="G557" s="1717"/>
      <c r="H557" s="1717"/>
      <c r="I557" s="1717"/>
      <c r="J557" s="1717"/>
      <c r="K557" s="1717"/>
      <c r="L557" s="1717"/>
      <c r="M557" s="1717"/>
      <c r="N557" s="1717"/>
      <c r="O557" s="1717"/>
      <c r="P557" s="1717"/>
      <c r="Q557" s="1717"/>
      <c r="R557" s="1717"/>
      <c r="S557" s="1717"/>
      <c r="T557" s="1717"/>
      <c r="U557" s="1717"/>
      <c r="V557" s="1717"/>
      <c r="W557" s="1717"/>
      <c r="X557" s="1717"/>
      <c r="Y557" s="1717"/>
      <c r="Z557" s="1717"/>
      <c r="AA557" s="1717"/>
      <c r="AB557" s="1717"/>
      <c r="AC557" s="1717"/>
      <c r="AD557" s="1717"/>
      <c r="AE557" s="1717"/>
      <c r="AF557" s="1717"/>
      <c r="AG557" s="1717"/>
      <c r="AH557" s="1717"/>
      <c r="AI557" s="1717"/>
      <c r="AJ557" s="1717"/>
      <c r="AK557" s="1717"/>
      <c r="AL557" s="1717"/>
      <c r="AM557" s="1717"/>
      <c r="AN557" s="1717"/>
      <c r="AO557" s="1717"/>
      <c r="AP557" s="1717"/>
      <c r="AQ557" s="1717"/>
      <c r="AR557" s="1717"/>
      <c r="AS557" s="1717"/>
      <c r="AT557" s="950"/>
      <c r="AU557" s="950"/>
      <c r="AV557" s="950"/>
      <c r="AW557" s="950"/>
      <c r="AX557" s="950"/>
      <c r="AY557" s="95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324</v>
      </c>
      <c r="B559" s="50"/>
      <c r="C559" s="50" t="s">
        <v>475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09" t="s">
        <v>476</v>
      </c>
      <c r="C563" s="2012"/>
      <c r="D563" s="2012"/>
      <c r="E563" s="2012"/>
      <c r="F563" s="2012"/>
      <c r="G563" s="2012"/>
      <c r="H563" s="2012"/>
      <c r="I563" s="2012"/>
      <c r="J563" s="2012"/>
      <c r="K563" s="2012"/>
      <c r="L563" s="2012"/>
      <c r="M563" s="2012"/>
      <c r="N563" s="2012"/>
      <c r="O563" s="2012"/>
      <c r="P563" s="2013"/>
      <c r="Q563" s="2009" t="s">
        <v>2165</v>
      </c>
      <c r="R563" s="2010"/>
      <c r="S563" s="2011"/>
      <c r="T563" s="2009" t="s">
        <v>2163</v>
      </c>
      <c r="U563" s="2010"/>
      <c r="V563" s="2011"/>
      <c r="W563" s="2009" t="s">
        <v>477</v>
      </c>
      <c r="X563" s="2010"/>
      <c r="Y563" s="2011"/>
      <c r="Z563" s="2009" t="s">
        <v>2164</v>
      </c>
      <c r="AA563" s="2010"/>
      <c r="AB563" s="2010"/>
      <c r="AC563" s="2010"/>
      <c r="AD563" s="2010"/>
      <c r="AE563" s="2009" t="s">
        <v>1982</v>
      </c>
      <c r="AF563" s="2010"/>
      <c r="AG563" s="2010"/>
      <c r="AH563" s="2011"/>
      <c r="AI563" s="2009" t="s">
        <v>1983</v>
      </c>
      <c r="AJ563" s="2010"/>
      <c r="AK563" s="2010"/>
      <c r="AL563" s="2011"/>
      <c r="AM563" s="2009" t="s">
        <v>478</v>
      </c>
      <c r="AN563" s="2010"/>
      <c r="AO563" s="2010"/>
      <c r="AP563" s="2010"/>
      <c r="AQ563" s="2010"/>
      <c r="AR563" s="2010"/>
      <c r="AS563" s="201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1971" t="s">
        <v>2561</v>
      </c>
      <c r="D564" s="1971"/>
      <c r="E564" s="1971"/>
      <c r="F564" s="1971"/>
      <c r="G564" s="1971"/>
      <c r="H564" s="1971"/>
      <c r="I564" s="1971"/>
      <c r="J564" s="1971"/>
      <c r="K564" s="1971"/>
      <c r="L564" s="1971"/>
      <c r="M564" s="1971"/>
      <c r="N564" s="1971"/>
      <c r="O564" s="1971"/>
      <c r="P564" s="1972"/>
      <c r="Q564" s="1967">
        <v>32</v>
      </c>
      <c r="R564" s="1967"/>
      <c r="S564" s="1968"/>
      <c r="T564" s="1966"/>
      <c r="U564" s="1967"/>
      <c r="V564" s="1968"/>
      <c r="W564" s="1963">
        <v>5.8500000000000003E-2</v>
      </c>
      <c r="X564" s="1964"/>
      <c r="Y564" s="1965"/>
      <c r="Z564" s="1901" t="s">
        <v>2744</v>
      </c>
      <c r="AA564" s="1901"/>
      <c r="AB564" s="1901"/>
      <c r="AC564" s="1901"/>
      <c r="AD564" s="1901"/>
      <c r="AE564" s="1883">
        <v>1</v>
      </c>
      <c r="AF564" s="1884"/>
      <c r="AG564" s="1884"/>
      <c r="AH564" s="1885"/>
      <c r="AI564" s="1904" t="s">
        <v>2746</v>
      </c>
      <c r="AJ564" s="1905"/>
      <c r="AK564" s="1905"/>
      <c r="AL564" s="1906"/>
      <c r="AM564" s="1880">
        <v>45254938</v>
      </c>
      <c r="AN564" s="1881"/>
      <c r="AO564" s="1881"/>
      <c r="AP564" s="1881"/>
      <c r="AQ564" s="1881"/>
      <c r="AR564" s="1881"/>
      <c r="AS564" s="1882"/>
      <c r="BB564" s="58"/>
      <c r="BC564" s="58"/>
      <c r="BD564" s="58"/>
      <c r="BE564" s="58"/>
      <c r="BF564" s="58"/>
      <c r="BG564" s="58"/>
      <c r="BH564" s="58" t="s">
        <v>606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71" t="s">
        <v>2562</v>
      </c>
      <c r="D565" s="1971"/>
      <c r="E565" s="1971"/>
      <c r="F565" s="1971"/>
      <c r="G565" s="1971"/>
      <c r="H565" s="1971"/>
      <c r="I565" s="1971"/>
      <c r="J565" s="1971"/>
      <c r="K565" s="1971"/>
      <c r="L565" s="1971"/>
      <c r="M565" s="1971"/>
      <c r="N565" s="1971"/>
      <c r="O565" s="1971"/>
      <c r="P565" s="1972"/>
      <c r="Q565" s="1966">
        <v>32</v>
      </c>
      <c r="R565" s="1967"/>
      <c r="S565" s="1968"/>
      <c r="T565" s="1966"/>
      <c r="U565" s="1967"/>
      <c r="V565" s="1968"/>
      <c r="W565" s="1963">
        <v>6.7500000000000004E-2</v>
      </c>
      <c r="X565" s="1964"/>
      <c r="Y565" s="1965"/>
      <c r="Z565" s="1901" t="s">
        <v>2744</v>
      </c>
      <c r="AA565" s="1901"/>
      <c r="AB565" s="1901"/>
      <c r="AC565" s="1901"/>
      <c r="AD565" s="1901"/>
      <c r="AE565" s="1883">
        <v>1</v>
      </c>
      <c r="AF565" s="1884"/>
      <c r="AG565" s="1884"/>
      <c r="AH565" s="1885"/>
      <c r="AI565" s="1904" t="s">
        <v>2746</v>
      </c>
      <c r="AJ565" s="1905"/>
      <c r="AK565" s="1905"/>
      <c r="AL565" s="1906"/>
      <c r="AM565" s="1880">
        <v>22205103</v>
      </c>
      <c r="AN565" s="1881"/>
      <c r="AO565" s="1881"/>
      <c r="AP565" s="1881"/>
      <c r="AQ565" s="1881"/>
      <c r="AR565" s="1881"/>
      <c r="AS565" s="188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1971" t="s">
        <v>2563</v>
      </c>
      <c r="D566" s="1971"/>
      <c r="E566" s="1971"/>
      <c r="F566" s="1971"/>
      <c r="G566" s="1971"/>
      <c r="H566" s="1971"/>
      <c r="I566" s="1971"/>
      <c r="J566" s="1971"/>
      <c r="K566" s="1971"/>
      <c r="L566" s="1971"/>
      <c r="M566" s="1971"/>
      <c r="N566" s="1971"/>
      <c r="O566" s="1971"/>
      <c r="P566" s="1972"/>
      <c r="Q566" s="1966">
        <v>32</v>
      </c>
      <c r="R566" s="1967"/>
      <c r="S566" s="1968"/>
      <c r="T566" s="1966"/>
      <c r="U566" s="1967"/>
      <c r="V566" s="1968"/>
      <c r="W566" s="1963">
        <v>0.03</v>
      </c>
      <c r="X566" s="1964"/>
      <c r="Y566" s="1965"/>
      <c r="Z566" s="1901" t="s">
        <v>2745</v>
      </c>
      <c r="AA566" s="1901"/>
      <c r="AB566" s="1901"/>
      <c r="AC566" s="1901"/>
      <c r="AD566" s="1901"/>
      <c r="AE566" s="1883">
        <v>2</v>
      </c>
      <c r="AF566" s="1884"/>
      <c r="AG566" s="1884"/>
      <c r="AH566" s="1885"/>
      <c r="AI566" s="1904" t="s">
        <v>2747</v>
      </c>
      <c r="AJ566" s="1905"/>
      <c r="AK566" s="1905"/>
      <c r="AL566" s="1906"/>
      <c r="AM566" s="1880">
        <v>12150000</v>
      </c>
      <c r="AN566" s="1881"/>
      <c r="AO566" s="1881"/>
      <c r="AP566" s="1881"/>
      <c r="AQ566" s="1881"/>
      <c r="AR566" s="1881"/>
      <c r="AS566" s="188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606</v>
      </c>
      <c r="C567" s="1971" t="s">
        <v>2564</v>
      </c>
      <c r="D567" s="1971"/>
      <c r="E567" s="1971"/>
      <c r="F567" s="1971"/>
      <c r="G567" s="1971"/>
      <c r="H567" s="1971"/>
      <c r="I567" s="1971"/>
      <c r="J567" s="1971"/>
      <c r="K567" s="1971"/>
      <c r="L567" s="1971"/>
      <c r="M567" s="1971"/>
      <c r="N567" s="1971"/>
      <c r="O567" s="1971"/>
      <c r="P567" s="1972"/>
      <c r="Q567" s="1966">
        <v>32</v>
      </c>
      <c r="R567" s="1967"/>
      <c r="S567" s="1968"/>
      <c r="T567" s="1966"/>
      <c r="U567" s="1967"/>
      <c r="V567" s="1968"/>
      <c r="W567" s="1963">
        <v>0.03</v>
      </c>
      <c r="X567" s="1964"/>
      <c r="Y567" s="1965"/>
      <c r="Z567" s="1901" t="s">
        <v>2745</v>
      </c>
      <c r="AA567" s="1901"/>
      <c r="AB567" s="1901"/>
      <c r="AC567" s="1901"/>
      <c r="AD567" s="1901"/>
      <c r="AE567" s="1883">
        <v>3</v>
      </c>
      <c r="AF567" s="1884"/>
      <c r="AG567" s="1884"/>
      <c r="AH567" s="1885"/>
      <c r="AI567" s="1904" t="s">
        <v>2747</v>
      </c>
      <c r="AJ567" s="1905"/>
      <c r="AK567" s="1905"/>
      <c r="AL567" s="1906"/>
      <c r="AM567" s="1880">
        <v>3551279</v>
      </c>
      <c r="AN567" s="1881"/>
      <c r="AO567" s="1881"/>
      <c r="AP567" s="1881"/>
      <c r="AQ567" s="1881"/>
      <c r="AR567" s="1881"/>
      <c r="AS567" s="188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804</v>
      </c>
      <c r="C568" s="1971" t="s">
        <v>2565</v>
      </c>
      <c r="D568" s="1971"/>
      <c r="E568" s="1971"/>
      <c r="F568" s="1971"/>
      <c r="G568" s="1971"/>
      <c r="H568" s="1971"/>
      <c r="I568" s="1971"/>
      <c r="J568" s="1971"/>
      <c r="K568" s="1971"/>
      <c r="L568" s="1971"/>
      <c r="M568" s="1971"/>
      <c r="N568" s="1971"/>
      <c r="O568" s="1971"/>
      <c r="P568" s="1972"/>
      <c r="Q568" s="1966"/>
      <c r="R568" s="1967"/>
      <c r="S568" s="1968"/>
      <c r="T568" s="1966"/>
      <c r="U568" s="1967"/>
      <c r="V568" s="1968"/>
      <c r="W568" s="1963"/>
      <c r="X568" s="1964"/>
      <c r="Y568" s="1965"/>
      <c r="Z568" s="1901" t="s">
        <v>616</v>
      </c>
      <c r="AA568" s="1901"/>
      <c r="AB568" s="1901"/>
      <c r="AC568" s="1901"/>
      <c r="AD568" s="1901"/>
      <c r="AE568" s="1883"/>
      <c r="AF568" s="1884"/>
      <c r="AG568" s="1884"/>
      <c r="AH568" s="1885"/>
      <c r="AI568" s="1904"/>
      <c r="AJ568" s="1905"/>
      <c r="AK568" s="1905"/>
      <c r="AL568" s="1906"/>
      <c r="AM568" s="1880">
        <f>173267+553577</f>
        <v>726844</v>
      </c>
      <c r="AN568" s="1881"/>
      <c r="AO568" s="1881"/>
      <c r="AP568" s="1881"/>
      <c r="AQ568" s="1881"/>
      <c r="AR568" s="1881"/>
      <c r="AS568" s="188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609</v>
      </c>
      <c r="C569" s="1971" t="s">
        <v>2566</v>
      </c>
      <c r="D569" s="1971"/>
      <c r="E569" s="1971"/>
      <c r="F569" s="1971"/>
      <c r="G569" s="1971"/>
      <c r="H569" s="1971"/>
      <c r="I569" s="1971"/>
      <c r="J569" s="1971"/>
      <c r="K569" s="1971"/>
      <c r="L569" s="1971"/>
      <c r="M569" s="1971"/>
      <c r="N569" s="1971"/>
      <c r="O569" s="1971"/>
      <c r="P569" s="1972"/>
      <c r="Q569" s="1966"/>
      <c r="R569" s="1967"/>
      <c r="S569" s="1968"/>
      <c r="T569" s="1966"/>
      <c r="U569" s="1967"/>
      <c r="V569" s="1968"/>
      <c r="W569" s="1963"/>
      <c r="X569" s="1964"/>
      <c r="Y569" s="1965"/>
      <c r="Z569" s="1901" t="s">
        <v>616</v>
      </c>
      <c r="AA569" s="1901"/>
      <c r="AB569" s="1901"/>
      <c r="AC569" s="1901"/>
      <c r="AD569" s="1901"/>
      <c r="AE569" s="1883"/>
      <c r="AF569" s="1884"/>
      <c r="AG569" s="1884"/>
      <c r="AH569" s="1885"/>
      <c r="AI569" s="1904"/>
      <c r="AJ569" s="1905"/>
      <c r="AK569" s="1905"/>
      <c r="AL569" s="1906"/>
      <c r="AM569" s="1880">
        <v>2433070</v>
      </c>
      <c r="AN569" s="1881"/>
      <c r="AO569" s="1881"/>
      <c r="AP569" s="1881"/>
      <c r="AQ569" s="1881"/>
      <c r="AR569" s="1881"/>
      <c r="AS569" s="188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479</v>
      </c>
      <c r="C570" s="1971" t="s">
        <v>2568</v>
      </c>
      <c r="D570" s="1971"/>
      <c r="E570" s="1971"/>
      <c r="F570" s="1971"/>
      <c r="G570" s="1971"/>
      <c r="H570" s="1971"/>
      <c r="I570" s="1971"/>
      <c r="J570" s="1971"/>
      <c r="K570" s="1971"/>
      <c r="L570" s="1971"/>
      <c r="M570" s="1971"/>
      <c r="N570" s="1971"/>
      <c r="O570" s="1971"/>
      <c r="P570" s="1972"/>
      <c r="Q570" s="1966"/>
      <c r="R570" s="1967"/>
      <c r="S570" s="1968"/>
      <c r="T570" s="1966"/>
      <c r="U570" s="1967"/>
      <c r="V570" s="1968"/>
      <c r="W570" s="1963"/>
      <c r="X570" s="1964"/>
      <c r="Y570" s="1965"/>
      <c r="Z570" s="2024" t="s">
        <v>616</v>
      </c>
      <c r="AA570" s="1901"/>
      <c r="AB570" s="1901"/>
      <c r="AC570" s="1901"/>
      <c r="AD570" s="2025"/>
      <c r="AE570" s="1883"/>
      <c r="AF570" s="1884"/>
      <c r="AG570" s="1884"/>
      <c r="AH570" s="1885"/>
      <c r="AI570" s="1904"/>
      <c r="AJ570" s="1905"/>
      <c r="AK570" s="1905"/>
      <c r="AL570" s="1906"/>
      <c r="AM570" s="1880">
        <v>4002590</v>
      </c>
      <c r="AN570" s="1881"/>
      <c r="AO570" s="1881"/>
      <c r="AP570" s="1881"/>
      <c r="AQ570" s="1881"/>
      <c r="AR570" s="1881"/>
      <c r="AS570" s="188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480</v>
      </c>
      <c r="C571" s="1971"/>
      <c r="D571" s="1971"/>
      <c r="E571" s="1971"/>
      <c r="F571" s="1971"/>
      <c r="G571" s="1971"/>
      <c r="H571" s="1971"/>
      <c r="I571" s="1971"/>
      <c r="J571" s="1971"/>
      <c r="K571" s="1971"/>
      <c r="L571" s="1971"/>
      <c r="M571" s="1971"/>
      <c r="N571" s="1971"/>
      <c r="O571" s="1971"/>
      <c r="P571" s="1972"/>
      <c r="Q571" s="1966"/>
      <c r="R571" s="1967"/>
      <c r="S571" s="1968"/>
      <c r="T571" s="1966"/>
      <c r="U571" s="1967"/>
      <c r="V571" s="1968"/>
      <c r="W571" s="1963"/>
      <c r="X571" s="1964"/>
      <c r="Y571" s="1965"/>
      <c r="Z571" s="1901" t="s">
        <v>1345</v>
      </c>
      <c r="AA571" s="1901"/>
      <c r="AB571" s="1901"/>
      <c r="AC571" s="1901"/>
      <c r="AD571" s="1901"/>
      <c r="AE571" s="1883"/>
      <c r="AF571" s="1884"/>
      <c r="AG571" s="1884"/>
      <c r="AH571" s="1885"/>
      <c r="AI571" s="1904"/>
      <c r="AJ571" s="1905"/>
      <c r="AK571" s="1905"/>
      <c r="AL571" s="1906"/>
      <c r="AM571" s="1880"/>
      <c r="AN571" s="1881"/>
      <c r="AO571" s="1881"/>
      <c r="AP571" s="1881"/>
      <c r="AQ571" s="1881"/>
      <c r="AR571" s="1881"/>
      <c r="AS571" s="1882"/>
      <c r="BB571" s="58"/>
      <c r="BC571" s="58"/>
      <c r="BD571" s="58"/>
      <c r="BE571" s="58"/>
      <c r="BF571" s="58"/>
      <c r="BG571" s="58"/>
      <c r="BH571" s="58" t="s">
        <v>804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485</v>
      </c>
      <c r="C572" s="1971"/>
      <c r="D572" s="1971"/>
      <c r="E572" s="1971"/>
      <c r="F572" s="1971"/>
      <c r="G572" s="1971"/>
      <c r="H572" s="1971"/>
      <c r="I572" s="1971"/>
      <c r="J572" s="1971"/>
      <c r="K572" s="1971"/>
      <c r="L572" s="1971"/>
      <c r="M572" s="1971"/>
      <c r="N572" s="1971"/>
      <c r="O572" s="1971"/>
      <c r="P572" s="1972"/>
      <c r="Q572" s="1966"/>
      <c r="R572" s="1967"/>
      <c r="S572" s="1968"/>
      <c r="T572" s="1966"/>
      <c r="U572" s="1967"/>
      <c r="V572" s="1968"/>
      <c r="W572" s="1963"/>
      <c r="X572" s="1964"/>
      <c r="Y572" s="1965"/>
      <c r="Z572" s="1901" t="s">
        <v>1345</v>
      </c>
      <c r="AA572" s="1901"/>
      <c r="AB572" s="1901"/>
      <c r="AC572" s="1901"/>
      <c r="AD572" s="1901"/>
      <c r="AE572" s="1883"/>
      <c r="AF572" s="1884"/>
      <c r="AG572" s="1884"/>
      <c r="AH572" s="1885"/>
      <c r="AI572" s="1904"/>
      <c r="AJ572" s="1905"/>
      <c r="AK572" s="1905"/>
      <c r="AL572" s="1906"/>
      <c r="AM572" s="1880"/>
      <c r="AN572" s="1881"/>
      <c r="AO572" s="1881"/>
      <c r="AP572" s="1881"/>
      <c r="AQ572" s="1881"/>
      <c r="AR572" s="1881"/>
      <c r="AS572" s="1882"/>
      <c r="BB572" s="58"/>
      <c r="BC572" s="58"/>
      <c r="BD572" s="58"/>
      <c r="BE572" s="58"/>
      <c r="BF572" s="58"/>
      <c r="BG572" s="58"/>
      <c r="BH572" s="58" t="s">
        <v>609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671</v>
      </c>
      <c r="C573" s="1971"/>
      <c r="D573" s="1971"/>
      <c r="E573" s="1971"/>
      <c r="F573" s="1971"/>
      <c r="G573" s="1971"/>
      <c r="H573" s="1971"/>
      <c r="I573" s="1971"/>
      <c r="J573" s="1971"/>
      <c r="K573" s="1971"/>
      <c r="L573" s="1971"/>
      <c r="M573" s="1971"/>
      <c r="N573" s="1971"/>
      <c r="O573" s="1971"/>
      <c r="P573" s="1972"/>
      <c r="Q573" s="1966"/>
      <c r="R573" s="1967"/>
      <c r="S573" s="1968"/>
      <c r="T573" s="1966"/>
      <c r="U573" s="1967"/>
      <c r="V573" s="1968"/>
      <c r="W573" s="1963"/>
      <c r="X573" s="1964"/>
      <c r="Y573" s="1965"/>
      <c r="Z573" s="1901" t="s">
        <v>1345</v>
      </c>
      <c r="AA573" s="1901"/>
      <c r="AB573" s="1901"/>
      <c r="AC573" s="1901"/>
      <c r="AD573" s="1901"/>
      <c r="AE573" s="1883"/>
      <c r="AF573" s="1884"/>
      <c r="AG573" s="1884"/>
      <c r="AH573" s="1885"/>
      <c r="AI573" s="1904"/>
      <c r="AJ573" s="1905"/>
      <c r="AK573" s="1905"/>
      <c r="AL573" s="1906"/>
      <c r="AM573" s="1880"/>
      <c r="AN573" s="1881"/>
      <c r="AO573" s="1881"/>
      <c r="AP573" s="1881"/>
      <c r="AQ573" s="1881"/>
      <c r="AR573" s="1881"/>
      <c r="AS573" s="188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368</v>
      </c>
      <c r="C574" s="1971"/>
      <c r="D574" s="1971"/>
      <c r="E574" s="1971"/>
      <c r="F574" s="1971"/>
      <c r="G574" s="1971"/>
      <c r="H574" s="1971"/>
      <c r="I574" s="1971"/>
      <c r="J574" s="1971"/>
      <c r="K574" s="1971"/>
      <c r="L574" s="1971"/>
      <c r="M574" s="1971"/>
      <c r="N574" s="1971"/>
      <c r="O574" s="1971"/>
      <c r="P574" s="1972"/>
      <c r="Q574" s="1966"/>
      <c r="R574" s="1967"/>
      <c r="S574" s="1968"/>
      <c r="T574" s="1966"/>
      <c r="U574" s="1967"/>
      <c r="V574" s="1968"/>
      <c r="W574" s="1963"/>
      <c r="X574" s="1964"/>
      <c r="Y574" s="1965"/>
      <c r="Z574" s="1901" t="s">
        <v>1345</v>
      </c>
      <c r="AA574" s="1901"/>
      <c r="AB574" s="1901"/>
      <c r="AC574" s="1901"/>
      <c r="AD574" s="1901"/>
      <c r="AE574" s="1883"/>
      <c r="AF574" s="1884"/>
      <c r="AG574" s="1884"/>
      <c r="AH574" s="1885"/>
      <c r="AI574" s="1904"/>
      <c r="AJ574" s="1905"/>
      <c r="AK574" s="1905"/>
      <c r="AL574" s="1906"/>
      <c r="AM574" s="1880"/>
      <c r="AN574" s="1881"/>
      <c r="AO574" s="1881"/>
      <c r="AP574" s="1881"/>
      <c r="AQ574" s="1881"/>
      <c r="AR574" s="1881"/>
      <c r="AS574" s="188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369</v>
      </c>
      <c r="C575" s="1971"/>
      <c r="D575" s="1971"/>
      <c r="E575" s="1971"/>
      <c r="F575" s="1971"/>
      <c r="G575" s="1971"/>
      <c r="H575" s="1971"/>
      <c r="I575" s="1971"/>
      <c r="J575" s="1971"/>
      <c r="K575" s="1971"/>
      <c r="L575" s="1971"/>
      <c r="M575" s="1971"/>
      <c r="N575" s="1971"/>
      <c r="O575" s="1971"/>
      <c r="P575" s="1972"/>
      <c r="Q575" s="1966"/>
      <c r="R575" s="1967"/>
      <c r="S575" s="1968"/>
      <c r="T575" s="1966"/>
      <c r="U575" s="1967"/>
      <c r="V575" s="1968"/>
      <c r="W575" s="1963"/>
      <c r="X575" s="1964"/>
      <c r="Y575" s="1965"/>
      <c r="Z575" s="1901" t="s">
        <v>1345</v>
      </c>
      <c r="AA575" s="1901"/>
      <c r="AB575" s="1901"/>
      <c r="AC575" s="1901"/>
      <c r="AD575" s="1901"/>
      <c r="AE575" s="1883"/>
      <c r="AF575" s="1884"/>
      <c r="AG575" s="1884"/>
      <c r="AH575" s="1885"/>
      <c r="AI575" s="1904"/>
      <c r="AJ575" s="1905"/>
      <c r="AK575" s="1905"/>
      <c r="AL575" s="1906"/>
      <c r="AM575" s="1880"/>
      <c r="AN575" s="1881"/>
      <c r="AO575" s="1881"/>
      <c r="AP575" s="1881"/>
      <c r="AQ575" s="1881"/>
      <c r="AR575" s="1881"/>
      <c r="AS575" s="188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1979" t="s">
        <v>132</v>
      </c>
      <c r="C576" s="1980"/>
      <c r="D576" s="1980"/>
      <c r="E576" s="1980"/>
      <c r="F576" s="1980"/>
      <c r="G576" s="1980"/>
      <c r="H576" s="1980"/>
      <c r="I576" s="1980"/>
      <c r="J576" s="1980"/>
      <c r="K576" s="1980"/>
      <c r="L576" s="1980"/>
      <c r="M576" s="1980"/>
      <c r="N576" s="1980"/>
      <c r="O576" s="1980"/>
      <c r="P576" s="1980"/>
      <c r="Q576" s="1980"/>
      <c r="R576" s="1980"/>
      <c r="S576" s="1980"/>
      <c r="T576" s="1980"/>
      <c r="U576" s="2017"/>
      <c r="V576" s="1980"/>
      <c r="W576" s="1980"/>
      <c r="X576" s="1980"/>
      <c r="Y576" s="1980"/>
      <c r="Z576" s="1980"/>
      <c r="AA576" s="1980"/>
      <c r="AB576" s="1980"/>
      <c r="AC576" s="1980"/>
      <c r="AD576" s="1980"/>
      <c r="AE576" s="1980"/>
      <c r="AF576" s="1980"/>
      <c r="AG576" s="1980"/>
      <c r="AH576" s="1980"/>
      <c r="AI576" s="1980"/>
      <c r="AJ576" s="1980"/>
      <c r="AK576" s="1980"/>
      <c r="AL576" s="1981"/>
      <c r="AM576" s="2014">
        <f>SUM(AM564:AS575)</f>
        <v>90323824</v>
      </c>
      <c r="AN576" s="2015"/>
      <c r="AO576" s="2015"/>
      <c r="AP576" s="2015"/>
      <c r="AQ576" s="2015"/>
      <c r="AR576" s="2015"/>
      <c r="AS576" s="201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487</v>
      </c>
      <c r="G578" s="1888" t="str">
        <f>C564</f>
        <v>Tax Exempt Construction Loan/Chase</v>
      </c>
      <c r="H578" s="1888"/>
      <c r="I578" s="1888"/>
      <c r="J578" s="1888"/>
      <c r="K578" s="1888"/>
      <c r="L578" s="1888"/>
      <c r="M578" s="1888"/>
      <c r="N578" s="1888"/>
      <c r="O578" s="1888"/>
      <c r="P578" s="1888"/>
      <c r="Q578" s="1888"/>
      <c r="R578" s="1888"/>
      <c r="S578" s="14"/>
      <c r="T578" s="87" t="s">
        <v>118</v>
      </c>
      <c r="U578" s="12" t="s">
        <v>487</v>
      </c>
      <c r="Z578" s="1888" t="str">
        <f>C565</f>
        <v>Taxable Construction Loan/Chase</v>
      </c>
      <c r="AA578" s="1888"/>
      <c r="AB578" s="1888"/>
      <c r="AC578" s="1888"/>
      <c r="AD578" s="1888"/>
      <c r="AE578" s="1888"/>
      <c r="AF578" s="1888"/>
      <c r="AG578" s="1888"/>
      <c r="AH578" s="1888"/>
      <c r="AI578" s="1888"/>
      <c r="AJ578" s="1888"/>
      <c r="AK578" s="188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1887" t="s">
        <v>2569</v>
      </c>
      <c r="H579" s="1887"/>
      <c r="I579" s="1887"/>
      <c r="J579" s="1887"/>
      <c r="K579" s="1887"/>
      <c r="L579" s="1887"/>
      <c r="M579" s="1887"/>
      <c r="N579" s="1887"/>
      <c r="O579" s="1887"/>
      <c r="P579" s="1887"/>
      <c r="Q579" s="1887"/>
      <c r="R579" s="1887"/>
      <c r="S579" s="14"/>
      <c r="T579" s="35"/>
      <c r="U579" s="12" t="s">
        <v>90</v>
      </c>
      <c r="Z579" s="1887" t="s">
        <v>2569</v>
      </c>
      <c r="AA579" s="1887"/>
      <c r="AB579" s="1887"/>
      <c r="AC579" s="1887"/>
      <c r="AD579" s="1887"/>
      <c r="AE579" s="1887"/>
      <c r="AF579" s="1887"/>
      <c r="AG579" s="1887"/>
      <c r="AH579" s="1887"/>
      <c r="AI579" s="1887"/>
      <c r="AJ579" s="1887"/>
      <c r="AK579" s="1887"/>
      <c r="BB579" s="58"/>
      <c r="BC579" s="58"/>
      <c r="BD579" s="58"/>
      <c r="BE579" s="58"/>
      <c r="BF579" s="58"/>
      <c r="BG579" s="58"/>
      <c r="BH579" s="58" t="s">
        <v>479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605</v>
      </c>
      <c r="G580" s="1887" t="s">
        <v>2570</v>
      </c>
      <c r="H580" s="1887"/>
      <c r="I580" s="1887"/>
      <c r="J580" s="1887"/>
      <c r="K580" s="1887"/>
      <c r="L580" s="1887"/>
      <c r="M580" s="1887"/>
      <c r="N580" s="1887"/>
      <c r="O580" s="1887"/>
      <c r="P580" s="1887"/>
      <c r="Q580" s="1887"/>
      <c r="R580" s="1887"/>
      <c r="S580" s="88"/>
      <c r="T580" s="35"/>
      <c r="U580" s="12" t="s">
        <v>605</v>
      </c>
      <c r="Z580" s="1889" t="s">
        <v>2570</v>
      </c>
      <c r="AA580" s="1889"/>
      <c r="AB580" s="1889"/>
      <c r="AC580" s="1889"/>
      <c r="AD580" s="1889"/>
      <c r="AE580" s="1889"/>
      <c r="AF580" s="1889"/>
      <c r="AG580" s="1889"/>
      <c r="AH580" s="1889"/>
      <c r="AI580" s="1889"/>
      <c r="AJ580" s="1889"/>
      <c r="AK580" s="1889"/>
      <c r="BB580" s="58"/>
      <c r="BC580" s="58"/>
      <c r="BD580" s="58"/>
      <c r="BE580" s="58"/>
      <c r="BF580" s="58"/>
      <c r="BG580" s="58"/>
      <c r="BH580" s="58" t="s">
        <v>480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887" t="s">
        <v>2571</v>
      </c>
      <c r="H581" s="1887"/>
      <c r="I581" s="1887"/>
      <c r="J581" s="1887"/>
      <c r="K581" s="1887"/>
      <c r="L581" s="1887"/>
      <c r="M581" s="1887"/>
      <c r="N581" s="1887"/>
      <c r="O581" s="1887"/>
      <c r="P581" s="1887"/>
      <c r="Q581" s="1887"/>
      <c r="R581" s="1887"/>
      <c r="S581" s="14"/>
      <c r="T581" s="35"/>
      <c r="U581" s="12" t="s">
        <v>17</v>
      </c>
      <c r="Z581" s="1889" t="s">
        <v>2571</v>
      </c>
      <c r="AA581" s="1889"/>
      <c r="AB581" s="1889"/>
      <c r="AC581" s="1889"/>
      <c r="AD581" s="1889"/>
      <c r="AE581" s="1889"/>
      <c r="AF581" s="1889"/>
      <c r="AG581" s="1889"/>
      <c r="AH581" s="1889"/>
      <c r="AI581" s="1889"/>
      <c r="AJ581" s="1889"/>
      <c r="AK581" s="188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1997" t="s">
        <v>2572</v>
      </c>
      <c r="H582" s="1912"/>
      <c r="I582" s="1912"/>
      <c r="J582" s="1912"/>
      <c r="K582" s="1912"/>
      <c r="L582" s="1912"/>
      <c r="O582" s="137" t="s">
        <v>211</v>
      </c>
      <c r="P582" s="1878"/>
      <c r="Q582" s="1878"/>
      <c r="R582" s="1878"/>
      <c r="S582" s="16"/>
      <c r="T582" s="35"/>
      <c r="U582" s="12" t="s">
        <v>321</v>
      </c>
      <c r="Z582" s="1997" t="s">
        <v>2572</v>
      </c>
      <c r="AA582" s="1912"/>
      <c r="AB582" s="1912"/>
      <c r="AC582" s="1912"/>
      <c r="AD582" s="1912"/>
      <c r="AE582" s="1912"/>
      <c r="AH582" s="137" t="s">
        <v>211</v>
      </c>
      <c r="AI582" s="1878"/>
      <c r="AJ582" s="1878"/>
      <c r="AK582" s="187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887" t="s">
        <v>2573</v>
      </c>
      <c r="I583" s="1887"/>
      <c r="J583" s="1887"/>
      <c r="K583" s="1887"/>
      <c r="L583" s="1887"/>
      <c r="M583" s="1887"/>
      <c r="N583" s="1887"/>
      <c r="O583" s="1887"/>
      <c r="P583" s="1887"/>
      <c r="Q583" s="1887"/>
      <c r="R583" s="1887"/>
      <c r="S583" s="14"/>
      <c r="T583" s="35"/>
      <c r="U583" s="12" t="s">
        <v>18</v>
      </c>
      <c r="AA583" s="1887" t="s">
        <v>2574</v>
      </c>
      <c r="AB583" s="1887"/>
      <c r="AC583" s="1887"/>
      <c r="AD583" s="1887"/>
      <c r="AE583" s="1887"/>
      <c r="AF583" s="1887"/>
      <c r="AG583" s="1887"/>
      <c r="AH583" s="1887"/>
      <c r="AI583" s="1887"/>
      <c r="AJ583" s="1887"/>
      <c r="AK583" s="188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1346</v>
      </c>
      <c r="C584" s="711"/>
      <c r="D584" s="711"/>
      <c r="E584" s="711"/>
      <c r="F584" s="711"/>
      <c r="G584" s="711"/>
      <c r="H584" s="14"/>
      <c r="I584" s="14"/>
      <c r="J584" s="14"/>
      <c r="K584" s="14"/>
      <c r="L584" s="14"/>
      <c r="M584" s="2193" t="s">
        <v>2575</v>
      </c>
      <c r="N584" s="2193"/>
      <c r="O584" s="2193"/>
      <c r="P584" s="2193"/>
      <c r="Q584" s="2193"/>
      <c r="R584" s="2193"/>
      <c r="S584" s="14"/>
      <c r="T584" s="35"/>
      <c r="U584" s="502" t="s">
        <v>1346</v>
      </c>
      <c r="V584" s="711"/>
      <c r="W584" s="711"/>
      <c r="X584" s="711"/>
      <c r="Y584" s="711"/>
      <c r="Z584" s="711"/>
      <c r="AA584" s="14"/>
      <c r="AB584" s="14"/>
      <c r="AC584" s="14"/>
      <c r="AD584" s="14"/>
      <c r="AE584" s="14"/>
      <c r="AF584" s="2193" t="s">
        <v>2575</v>
      </c>
      <c r="AG584" s="2193"/>
      <c r="AH584" s="2193"/>
      <c r="AI584" s="2193"/>
      <c r="AJ584" s="2193"/>
      <c r="AK584" s="2193"/>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86" t="s">
        <v>569</v>
      </c>
      <c r="O585" s="1886"/>
      <c r="T585" s="35"/>
      <c r="U585" s="12" t="s">
        <v>20</v>
      </c>
      <c r="AG585" s="1886" t="s">
        <v>569</v>
      </c>
      <c r="AH585" s="188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487</v>
      </c>
      <c r="G587" s="1888" t="str">
        <f>C566</f>
        <v>SF MOHCD</v>
      </c>
      <c r="H587" s="1888"/>
      <c r="I587" s="1888"/>
      <c r="J587" s="1888"/>
      <c r="K587" s="1888"/>
      <c r="L587" s="1888"/>
      <c r="M587" s="1888"/>
      <c r="N587" s="1888"/>
      <c r="O587" s="1888"/>
      <c r="P587" s="1888"/>
      <c r="Q587" s="1888"/>
      <c r="R587" s="1888"/>
      <c r="T587" s="87" t="s">
        <v>606</v>
      </c>
      <c r="U587" s="12" t="s">
        <v>487</v>
      </c>
      <c r="Z587" s="1888" t="str">
        <f>C567</f>
        <v>The Kelsey Sponsor Loan</v>
      </c>
      <c r="AA587" s="1888"/>
      <c r="AB587" s="1888"/>
      <c r="AC587" s="1888"/>
      <c r="AD587" s="1888"/>
      <c r="AE587" s="1888"/>
      <c r="AF587" s="1888"/>
      <c r="AG587" s="1888"/>
      <c r="AH587" s="1888"/>
      <c r="AI587" s="1888"/>
      <c r="AJ587" s="1888"/>
      <c r="AK587" s="188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887" t="s">
        <v>2576</v>
      </c>
      <c r="H588" s="1887"/>
      <c r="I588" s="1887"/>
      <c r="J588" s="1887"/>
      <c r="K588" s="1887"/>
      <c r="L588" s="1887"/>
      <c r="M588" s="1887"/>
      <c r="N588" s="1887"/>
      <c r="O588" s="1887"/>
      <c r="P588" s="1887"/>
      <c r="Q588" s="1887"/>
      <c r="R588" s="1887"/>
      <c r="T588" s="35"/>
      <c r="U588" s="12" t="s">
        <v>90</v>
      </c>
      <c r="Z588" s="1887" t="s">
        <v>2490</v>
      </c>
      <c r="AA588" s="1887"/>
      <c r="AB588" s="1887"/>
      <c r="AC588" s="1887"/>
      <c r="AD588" s="1887"/>
      <c r="AE588" s="1887"/>
      <c r="AF588" s="1887"/>
      <c r="AG588" s="1887"/>
      <c r="AH588" s="1887"/>
      <c r="AI588" s="1887"/>
      <c r="AJ588" s="1887"/>
      <c r="AK588" s="188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605</v>
      </c>
      <c r="G589" s="1889" t="s">
        <v>2500</v>
      </c>
      <c r="H589" s="1889"/>
      <c r="I589" s="1889"/>
      <c r="J589" s="1889"/>
      <c r="K589" s="1889"/>
      <c r="L589" s="1889"/>
      <c r="M589" s="1889"/>
      <c r="N589" s="1889"/>
      <c r="O589" s="1889"/>
      <c r="P589" s="1889"/>
      <c r="Q589" s="1889"/>
      <c r="R589" s="1889"/>
      <c r="T589" s="35"/>
      <c r="U589" s="12" t="s">
        <v>605</v>
      </c>
      <c r="Z589" s="1889" t="s">
        <v>2500</v>
      </c>
      <c r="AA589" s="1889"/>
      <c r="AB589" s="1889"/>
      <c r="AC589" s="1889"/>
      <c r="AD589" s="1889"/>
      <c r="AE589" s="1889"/>
      <c r="AF589" s="1889"/>
      <c r="AG589" s="1889"/>
      <c r="AH589" s="1889"/>
      <c r="AI589" s="1889"/>
      <c r="AJ589" s="1889"/>
      <c r="AK589" s="188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889" t="s">
        <v>2577</v>
      </c>
      <c r="H590" s="1889"/>
      <c r="I590" s="1889"/>
      <c r="J590" s="1889"/>
      <c r="K590" s="1889"/>
      <c r="L590" s="1889"/>
      <c r="M590" s="1889"/>
      <c r="N590" s="1889"/>
      <c r="O590" s="1889"/>
      <c r="P590" s="1889"/>
      <c r="Q590" s="1889"/>
      <c r="R590" s="1889"/>
      <c r="T590" s="35"/>
      <c r="U590" s="12" t="s">
        <v>17</v>
      </c>
      <c r="Z590" s="1889" t="s">
        <v>2491</v>
      </c>
      <c r="AA590" s="1889"/>
      <c r="AB590" s="1889"/>
      <c r="AC590" s="1889"/>
      <c r="AD590" s="1889"/>
      <c r="AE590" s="1889"/>
      <c r="AF590" s="1889"/>
      <c r="AG590" s="1889"/>
      <c r="AH590" s="1889"/>
      <c r="AI590" s="1889"/>
      <c r="AJ590" s="1889"/>
      <c r="AK590" s="188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1997" t="s">
        <v>2578</v>
      </c>
      <c r="H591" s="1912"/>
      <c r="I591" s="1912"/>
      <c r="J591" s="1912"/>
      <c r="K591" s="1912"/>
      <c r="L591" s="1912"/>
      <c r="O591" s="137" t="s">
        <v>211</v>
      </c>
      <c r="P591" s="1878"/>
      <c r="Q591" s="1878"/>
      <c r="R591" s="1878"/>
      <c r="T591" s="35"/>
      <c r="U591" s="12" t="s">
        <v>321</v>
      </c>
      <c r="Z591" s="1997" t="s">
        <v>2492</v>
      </c>
      <c r="AA591" s="1912"/>
      <c r="AB591" s="1912"/>
      <c r="AC591" s="1912"/>
      <c r="AD591" s="1912"/>
      <c r="AE591" s="1912"/>
      <c r="AH591" s="137" t="s">
        <v>211</v>
      </c>
      <c r="AI591" s="1878"/>
      <c r="AJ591" s="1878"/>
      <c r="AK591" s="187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887" t="s">
        <v>2579</v>
      </c>
      <c r="I592" s="1887"/>
      <c r="J592" s="1887"/>
      <c r="K592" s="1887"/>
      <c r="L592" s="1887"/>
      <c r="M592" s="1887"/>
      <c r="N592" s="1887"/>
      <c r="O592" s="1887"/>
      <c r="P592" s="1887"/>
      <c r="Q592" s="1887"/>
      <c r="R592" s="1887"/>
      <c r="T592" s="35"/>
      <c r="U592" s="12" t="s">
        <v>18</v>
      </c>
      <c r="AA592" s="1887" t="s">
        <v>2579</v>
      </c>
      <c r="AB592" s="1887"/>
      <c r="AC592" s="1887"/>
      <c r="AD592" s="1887"/>
      <c r="AE592" s="1887"/>
      <c r="AF592" s="1887"/>
      <c r="AG592" s="1887"/>
      <c r="AH592" s="1887"/>
      <c r="AI592" s="1887"/>
      <c r="AJ592" s="1887"/>
      <c r="AK592" s="188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886" t="s">
        <v>569</v>
      </c>
      <c r="O593" s="1886"/>
      <c r="T593" s="35"/>
      <c r="U593" s="12" t="s">
        <v>20</v>
      </c>
      <c r="AG593" s="1886" t="s">
        <v>569</v>
      </c>
      <c r="AH593" s="188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804</v>
      </c>
      <c r="B595" s="12" t="s">
        <v>487</v>
      </c>
      <c r="G595" s="1888" t="str">
        <f>C568</f>
        <v>Accrued Interest on Soft Loans</v>
      </c>
      <c r="H595" s="1888"/>
      <c r="I595" s="1888"/>
      <c r="J595" s="1888"/>
      <c r="K595" s="1888"/>
      <c r="L595" s="1888"/>
      <c r="M595" s="1888"/>
      <c r="N595" s="1888"/>
      <c r="O595" s="1888"/>
      <c r="P595" s="1888"/>
      <c r="Q595" s="1888"/>
      <c r="R595" s="1888"/>
      <c r="T595" s="87" t="s">
        <v>609</v>
      </c>
      <c r="U595" s="12" t="s">
        <v>487</v>
      </c>
      <c r="Z595" s="1888" t="str">
        <f>C569</f>
        <v>Costs Deferred until Conversion</v>
      </c>
      <c r="AA595" s="1888"/>
      <c r="AB595" s="1888"/>
      <c r="AC595" s="1888"/>
      <c r="AD595" s="1888"/>
      <c r="AE595" s="1888"/>
      <c r="AF595" s="1888"/>
      <c r="AG595" s="1888"/>
      <c r="AH595" s="1888"/>
      <c r="AI595" s="1888"/>
      <c r="AJ595" s="1888"/>
      <c r="AK595" s="188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887" t="s">
        <v>2576</v>
      </c>
      <c r="H596" s="1887"/>
      <c r="I596" s="1887"/>
      <c r="J596" s="1887"/>
      <c r="K596" s="1887"/>
      <c r="L596" s="1887"/>
      <c r="M596" s="1887"/>
      <c r="N596" s="1887"/>
      <c r="O596" s="1887"/>
      <c r="P596" s="1887"/>
      <c r="Q596" s="1887"/>
      <c r="R596" s="1887"/>
      <c r="T596" s="35"/>
      <c r="U596" s="12" t="s">
        <v>90</v>
      </c>
      <c r="Z596" s="1887" t="s">
        <v>2477</v>
      </c>
      <c r="AA596" s="1887"/>
      <c r="AB596" s="1887"/>
      <c r="AC596" s="1887"/>
      <c r="AD596" s="1887"/>
      <c r="AE596" s="1887"/>
      <c r="AF596" s="1887"/>
      <c r="AG596" s="1887"/>
      <c r="AH596" s="1887"/>
      <c r="AI596" s="1887"/>
      <c r="AJ596" s="1887"/>
      <c r="AK596" s="188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605</v>
      </c>
      <c r="G597" s="1887" t="s">
        <v>2500</v>
      </c>
      <c r="H597" s="1887"/>
      <c r="I597" s="1887"/>
      <c r="J597" s="1887"/>
      <c r="K597" s="1887"/>
      <c r="L597" s="1887"/>
      <c r="M597" s="1887"/>
      <c r="N597" s="1887"/>
      <c r="O597" s="1887"/>
      <c r="P597" s="1887"/>
      <c r="Q597" s="1887"/>
      <c r="R597" s="1887"/>
      <c r="T597" s="35"/>
      <c r="U597" s="12" t="s">
        <v>605</v>
      </c>
      <c r="Z597" s="1889" t="s">
        <v>2499</v>
      </c>
      <c r="AA597" s="1889"/>
      <c r="AB597" s="1889"/>
      <c r="AC597" s="1889"/>
      <c r="AD597" s="1889"/>
      <c r="AE597" s="1889"/>
      <c r="AF597" s="1889"/>
      <c r="AG597" s="1889"/>
      <c r="AH597" s="1889"/>
      <c r="AI597" s="1889"/>
      <c r="AJ597" s="1889"/>
      <c r="AK597" s="188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887" t="s">
        <v>2577</v>
      </c>
      <c r="H598" s="1887"/>
      <c r="I598" s="1887"/>
      <c r="J598" s="1887"/>
      <c r="K598" s="1887"/>
      <c r="L598" s="1887"/>
      <c r="M598" s="1887"/>
      <c r="N598" s="1887"/>
      <c r="O598" s="1887"/>
      <c r="P598" s="1887"/>
      <c r="Q598" s="1887"/>
      <c r="R598" s="1887"/>
      <c r="T598" s="35"/>
      <c r="U598" s="12" t="s">
        <v>17</v>
      </c>
      <c r="Z598" s="1889" t="s">
        <v>2485</v>
      </c>
      <c r="AA598" s="1889"/>
      <c r="AB598" s="1889"/>
      <c r="AC598" s="1889"/>
      <c r="AD598" s="1889"/>
      <c r="AE598" s="1889"/>
      <c r="AF598" s="1889"/>
      <c r="AG598" s="1889"/>
      <c r="AH598" s="1889"/>
      <c r="AI598" s="1889"/>
      <c r="AJ598" s="1889"/>
      <c r="AK598" s="188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1997" t="s">
        <v>2578</v>
      </c>
      <c r="H599" s="1912"/>
      <c r="I599" s="1912"/>
      <c r="J599" s="1912"/>
      <c r="K599" s="1912"/>
      <c r="L599" s="1912"/>
      <c r="O599" s="137" t="s">
        <v>211</v>
      </c>
      <c r="P599" s="1878"/>
      <c r="Q599" s="1878"/>
      <c r="R599" s="1878"/>
      <c r="T599" s="35"/>
      <c r="U599" s="12" t="s">
        <v>321</v>
      </c>
      <c r="Z599" s="1997" t="s">
        <v>2486</v>
      </c>
      <c r="AA599" s="1912"/>
      <c r="AB599" s="1912"/>
      <c r="AC599" s="1912"/>
      <c r="AD599" s="1912"/>
      <c r="AE599" s="1912"/>
      <c r="AH599" s="137" t="s">
        <v>211</v>
      </c>
      <c r="AI599" s="1878"/>
      <c r="AJ599" s="1878"/>
      <c r="AK599" s="187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887" t="s">
        <v>2580</v>
      </c>
      <c r="I600" s="1887"/>
      <c r="J600" s="1887"/>
      <c r="K600" s="1887"/>
      <c r="L600" s="1887"/>
      <c r="M600" s="1887"/>
      <c r="N600" s="1887"/>
      <c r="O600" s="1887"/>
      <c r="P600" s="1887"/>
      <c r="Q600" s="1887"/>
      <c r="R600" s="1887"/>
      <c r="T600" s="35"/>
      <c r="U600" s="12" t="s">
        <v>18</v>
      </c>
      <c r="AA600" s="1887" t="s">
        <v>2581</v>
      </c>
      <c r="AB600" s="1887"/>
      <c r="AC600" s="1887"/>
      <c r="AD600" s="1887"/>
      <c r="AE600" s="1887"/>
      <c r="AF600" s="1887"/>
      <c r="AG600" s="1887"/>
      <c r="AH600" s="1887"/>
      <c r="AI600" s="1887"/>
      <c r="AJ600" s="1887"/>
      <c r="AK600" s="188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886" t="s">
        <v>569</v>
      </c>
      <c r="O601" s="1886"/>
      <c r="T601" s="35"/>
      <c r="U601" s="12" t="s">
        <v>20</v>
      </c>
      <c r="AG601" s="1886" t="s">
        <v>569</v>
      </c>
      <c r="AH601" s="1886"/>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479</v>
      </c>
      <c r="B603" s="12" t="s">
        <v>487</v>
      </c>
      <c r="G603" s="1888" t="str">
        <f>C570</f>
        <v>Limited Partner Equity</v>
      </c>
      <c r="H603" s="1888"/>
      <c r="I603" s="1888"/>
      <c r="J603" s="1888"/>
      <c r="K603" s="1888"/>
      <c r="L603" s="1888"/>
      <c r="M603" s="1888"/>
      <c r="N603" s="1888"/>
      <c r="O603" s="1888"/>
      <c r="P603" s="1888"/>
      <c r="Q603" s="1888"/>
      <c r="R603" s="1888"/>
      <c r="T603" s="87" t="s">
        <v>480</v>
      </c>
      <c r="U603" s="12" t="s">
        <v>487</v>
      </c>
      <c r="Z603" s="1888">
        <f>C571</f>
        <v>0</v>
      </c>
      <c r="AA603" s="1888"/>
      <c r="AB603" s="1888"/>
      <c r="AC603" s="1888"/>
      <c r="AD603" s="1888"/>
      <c r="AE603" s="1888"/>
      <c r="AF603" s="1888"/>
      <c r="AG603" s="1888"/>
      <c r="AH603" s="1888"/>
      <c r="AI603" s="1888"/>
      <c r="AJ603" s="1888"/>
      <c r="AK603" s="188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1887" t="s">
        <v>2582</v>
      </c>
      <c r="H604" s="1887"/>
      <c r="I604" s="1887"/>
      <c r="J604" s="1887"/>
      <c r="K604" s="1887"/>
      <c r="L604" s="1887"/>
      <c r="M604" s="1887"/>
      <c r="N604" s="1887"/>
      <c r="O604" s="1887"/>
      <c r="P604" s="1887"/>
      <c r="Q604" s="1887"/>
      <c r="R604" s="1887"/>
      <c r="T604" s="35"/>
      <c r="U604" s="12" t="s">
        <v>90</v>
      </c>
      <c r="Z604" s="1887"/>
      <c r="AA604" s="1887"/>
      <c r="AB604" s="1887"/>
      <c r="AC604" s="1887"/>
      <c r="AD604" s="1887"/>
      <c r="AE604" s="1887"/>
      <c r="AF604" s="1887"/>
      <c r="AG604" s="1887"/>
      <c r="AH604" s="1887"/>
      <c r="AI604" s="1887"/>
      <c r="AJ604" s="1887"/>
      <c r="AK604" s="188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605</v>
      </c>
      <c r="G605" s="1887"/>
      <c r="H605" s="1887"/>
      <c r="I605" s="1887"/>
      <c r="J605" s="1887"/>
      <c r="K605" s="1887"/>
      <c r="L605" s="1887"/>
      <c r="M605" s="1887"/>
      <c r="N605" s="1887"/>
      <c r="O605" s="1887"/>
      <c r="P605" s="1887"/>
      <c r="Q605" s="1887"/>
      <c r="R605" s="1887"/>
      <c r="T605" s="35"/>
      <c r="U605" s="12" t="s">
        <v>605</v>
      </c>
      <c r="Z605" s="1889"/>
      <c r="AA605" s="1889"/>
      <c r="AB605" s="1889"/>
      <c r="AC605" s="1889"/>
      <c r="AD605" s="1889"/>
      <c r="AE605" s="1889"/>
      <c r="AF605" s="1889"/>
      <c r="AG605" s="1889"/>
      <c r="AH605" s="1889"/>
      <c r="AI605" s="1889"/>
      <c r="AJ605" s="1889"/>
      <c r="AK605" s="188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1887"/>
      <c r="H606" s="1887"/>
      <c r="I606" s="1887"/>
      <c r="J606" s="1887"/>
      <c r="K606" s="1887"/>
      <c r="L606" s="1887"/>
      <c r="M606" s="1887"/>
      <c r="N606" s="1887"/>
      <c r="O606" s="1887"/>
      <c r="P606" s="1887"/>
      <c r="Q606" s="1887"/>
      <c r="R606" s="1887"/>
      <c r="T606" s="35"/>
      <c r="U606" s="12" t="s">
        <v>17</v>
      </c>
      <c r="Z606" s="1889"/>
      <c r="AA606" s="1889"/>
      <c r="AB606" s="1889"/>
      <c r="AC606" s="1889"/>
      <c r="AD606" s="1889"/>
      <c r="AE606" s="1889"/>
      <c r="AF606" s="1889"/>
      <c r="AG606" s="1889"/>
      <c r="AH606" s="1889"/>
      <c r="AI606" s="1889"/>
      <c r="AJ606" s="1889"/>
      <c r="AK606" s="188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1997"/>
      <c r="H607" s="1912"/>
      <c r="I607" s="1912"/>
      <c r="J607" s="1912"/>
      <c r="K607" s="1912"/>
      <c r="L607" s="1912"/>
      <c r="M607" s="12"/>
      <c r="N607" s="12"/>
      <c r="O607" s="137" t="s">
        <v>211</v>
      </c>
      <c r="P607" s="1878"/>
      <c r="Q607" s="1878"/>
      <c r="R607" s="1878"/>
      <c r="S607" s="12"/>
      <c r="T607" s="35"/>
      <c r="U607" s="12" t="s">
        <v>321</v>
      </c>
      <c r="V607" s="12"/>
      <c r="W607" s="12"/>
      <c r="X607" s="12"/>
      <c r="Y607" s="12"/>
      <c r="Z607" s="1912"/>
      <c r="AA607" s="1912"/>
      <c r="AB607" s="1912"/>
      <c r="AC607" s="1912"/>
      <c r="AD607" s="1912"/>
      <c r="AE607" s="1912"/>
      <c r="AF607" s="12"/>
      <c r="AG607" s="12"/>
      <c r="AH607" s="137" t="s">
        <v>211</v>
      </c>
      <c r="AI607" s="1878"/>
      <c r="AJ607" s="1878"/>
      <c r="AK607" s="187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1887" t="s">
        <v>2583</v>
      </c>
      <c r="I608" s="1887"/>
      <c r="J608" s="1887"/>
      <c r="K608" s="1887"/>
      <c r="L608" s="1887"/>
      <c r="M608" s="1887"/>
      <c r="N608" s="1887"/>
      <c r="O608" s="1887"/>
      <c r="P608" s="1887"/>
      <c r="Q608" s="1887"/>
      <c r="R608" s="1887"/>
      <c r="S608" s="12"/>
      <c r="T608" s="35"/>
      <c r="U608" s="12" t="s">
        <v>18</v>
      </c>
      <c r="V608" s="12"/>
      <c r="W608" s="12"/>
      <c r="X608" s="12"/>
      <c r="Y608" s="12"/>
      <c r="Z608" s="12"/>
      <c r="AA608" s="1887"/>
      <c r="AB608" s="1887"/>
      <c r="AC608" s="1887"/>
      <c r="AD608" s="1887"/>
      <c r="AE608" s="1887"/>
      <c r="AF608" s="1887"/>
      <c r="AG608" s="1887"/>
      <c r="AH608" s="1887"/>
      <c r="AI608" s="1887"/>
      <c r="AJ608" s="1887"/>
      <c r="AK608" s="188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886" t="s">
        <v>694</v>
      </c>
      <c r="O609" s="1886"/>
      <c r="P609" s="12"/>
      <c r="Q609" s="12"/>
      <c r="R609" s="12"/>
      <c r="S609" s="12"/>
      <c r="T609" s="35"/>
      <c r="U609" s="12" t="s">
        <v>20</v>
      </c>
      <c r="V609" s="12"/>
      <c r="W609" s="12"/>
      <c r="X609" s="12"/>
      <c r="Y609" s="12"/>
      <c r="Z609" s="12"/>
      <c r="AA609" s="12"/>
      <c r="AB609" s="12"/>
      <c r="AC609" s="12"/>
      <c r="AD609" s="12"/>
      <c r="AE609" s="12"/>
      <c r="AF609" s="12"/>
      <c r="AG609" s="1886" t="s">
        <v>694</v>
      </c>
      <c r="AH609" s="1886"/>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498</v>
      </c>
      <c r="BF609" s="186"/>
      <c r="BG609" s="1864"/>
      <c r="BH609" s="1866"/>
      <c r="BI609" s="185" t="s">
        <v>499</v>
      </c>
      <c r="BJ609" s="186"/>
      <c r="BK609" s="1864"/>
      <c r="BL609" s="1866"/>
      <c r="BM609" s="58"/>
      <c r="BN609" s="2239" t="s">
        <v>658</v>
      </c>
      <c r="BO609" s="2240"/>
      <c r="BP609" s="2240"/>
      <c r="BQ609" s="2240"/>
      <c r="BR609" s="2241"/>
      <c r="BS609" s="2020" t="s">
        <v>330</v>
      </c>
      <c r="BT609" s="2020"/>
      <c r="BU609" s="2020"/>
      <c r="BV609" s="2020"/>
      <c r="BW609" s="2020"/>
      <c r="BX609" s="2020" t="s">
        <v>168</v>
      </c>
      <c r="BY609" s="2020"/>
      <c r="BZ609" s="2020"/>
      <c r="CA609" s="2020"/>
      <c r="CB609" s="2020"/>
      <c r="CC609" s="2020" t="s">
        <v>169</v>
      </c>
      <c r="CD609" s="2020"/>
      <c r="CE609" s="2020"/>
      <c r="CF609" s="2020"/>
      <c r="CG609" s="2020"/>
      <c r="CH609" s="2020" t="s">
        <v>484</v>
      </c>
      <c r="CI609" s="2020"/>
      <c r="CJ609" s="2020"/>
      <c r="CK609" s="2020"/>
      <c r="CL609" s="2020"/>
      <c r="CM609" s="2020" t="s">
        <v>31</v>
      </c>
      <c r="CN609" s="2020"/>
      <c r="CO609" s="2020"/>
      <c r="CP609" s="2020"/>
      <c r="CQ609" s="2020"/>
      <c r="CR609" s="1093"/>
      <c r="CS609" s="2020" t="s">
        <v>658</v>
      </c>
      <c r="CT609" s="2020"/>
      <c r="CU609" s="2020"/>
      <c r="CV609" s="2020"/>
      <c r="CW609" s="2020"/>
      <c r="CX609" s="2020" t="s">
        <v>330</v>
      </c>
      <c r="CY609" s="2020"/>
      <c r="CZ609" s="2020"/>
      <c r="DA609" s="2020"/>
      <c r="DB609" s="2020"/>
      <c r="DC609" s="2020" t="s">
        <v>168</v>
      </c>
      <c r="DD609" s="2020"/>
      <c r="DE609" s="2020"/>
      <c r="DF609" s="2020"/>
      <c r="DG609" s="2020"/>
      <c r="DH609" s="2020" t="s">
        <v>169</v>
      </c>
      <c r="DI609" s="2020"/>
      <c r="DJ609" s="2020"/>
      <c r="DK609" s="2020"/>
      <c r="DL609" s="2020"/>
      <c r="DM609" s="2020" t="s">
        <v>484</v>
      </c>
      <c r="DN609" s="2020"/>
      <c r="DO609" s="2020"/>
      <c r="DP609" s="2020"/>
      <c r="DQ609" s="2020"/>
      <c r="DR609" s="2020" t="s">
        <v>31</v>
      </c>
      <c r="DS609" s="2020"/>
      <c r="DT609" s="2020"/>
      <c r="DU609" s="2020"/>
      <c r="DV609" s="2020"/>
      <c r="DX609" s="2020" t="s">
        <v>658</v>
      </c>
      <c r="DY609" s="2020"/>
      <c r="DZ609" s="2020"/>
      <c r="EA609" s="2020"/>
      <c r="EB609" s="2020"/>
      <c r="EC609" s="2020" t="s">
        <v>330</v>
      </c>
      <c r="ED609" s="2020"/>
      <c r="EE609" s="2020"/>
      <c r="EF609" s="2020"/>
      <c r="EG609" s="2020"/>
      <c r="EH609" s="2020" t="s">
        <v>168</v>
      </c>
      <c r="EI609" s="2020"/>
      <c r="EJ609" s="2020"/>
      <c r="EK609" s="2020"/>
      <c r="EL609" s="2020"/>
      <c r="EM609" s="2020" t="s">
        <v>169</v>
      </c>
      <c r="EN609" s="2020"/>
      <c r="EO609" s="2020"/>
      <c r="EP609" s="2020"/>
      <c r="EQ609" s="2020"/>
      <c r="ER609" s="2020" t="s">
        <v>484</v>
      </c>
      <c r="ES609" s="2020"/>
      <c r="ET609" s="2020"/>
      <c r="EU609" s="2020"/>
      <c r="EV609" s="2020"/>
      <c r="EW609" s="2020" t="s">
        <v>31</v>
      </c>
      <c r="EX609" s="2020"/>
      <c r="EY609" s="2020"/>
      <c r="EZ609" s="2020"/>
      <c r="FA609" s="2020"/>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1867">
        <f t="shared" ref="BE610:BE634" si="0">IF(AND(AC728&lt;=0.5,AC728&gt;=0.36),1,0)</f>
        <v>0</v>
      </c>
      <c r="BF610" s="1868"/>
      <c r="BG610" s="1864">
        <f t="shared" ref="BG610:BG634" si="1">IF(BE610=1,G728,0)</f>
        <v>0</v>
      </c>
      <c r="BH610" s="1866"/>
      <c r="BI610" s="1867">
        <f t="shared" ref="BI610:BI634" si="2">IF(AND(AC728&lt;=0.35,AC728&gt;0),1,0)</f>
        <v>1</v>
      </c>
      <c r="BJ610" s="1868"/>
      <c r="BK610" s="1864">
        <f t="shared" ref="BK610:BK634" si="3">IF(BI610=1,G728,0)</f>
        <v>12</v>
      </c>
      <c r="BL610" s="1866"/>
      <c r="BM610" s="58"/>
      <c r="BN610" s="1861">
        <f t="shared" ref="BN610:BN634" si="4">IF(B728="SRO/Studio",G728,0)</f>
        <v>12</v>
      </c>
      <c r="BO610" s="1862"/>
      <c r="BP610" s="1862"/>
      <c r="BQ610" s="1862"/>
      <c r="BR610" s="1863"/>
      <c r="BS610" s="1860">
        <f t="shared" ref="BS610:BS634" si="5">IF(B728="1 Bedroom",G728,0)</f>
        <v>0</v>
      </c>
      <c r="BT610" s="1860"/>
      <c r="BU610" s="1860"/>
      <c r="BV610" s="1860"/>
      <c r="BW610" s="1860"/>
      <c r="BX610" s="1860">
        <f t="shared" ref="BX610:BX634" si="6">IF(B728="2 Bedrooms",G728,0)</f>
        <v>0</v>
      </c>
      <c r="BY610" s="1860"/>
      <c r="BZ610" s="1860"/>
      <c r="CA610" s="1860"/>
      <c r="CB610" s="1860"/>
      <c r="CC610" s="1860">
        <f t="shared" ref="CC610:CC634" si="7">IF(B728="3 Bedrooms",G728,0)</f>
        <v>0</v>
      </c>
      <c r="CD610" s="1860"/>
      <c r="CE610" s="1860"/>
      <c r="CF610" s="1860"/>
      <c r="CG610" s="1860"/>
      <c r="CH610" s="1860">
        <f t="shared" ref="CH610:CH634" si="8">IF(B728="4 Bedrooms",G728,0)</f>
        <v>0</v>
      </c>
      <c r="CI610" s="1860"/>
      <c r="CJ610" s="1860"/>
      <c r="CK610" s="1860"/>
      <c r="CL610" s="1860"/>
      <c r="CM610" s="1860">
        <f t="shared" ref="CM610:CM634" si="9">IF(B728="5 Bedrooms",G728,0)</f>
        <v>0</v>
      </c>
      <c r="CN610" s="1860"/>
      <c r="CO610" s="1860"/>
      <c r="CP610" s="1860"/>
      <c r="CQ610" s="1860"/>
      <c r="CR610" s="265"/>
      <c r="CS610" s="2229">
        <f t="shared" ref="CS610:CS634" si="10">IF(AND(B728="SRO/Studio",AC728&lt;=0.3),G728,0)</f>
        <v>12</v>
      </c>
      <c r="CT610" s="2229"/>
      <c r="CU610" s="2229"/>
      <c r="CV610" s="2229"/>
      <c r="CW610" s="2229"/>
      <c r="CX610" s="2229">
        <f t="shared" ref="CX610:CX634" si="11">IF(AND(B728="1 Bedroom",AC728&lt;=0.3),G728,0)</f>
        <v>0</v>
      </c>
      <c r="CY610" s="2229"/>
      <c r="CZ610" s="2229"/>
      <c r="DA610" s="2229"/>
      <c r="DB610" s="2229"/>
      <c r="DC610" s="2229">
        <f t="shared" ref="DC610:DC634" si="12">IF(AND(B728="2 Bedrooms",AC728&lt;=0.3),G728,0)</f>
        <v>0</v>
      </c>
      <c r="DD610" s="2229"/>
      <c r="DE610" s="2229"/>
      <c r="DF610" s="2229"/>
      <c r="DG610" s="2229"/>
      <c r="DH610" s="2229">
        <f t="shared" ref="DH610:DH634" si="13">IF(AND(B728="3 Bedrooms",AC728&lt;=0.3),G728,0)</f>
        <v>0</v>
      </c>
      <c r="DI610" s="2229"/>
      <c r="DJ610" s="2229"/>
      <c r="DK610" s="2229"/>
      <c r="DL610" s="2229"/>
      <c r="DM610" s="2229">
        <f t="shared" ref="DM610:DM634" si="14">IF(AND(B728="4 Bedrooms",AC728&lt;=0.3),G728,0)</f>
        <v>0</v>
      </c>
      <c r="DN610" s="2229"/>
      <c r="DO610" s="2229"/>
      <c r="DP610" s="2229"/>
      <c r="DQ610" s="2229"/>
      <c r="DR610" s="2229">
        <f t="shared" ref="DR610:DR634" si="15">IF(AND(B728="5 Bedrooms",AC728&lt;=0.3),G728,0)</f>
        <v>0</v>
      </c>
      <c r="DS610" s="2229"/>
      <c r="DT610" s="2229"/>
      <c r="DU610" s="2229"/>
      <c r="DV610" s="2229"/>
      <c r="DX610" s="1867">
        <f t="shared" ref="DX610:DX634" si="16">IF(BN610&gt;0,O728," ")</f>
        <v>443</v>
      </c>
      <c r="DY610" s="2018"/>
      <c r="DZ610" s="2018"/>
      <c r="EA610" s="2018"/>
      <c r="EB610" s="1868"/>
      <c r="EC610" s="1867" t="str">
        <f t="shared" ref="EC610:EC634" si="17">IF(BS610&gt;0,O728," ")</f>
        <v xml:space="preserve"> </v>
      </c>
      <c r="ED610" s="2018"/>
      <c r="EE610" s="2018"/>
      <c r="EF610" s="2018"/>
      <c r="EG610" s="1868"/>
      <c r="EH610" s="1867" t="str">
        <f t="shared" ref="EH610:EH634" si="18">IF(BX610&gt;0,O728," ")</f>
        <v xml:space="preserve"> </v>
      </c>
      <c r="EI610" s="2018"/>
      <c r="EJ610" s="2018"/>
      <c r="EK610" s="2018"/>
      <c r="EL610" s="1868"/>
      <c r="EM610" s="1867" t="str">
        <f t="shared" ref="EM610:EM634" si="19">IF(CC610&gt;0,O728," ")</f>
        <v xml:space="preserve"> </v>
      </c>
      <c r="EN610" s="2018"/>
      <c r="EO610" s="2018"/>
      <c r="EP610" s="2018"/>
      <c r="EQ610" s="1868"/>
      <c r="ER610" s="1867" t="str">
        <f t="shared" ref="ER610:ER634" si="20">IF(CH610&gt;0,O728," ")</f>
        <v xml:space="preserve"> </v>
      </c>
      <c r="ES610" s="2018"/>
      <c r="ET610" s="2018"/>
      <c r="EU610" s="2018"/>
      <c r="EV610" s="1868"/>
      <c r="EW610" s="1867" t="str">
        <f t="shared" ref="EW610:EW634" si="21">IF(CM610&gt;0,O728," ")</f>
        <v xml:space="preserve"> </v>
      </c>
      <c r="EX610" s="2018"/>
      <c r="EY610" s="2018"/>
      <c r="EZ610" s="2018"/>
      <c r="FA610" s="1868"/>
    </row>
    <row r="611" spans="1:157" s="7" customFormat="1" ht="13.2">
      <c r="A611" s="87" t="s">
        <v>485</v>
      </c>
      <c r="B611" s="12" t="s">
        <v>487</v>
      </c>
      <c r="C611" s="12"/>
      <c r="D611" s="12"/>
      <c r="E611" s="12"/>
      <c r="F611" s="12"/>
      <c r="G611" s="1888">
        <f>C572</f>
        <v>0</v>
      </c>
      <c r="H611" s="1888"/>
      <c r="I611" s="1888"/>
      <c r="J611" s="1888"/>
      <c r="K611" s="1888"/>
      <c r="L611" s="1888"/>
      <c r="M611" s="1888"/>
      <c r="N611" s="1888"/>
      <c r="O611" s="1888"/>
      <c r="P611" s="1888"/>
      <c r="Q611" s="1888"/>
      <c r="R611" s="1888"/>
      <c r="S611" s="12"/>
      <c r="T611" s="87" t="s">
        <v>671</v>
      </c>
      <c r="U611" s="12" t="s">
        <v>487</v>
      </c>
      <c r="V611" s="12"/>
      <c r="W611" s="12"/>
      <c r="X611" s="12"/>
      <c r="Y611" s="12"/>
      <c r="Z611" s="1888">
        <f>C573</f>
        <v>0</v>
      </c>
      <c r="AA611" s="1888"/>
      <c r="AB611" s="1888"/>
      <c r="AC611" s="1888"/>
      <c r="AD611" s="1888"/>
      <c r="AE611" s="1888"/>
      <c r="AF611" s="1888"/>
      <c r="AG611" s="1888"/>
      <c r="AH611" s="1888"/>
      <c r="AI611" s="1888"/>
      <c r="AJ611" s="1888"/>
      <c r="AK611" s="1888"/>
      <c r="AL611" s="12"/>
      <c r="AM611" s="39"/>
      <c r="AN611" s="39"/>
      <c r="AO611" s="39"/>
      <c r="AP611" s="39"/>
      <c r="AQ611" s="39"/>
      <c r="AR611" s="39"/>
      <c r="AS611" s="39"/>
      <c r="AT611" s="39"/>
      <c r="AU611" s="39"/>
      <c r="AV611" s="39"/>
      <c r="AW611" s="39"/>
      <c r="AX611" s="39"/>
      <c r="AY611" s="39"/>
      <c r="BA611" s="7" t="s">
        <v>168</v>
      </c>
      <c r="BB611" s="58"/>
      <c r="BC611" s="58"/>
      <c r="BD611" s="58"/>
      <c r="BE611" s="1867">
        <f t="shared" si="0"/>
        <v>0</v>
      </c>
      <c r="BF611" s="1868"/>
      <c r="BG611" s="1864">
        <f t="shared" si="1"/>
        <v>0</v>
      </c>
      <c r="BH611" s="1866"/>
      <c r="BI611" s="1867">
        <f t="shared" si="2"/>
        <v>1</v>
      </c>
      <c r="BJ611" s="1868"/>
      <c r="BK611" s="1864">
        <f t="shared" si="3"/>
        <v>12</v>
      </c>
      <c r="BL611" s="1866"/>
      <c r="BM611" s="58"/>
      <c r="BN611" s="1861">
        <f t="shared" si="4"/>
        <v>12</v>
      </c>
      <c r="BO611" s="1862"/>
      <c r="BP611" s="1862"/>
      <c r="BQ611" s="1862"/>
      <c r="BR611" s="1863"/>
      <c r="BS611" s="1860">
        <f t="shared" si="5"/>
        <v>0</v>
      </c>
      <c r="BT611" s="1860"/>
      <c r="BU611" s="1860"/>
      <c r="BV611" s="1860"/>
      <c r="BW611" s="1860"/>
      <c r="BX611" s="1860">
        <f t="shared" si="6"/>
        <v>0</v>
      </c>
      <c r="BY611" s="1860"/>
      <c r="BZ611" s="1860"/>
      <c r="CA611" s="1860"/>
      <c r="CB611" s="1860"/>
      <c r="CC611" s="1860">
        <f t="shared" si="7"/>
        <v>0</v>
      </c>
      <c r="CD611" s="1860"/>
      <c r="CE611" s="1860"/>
      <c r="CF611" s="1860"/>
      <c r="CG611" s="1860"/>
      <c r="CH611" s="1860">
        <f t="shared" si="8"/>
        <v>0</v>
      </c>
      <c r="CI611" s="1860"/>
      <c r="CJ611" s="1860"/>
      <c r="CK611" s="1860"/>
      <c r="CL611" s="1860"/>
      <c r="CM611" s="1860">
        <f t="shared" si="9"/>
        <v>0</v>
      </c>
      <c r="CN611" s="1860"/>
      <c r="CO611" s="1860"/>
      <c r="CP611" s="1860"/>
      <c r="CQ611" s="1860"/>
      <c r="CR611" s="265"/>
      <c r="CS611" s="2229">
        <f t="shared" si="10"/>
        <v>12</v>
      </c>
      <c r="CT611" s="2229"/>
      <c r="CU611" s="2229"/>
      <c r="CV611" s="2229"/>
      <c r="CW611" s="2229"/>
      <c r="CX611" s="2229">
        <f t="shared" si="11"/>
        <v>0</v>
      </c>
      <c r="CY611" s="2229"/>
      <c r="CZ611" s="2229"/>
      <c r="DA611" s="2229"/>
      <c r="DB611" s="2229"/>
      <c r="DC611" s="2229">
        <f t="shared" si="12"/>
        <v>0</v>
      </c>
      <c r="DD611" s="2229"/>
      <c r="DE611" s="2229"/>
      <c r="DF611" s="2229"/>
      <c r="DG611" s="2229"/>
      <c r="DH611" s="2229">
        <f t="shared" si="13"/>
        <v>0</v>
      </c>
      <c r="DI611" s="2229"/>
      <c r="DJ611" s="2229"/>
      <c r="DK611" s="2229"/>
      <c r="DL611" s="2229"/>
      <c r="DM611" s="2229">
        <f t="shared" si="14"/>
        <v>0</v>
      </c>
      <c r="DN611" s="2229"/>
      <c r="DO611" s="2229"/>
      <c r="DP611" s="2229"/>
      <c r="DQ611" s="2229"/>
      <c r="DR611" s="2229">
        <f t="shared" si="15"/>
        <v>0</v>
      </c>
      <c r="DS611" s="2229"/>
      <c r="DT611" s="2229"/>
      <c r="DU611" s="2229"/>
      <c r="DV611" s="2229"/>
      <c r="DX611" s="1867">
        <f t="shared" si="16"/>
        <v>443</v>
      </c>
      <c r="DY611" s="2018"/>
      <c r="DZ611" s="2018"/>
      <c r="EA611" s="2018"/>
      <c r="EB611" s="1868"/>
      <c r="EC611" s="1867" t="str">
        <f t="shared" si="17"/>
        <v xml:space="preserve"> </v>
      </c>
      <c r="ED611" s="2018"/>
      <c r="EE611" s="2018"/>
      <c r="EF611" s="2018"/>
      <c r="EG611" s="1868"/>
      <c r="EH611" s="1867" t="str">
        <f t="shared" si="18"/>
        <v xml:space="preserve"> </v>
      </c>
      <c r="EI611" s="2018"/>
      <c r="EJ611" s="2018"/>
      <c r="EK611" s="2018"/>
      <c r="EL611" s="1868"/>
      <c r="EM611" s="1867" t="str">
        <f t="shared" si="19"/>
        <v xml:space="preserve"> </v>
      </c>
      <c r="EN611" s="2018"/>
      <c r="EO611" s="2018"/>
      <c r="EP611" s="2018"/>
      <c r="EQ611" s="1868"/>
      <c r="ER611" s="1867" t="str">
        <f t="shared" si="20"/>
        <v xml:space="preserve"> </v>
      </c>
      <c r="ES611" s="2018"/>
      <c r="ET611" s="2018"/>
      <c r="EU611" s="2018"/>
      <c r="EV611" s="1868"/>
      <c r="EW611" s="1867" t="str">
        <f t="shared" si="21"/>
        <v xml:space="preserve"> </v>
      </c>
      <c r="EX611" s="2018"/>
      <c r="EY611" s="2018"/>
      <c r="EZ611" s="2018"/>
      <c r="FA611" s="1868"/>
    </row>
    <row r="612" spans="1:157" ht="13.2">
      <c r="A612" s="35"/>
      <c r="B612" s="12" t="s">
        <v>90</v>
      </c>
      <c r="G612" s="1887"/>
      <c r="H612" s="1887"/>
      <c r="I612" s="1887"/>
      <c r="J612" s="1887"/>
      <c r="K612" s="1887"/>
      <c r="L612" s="1887"/>
      <c r="M612" s="1887"/>
      <c r="N612" s="1887"/>
      <c r="O612" s="1887"/>
      <c r="P612" s="1887"/>
      <c r="Q612" s="1887"/>
      <c r="R612" s="1887"/>
      <c r="T612" s="35"/>
      <c r="U612" s="12" t="s">
        <v>90</v>
      </c>
      <c r="Z612" s="1887"/>
      <c r="AA612" s="1887"/>
      <c r="AB612" s="1887"/>
      <c r="AC612" s="1887"/>
      <c r="AD612" s="1887"/>
      <c r="AE612" s="1887"/>
      <c r="AF612" s="1887"/>
      <c r="AG612" s="1887"/>
      <c r="AH612" s="1887"/>
      <c r="AI612" s="1887"/>
      <c r="AJ612" s="1887"/>
      <c r="AK612" s="1887"/>
      <c r="BA612" s="7" t="s">
        <v>169</v>
      </c>
      <c r="BB612" s="58"/>
      <c r="BC612" s="58"/>
      <c r="BD612" s="58"/>
      <c r="BE612" s="1867">
        <f t="shared" si="0"/>
        <v>0</v>
      </c>
      <c r="BF612" s="1868"/>
      <c r="BG612" s="1864">
        <f t="shared" si="1"/>
        <v>0</v>
      </c>
      <c r="BH612" s="1866"/>
      <c r="BI612" s="1867">
        <f t="shared" si="2"/>
        <v>1</v>
      </c>
      <c r="BJ612" s="1868"/>
      <c r="BK612" s="1864">
        <f t="shared" si="3"/>
        <v>2</v>
      </c>
      <c r="BL612" s="1866"/>
      <c r="BM612" s="58"/>
      <c r="BN612" s="1861">
        <f t="shared" si="4"/>
        <v>2</v>
      </c>
      <c r="BO612" s="1862"/>
      <c r="BP612" s="1862"/>
      <c r="BQ612" s="1862"/>
      <c r="BR612" s="1863"/>
      <c r="BS612" s="1860">
        <f t="shared" si="5"/>
        <v>0</v>
      </c>
      <c r="BT612" s="1860"/>
      <c r="BU612" s="1860"/>
      <c r="BV612" s="1860"/>
      <c r="BW612" s="1860"/>
      <c r="BX612" s="1860">
        <f t="shared" si="6"/>
        <v>0</v>
      </c>
      <c r="BY612" s="1860"/>
      <c r="BZ612" s="1860"/>
      <c r="CA612" s="1860"/>
      <c r="CB612" s="1860"/>
      <c r="CC612" s="1860">
        <f t="shared" si="7"/>
        <v>0</v>
      </c>
      <c r="CD612" s="1860"/>
      <c r="CE612" s="1860"/>
      <c r="CF612" s="1860"/>
      <c r="CG612" s="1860"/>
      <c r="CH612" s="1860">
        <f t="shared" si="8"/>
        <v>0</v>
      </c>
      <c r="CI612" s="1860"/>
      <c r="CJ612" s="1860"/>
      <c r="CK612" s="1860"/>
      <c r="CL612" s="1860"/>
      <c r="CM612" s="1860">
        <f t="shared" si="9"/>
        <v>0</v>
      </c>
      <c r="CN612" s="1860"/>
      <c r="CO612" s="1860"/>
      <c r="CP612" s="1860"/>
      <c r="CQ612" s="1860"/>
      <c r="CR612" s="265"/>
      <c r="CS612" s="2229">
        <f t="shared" si="10"/>
        <v>2</v>
      </c>
      <c r="CT612" s="2229"/>
      <c r="CU612" s="2229"/>
      <c r="CV612" s="2229"/>
      <c r="CW612" s="2229"/>
      <c r="CX612" s="2229">
        <f t="shared" si="11"/>
        <v>0</v>
      </c>
      <c r="CY612" s="2229"/>
      <c r="CZ612" s="2229"/>
      <c r="DA612" s="2229"/>
      <c r="DB612" s="2229"/>
      <c r="DC612" s="2229">
        <f t="shared" si="12"/>
        <v>0</v>
      </c>
      <c r="DD612" s="2229"/>
      <c r="DE612" s="2229"/>
      <c r="DF612" s="2229"/>
      <c r="DG612" s="2229"/>
      <c r="DH612" s="2229">
        <f t="shared" si="13"/>
        <v>0</v>
      </c>
      <c r="DI612" s="2229"/>
      <c r="DJ612" s="2229"/>
      <c r="DK612" s="2229"/>
      <c r="DL612" s="2229"/>
      <c r="DM612" s="2229">
        <f t="shared" si="14"/>
        <v>0</v>
      </c>
      <c r="DN612" s="2229"/>
      <c r="DO612" s="2229"/>
      <c r="DP612" s="2229"/>
      <c r="DQ612" s="2229"/>
      <c r="DR612" s="2229">
        <f t="shared" si="15"/>
        <v>0</v>
      </c>
      <c r="DS612" s="2229"/>
      <c r="DT612" s="2229"/>
      <c r="DU612" s="2229"/>
      <c r="DV612" s="2229"/>
      <c r="DX612" s="1867">
        <f t="shared" si="16"/>
        <v>686</v>
      </c>
      <c r="DY612" s="2018"/>
      <c r="DZ612" s="2018"/>
      <c r="EA612" s="2018"/>
      <c r="EB612" s="1868"/>
      <c r="EC612" s="1867" t="str">
        <f t="shared" si="17"/>
        <v xml:space="preserve"> </v>
      </c>
      <c r="ED612" s="2018"/>
      <c r="EE612" s="2018"/>
      <c r="EF612" s="2018"/>
      <c r="EG612" s="1868"/>
      <c r="EH612" s="1867" t="str">
        <f t="shared" si="18"/>
        <v xml:space="preserve"> </v>
      </c>
      <c r="EI612" s="2018"/>
      <c r="EJ612" s="2018"/>
      <c r="EK612" s="2018"/>
      <c r="EL612" s="1868"/>
      <c r="EM612" s="1867" t="str">
        <f t="shared" si="19"/>
        <v xml:space="preserve"> </v>
      </c>
      <c r="EN612" s="2018"/>
      <c r="EO612" s="2018"/>
      <c r="EP612" s="2018"/>
      <c r="EQ612" s="1868"/>
      <c r="ER612" s="1867" t="str">
        <f t="shared" si="20"/>
        <v xml:space="preserve"> </v>
      </c>
      <c r="ES612" s="2018"/>
      <c r="ET612" s="2018"/>
      <c r="EU612" s="2018"/>
      <c r="EV612" s="1868"/>
      <c r="EW612" s="1867" t="str">
        <f t="shared" si="21"/>
        <v xml:space="preserve"> </v>
      </c>
      <c r="EX612" s="2018"/>
      <c r="EY612" s="2018"/>
      <c r="EZ612" s="2018"/>
      <c r="FA612" s="1868"/>
    </row>
    <row r="613" spans="1:157" ht="13.2">
      <c r="A613" s="35"/>
      <c r="B613" s="12" t="s">
        <v>605</v>
      </c>
      <c r="G613" s="1887"/>
      <c r="H613" s="1887"/>
      <c r="I613" s="1887"/>
      <c r="J613" s="1887"/>
      <c r="K613" s="1887"/>
      <c r="L613" s="1887"/>
      <c r="M613" s="1887"/>
      <c r="N613" s="1887"/>
      <c r="O613" s="1887"/>
      <c r="P613" s="1887"/>
      <c r="Q613" s="1887"/>
      <c r="R613" s="1887"/>
      <c r="T613" s="35"/>
      <c r="U613" s="12" t="s">
        <v>605</v>
      </c>
      <c r="Z613" s="1889"/>
      <c r="AA613" s="1889"/>
      <c r="AB613" s="1889"/>
      <c r="AC613" s="1889"/>
      <c r="AD613" s="1889"/>
      <c r="AE613" s="1889"/>
      <c r="AF613" s="1889"/>
      <c r="AG613" s="1889"/>
      <c r="AH613" s="1889"/>
      <c r="AI613" s="1889"/>
      <c r="AJ613" s="1889"/>
      <c r="AK613" s="1889"/>
      <c r="BA613" s="7" t="s">
        <v>170</v>
      </c>
      <c r="BB613" s="58"/>
      <c r="BC613" s="58"/>
      <c r="BD613" s="58"/>
      <c r="BE613" s="1867">
        <f t="shared" si="0"/>
        <v>1</v>
      </c>
      <c r="BF613" s="1868"/>
      <c r="BG613" s="1864">
        <f t="shared" si="1"/>
        <v>11</v>
      </c>
      <c r="BH613" s="1866"/>
      <c r="BI613" s="1867">
        <f t="shared" si="2"/>
        <v>0</v>
      </c>
      <c r="BJ613" s="1868"/>
      <c r="BK613" s="1864">
        <f t="shared" si="3"/>
        <v>0</v>
      </c>
      <c r="BL613" s="1866"/>
      <c r="BM613" s="58"/>
      <c r="BN613" s="1861">
        <f t="shared" si="4"/>
        <v>11</v>
      </c>
      <c r="BO613" s="1862"/>
      <c r="BP613" s="1862"/>
      <c r="BQ613" s="1862"/>
      <c r="BR613" s="1863"/>
      <c r="BS613" s="1860">
        <f t="shared" si="5"/>
        <v>0</v>
      </c>
      <c r="BT613" s="1860"/>
      <c r="BU613" s="1860"/>
      <c r="BV613" s="1860"/>
      <c r="BW613" s="1860"/>
      <c r="BX613" s="1860">
        <f t="shared" si="6"/>
        <v>0</v>
      </c>
      <c r="BY613" s="1860"/>
      <c r="BZ613" s="1860"/>
      <c r="CA613" s="1860"/>
      <c r="CB613" s="1860"/>
      <c r="CC613" s="1860">
        <f t="shared" si="7"/>
        <v>0</v>
      </c>
      <c r="CD613" s="1860"/>
      <c r="CE613" s="1860"/>
      <c r="CF613" s="1860"/>
      <c r="CG613" s="1860"/>
      <c r="CH613" s="1860">
        <f t="shared" si="8"/>
        <v>0</v>
      </c>
      <c r="CI613" s="1860"/>
      <c r="CJ613" s="1860"/>
      <c r="CK613" s="1860"/>
      <c r="CL613" s="1860"/>
      <c r="CM613" s="1860">
        <f t="shared" si="9"/>
        <v>0</v>
      </c>
      <c r="CN613" s="1860"/>
      <c r="CO613" s="1860"/>
      <c r="CP613" s="1860"/>
      <c r="CQ613" s="1860"/>
      <c r="CR613" s="265"/>
      <c r="CS613" s="2229">
        <f t="shared" si="10"/>
        <v>0</v>
      </c>
      <c r="CT613" s="2229"/>
      <c r="CU613" s="2229"/>
      <c r="CV613" s="2229"/>
      <c r="CW613" s="2229"/>
      <c r="CX613" s="2229">
        <f t="shared" si="11"/>
        <v>0</v>
      </c>
      <c r="CY613" s="2229"/>
      <c r="CZ613" s="2229"/>
      <c r="DA613" s="2229"/>
      <c r="DB613" s="2229"/>
      <c r="DC613" s="2229">
        <f t="shared" si="12"/>
        <v>0</v>
      </c>
      <c r="DD613" s="2229"/>
      <c r="DE613" s="2229"/>
      <c r="DF613" s="2229"/>
      <c r="DG613" s="2229"/>
      <c r="DH613" s="2229">
        <f t="shared" si="13"/>
        <v>0</v>
      </c>
      <c r="DI613" s="2229"/>
      <c r="DJ613" s="2229"/>
      <c r="DK613" s="2229"/>
      <c r="DL613" s="2229"/>
      <c r="DM613" s="2229">
        <f t="shared" si="14"/>
        <v>0</v>
      </c>
      <c r="DN613" s="2229"/>
      <c r="DO613" s="2229"/>
      <c r="DP613" s="2229"/>
      <c r="DQ613" s="2229"/>
      <c r="DR613" s="2229">
        <f t="shared" si="15"/>
        <v>0</v>
      </c>
      <c r="DS613" s="2229"/>
      <c r="DT613" s="2229"/>
      <c r="DU613" s="2229"/>
      <c r="DV613" s="2229"/>
      <c r="DX613" s="1867">
        <f t="shared" si="16"/>
        <v>1413</v>
      </c>
      <c r="DY613" s="2018"/>
      <c r="DZ613" s="2018"/>
      <c r="EA613" s="2018"/>
      <c r="EB613" s="1868"/>
      <c r="EC613" s="1867" t="str">
        <f t="shared" si="17"/>
        <v xml:space="preserve"> </v>
      </c>
      <c r="ED613" s="2018"/>
      <c r="EE613" s="2018"/>
      <c r="EF613" s="2018"/>
      <c r="EG613" s="1868"/>
      <c r="EH613" s="1867" t="str">
        <f t="shared" si="18"/>
        <v xml:space="preserve"> </v>
      </c>
      <c r="EI613" s="2018"/>
      <c r="EJ613" s="2018"/>
      <c r="EK613" s="2018"/>
      <c r="EL613" s="1868"/>
      <c r="EM613" s="1867" t="str">
        <f t="shared" si="19"/>
        <v xml:space="preserve"> </v>
      </c>
      <c r="EN613" s="2018"/>
      <c r="EO613" s="2018"/>
      <c r="EP613" s="2018"/>
      <c r="EQ613" s="1868"/>
      <c r="ER613" s="1867" t="str">
        <f t="shared" si="20"/>
        <v xml:space="preserve"> </v>
      </c>
      <c r="ES613" s="2018"/>
      <c r="ET613" s="2018"/>
      <c r="EU613" s="2018"/>
      <c r="EV613" s="1868"/>
      <c r="EW613" s="1867" t="str">
        <f t="shared" si="21"/>
        <v xml:space="preserve"> </v>
      </c>
      <c r="EX613" s="2018"/>
      <c r="EY613" s="2018"/>
      <c r="EZ613" s="2018"/>
      <c r="FA613" s="1868"/>
    </row>
    <row r="614" spans="1:157" ht="13.2">
      <c r="A614" s="35"/>
      <c r="B614" s="12" t="s">
        <v>17</v>
      </c>
      <c r="G614" s="1887"/>
      <c r="H614" s="1887"/>
      <c r="I614" s="1887"/>
      <c r="J614" s="1887"/>
      <c r="K614" s="1887"/>
      <c r="L614" s="1887"/>
      <c r="M614" s="1887"/>
      <c r="N614" s="1887"/>
      <c r="O614" s="1887"/>
      <c r="P614" s="1887"/>
      <c r="Q614" s="1887"/>
      <c r="R614" s="1887"/>
      <c r="T614" s="35"/>
      <c r="U614" s="12" t="s">
        <v>17</v>
      </c>
      <c r="Z614" s="1889"/>
      <c r="AA614" s="1889"/>
      <c r="AB614" s="1889"/>
      <c r="AC614" s="1889"/>
      <c r="AD614" s="1889"/>
      <c r="AE614" s="1889"/>
      <c r="AF614" s="1889"/>
      <c r="AG614" s="1889"/>
      <c r="AH614" s="1889"/>
      <c r="AI614" s="1889"/>
      <c r="AJ614" s="1889"/>
      <c r="AK614" s="1889"/>
      <c r="BA614" s="7" t="s">
        <v>31</v>
      </c>
      <c r="BB614" s="58"/>
      <c r="BC614" s="58"/>
      <c r="BD614" s="58"/>
      <c r="BE614" s="1867">
        <f t="shared" si="0"/>
        <v>0</v>
      </c>
      <c r="BF614" s="1868"/>
      <c r="BG614" s="1864">
        <f t="shared" si="1"/>
        <v>0</v>
      </c>
      <c r="BH614" s="1866"/>
      <c r="BI614" s="1867">
        <f t="shared" si="2"/>
        <v>0</v>
      </c>
      <c r="BJ614" s="1868"/>
      <c r="BK614" s="1864">
        <f t="shared" si="3"/>
        <v>0</v>
      </c>
      <c r="BL614" s="1866"/>
      <c r="BM614" s="58"/>
      <c r="BN614" s="1861">
        <f t="shared" si="4"/>
        <v>10</v>
      </c>
      <c r="BO614" s="1862"/>
      <c r="BP614" s="1862"/>
      <c r="BQ614" s="1862"/>
      <c r="BR614" s="1863"/>
      <c r="BS614" s="1860">
        <f t="shared" si="5"/>
        <v>0</v>
      </c>
      <c r="BT614" s="1860"/>
      <c r="BU614" s="1860"/>
      <c r="BV614" s="1860"/>
      <c r="BW614" s="1860"/>
      <c r="BX614" s="1860">
        <f t="shared" si="6"/>
        <v>0</v>
      </c>
      <c r="BY614" s="1860"/>
      <c r="BZ614" s="1860"/>
      <c r="CA614" s="1860"/>
      <c r="CB614" s="1860"/>
      <c r="CC614" s="1860">
        <f t="shared" si="7"/>
        <v>0</v>
      </c>
      <c r="CD614" s="1860"/>
      <c r="CE614" s="1860"/>
      <c r="CF614" s="1860"/>
      <c r="CG614" s="1860"/>
      <c r="CH614" s="1860">
        <f t="shared" si="8"/>
        <v>0</v>
      </c>
      <c r="CI614" s="1860"/>
      <c r="CJ614" s="1860"/>
      <c r="CK614" s="1860"/>
      <c r="CL614" s="1860"/>
      <c r="CM614" s="1860">
        <f t="shared" si="9"/>
        <v>0</v>
      </c>
      <c r="CN614" s="1860"/>
      <c r="CO614" s="1860"/>
      <c r="CP614" s="1860"/>
      <c r="CQ614" s="1860"/>
      <c r="CR614" s="265"/>
      <c r="CS614" s="2229">
        <f t="shared" si="10"/>
        <v>0</v>
      </c>
      <c r="CT614" s="2229"/>
      <c r="CU614" s="2229"/>
      <c r="CV614" s="2229"/>
      <c r="CW614" s="2229"/>
      <c r="CX614" s="2229">
        <f t="shared" si="11"/>
        <v>0</v>
      </c>
      <c r="CY614" s="2229"/>
      <c r="CZ614" s="2229"/>
      <c r="DA614" s="2229"/>
      <c r="DB614" s="2229"/>
      <c r="DC614" s="2229">
        <f t="shared" si="12"/>
        <v>0</v>
      </c>
      <c r="DD614" s="2229"/>
      <c r="DE614" s="2229"/>
      <c r="DF614" s="2229"/>
      <c r="DG614" s="2229"/>
      <c r="DH614" s="2229">
        <f t="shared" si="13"/>
        <v>0</v>
      </c>
      <c r="DI614" s="2229"/>
      <c r="DJ614" s="2229"/>
      <c r="DK614" s="2229"/>
      <c r="DL614" s="2229"/>
      <c r="DM614" s="2229">
        <f t="shared" si="14"/>
        <v>0</v>
      </c>
      <c r="DN614" s="2229"/>
      <c r="DO614" s="2229"/>
      <c r="DP614" s="2229"/>
      <c r="DQ614" s="2229"/>
      <c r="DR614" s="2229">
        <f t="shared" si="15"/>
        <v>0</v>
      </c>
      <c r="DS614" s="2229"/>
      <c r="DT614" s="2229"/>
      <c r="DU614" s="2229"/>
      <c r="DV614" s="2229"/>
      <c r="DX614" s="1867">
        <f t="shared" si="16"/>
        <v>1656</v>
      </c>
      <c r="DY614" s="2018"/>
      <c r="DZ614" s="2018"/>
      <c r="EA614" s="2018"/>
      <c r="EB614" s="1868"/>
      <c r="EC614" s="1867" t="str">
        <f t="shared" si="17"/>
        <v xml:space="preserve"> </v>
      </c>
      <c r="ED614" s="2018"/>
      <c r="EE614" s="2018"/>
      <c r="EF614" s="2018"/>
      <c r="EG614" s="1868"/>
      <c r="EH614" s="1867" t="str">
        <f t="shared" si="18"/>
        <v xml:space="preserve"> </v>
      </c>
      <c r="EI614" s="2018"/>
      <c r="EJ614" s="2018"/>
      <c r="EK614" s="2018"/>
      <c r="EL614" s="1868"/>
      <c r="EM614" s="1867" t="str">
        <f t="shared" si="19"/>
        <v xml:space="preserve"> </v>
      </c>
      <c r="EN614" s="2018"/>
      <c r="EO614" s="2018"/>
      <c r="EP614" s="2018"/>
      <c r="EQ614" s="1868"/>
      <c r="ER614" s="1867" t="str">
        <f t="shared" si="20"/>
        <v xml:space="preserve"> </v>
      </c>
      <c r="ES614" s="2018"/>
      <c r="ET614" s="2018"/>
      <c r="EU614" s="2018"/>
      <c r="EV614" s="1868"/>
      <c r="EW614" s="1867" t="str">
        <f t="shared" si="21"/>
        <v xml:space="preserve"> </v>
      </c>
      <c r="EX614" s="2018"/>
      <c r="EY614" s="2018"/>
      <c r="EZ614" s="2018"/>
      <c r="FA614" s="1868"/>
    </row>
    <row r="615" spans="1:157" ht="13.2">
      <c r="A615" s="35"/>
      <c r="B615" s="12" t="s">
        <v>321</v>
      </c>
      <c r="G615" s="1912"/>
      <c r="H615" s="1912"/>
      <c r="I615" s="1912"/>
      <c r="J615" s="1912"/>
      <c r="K615" s="1912"/>
      <c r="L615" s="1912"/>
      <c r="O615" s="137" t="s">
        <v>211</v>
      </c>
      <c r="P615" s="1878"/>
      <c r="Q615" s="1878"/>
      <c r="R615" s="1878"/>
      <c r="T615" s="35"/>
      <c r="U615" s="12" t="s">
        <v>321</v>
      </c>
      <c r="Z615" s="1912"/>
      <c r="AA615" s="1912"/>
      <c r="AB615" s="1912"/>
      <c r="AC615" s="1912"/>
      <c r="AD615" s="1912"/>
      <c r="AE615" s="1912"/>
      <c r="AH615" s="137" t="s">
        <v>211</v>
      </c>
      <c r="AI615" s="1878"/>
      <c r="AJ615" s="1878"/>
      <c r="AK615" s="1878"/>
      <c r="AZ615" s="58"/>
      <c r="BA615" s="58"/>
      <c r="BB615" s="58"/>
      <c r="BC615" s="58"/>
      <c r="BD615" s="58"/>
      <c r="BE615" s="1867">
        <f t="shared" si="0"/>
        <v>0</v>
      </c>
      <c r="BF615" s="1868"/>
      <c r="BG615" s="1864">
        <f t="shared" si="1"/>
        <v>0</v>
      </c>
      <c r="BH615" s="1866"/>
      <c r="BI615" s="1867">
        <f t="shared" si="2"/>
        <v>0</v>
      </c>
      <c r="BJ615" s="1868"/>
      <c r="BK615" s="1864">
        <f t="shared" si="3"/>
        <v>0</v>
      </c>
      <c r="BL615" s="1866"/>
      <c r="BM615" s="58"/>
      <c r="BN615" s="1861">
        <f t="shared" si="4"/>
        <v>32</v>
      </c>
      <c r="BO615" s="1862"/>
      <c r="BP615" s="1862"/>
      <c r="BQ615" s="1862"/>
      <c r="BR615" s="1863"/>
      <c r="BS615" s="1860">
        <f t="shared" si="5"/>
        <v>0</v>
      </c>
      <c r="BT615" s="1860"/>
      <c r="BU615" s="1860"/>
      <c r="BV615" s="1860"/>
      <c r="BW615" s="1860"/>
      <c r="BX615" s="1860">
        <f t="shared" si="6"/>
        <v>0</v>
      </c>
      <c r="BY615" s="1860"/>
      <c r="BZ615" s="1860"/>
      <c r="CA615" s="1860"/>
      <c r="CB615" s="1860"/>
      <c r="CC615" s="1860">
        <f t="shared" si="7"/>
        <v>0</v>
      </c>
      <c r="CD615" s="1860"/>
      <c r="CE615" s="1860"/>
      <c r="CF615" s="1860"/>
      <c r="CG615" s="1860"/>
      <c r="CH615" s="1860">
        <f t="shared" si="8"/>
        <v>0</v>
      </c>
      <c r="CI615" s="1860"/>
      <c r="CJ615" s="1860"/>
      <c r="CK615" s="1860"/>
      <c r="CL615" s="1860"/>
      <c r="CM615" s="1860">
        <f t="shared" si="9"/>
        <v>0</v>
      </c>
      <c r="CN615" s="1860"/>
      <c r="CO615" s="1860"/>
      <c r="CP615" s="1860"/>
      <c r="CQ615" s="1860"/>
      <c r="CR615" s="265"/>
      <c r="CS615" s="2229">
        <f t="shared" si="10"/>
        <v>0</v>
      </c>
      <c r="CT615" s="2229"/>
      <c r="CU615" s="2229"/>
      <c r="CV615" s="2229"/>
      <c r="CW615" s="2229"/>
      <c r="CX615" s="2229">
        <f t="shared" si="11"/>
        <v>0</v>
      </c>
      <c r="CY615" s="2229"/>
      <c r="CZ615" s="2229"/>
      <c r="DA615" s="2229"/>
      <c r="DB615" s="2229"/>
      <c r="DC615" s="2229">
        <f t="shared" si="12"/>
        <v>0</v>
      </c>
      <c r="DD615" s="2229"/>
      <c r="DE615" s="2229"/>
      <c r="DF615" s="2229"/>
      <c r="DG615" s="2229"/>
      <c r="DH615" s="2229">
        <f t="shared" si="13"/>
        <v>0</v>
      </c>
      <c r="DI615" s="2229"/>
      <c r="DJ615" s="2229"/>
      <c r="DK615" s="2229"/>
      <c r="DL615" s="2229"/>
      <c r="DM615" s="2229">
        <f t="shared" si="14"/>
        <v>0</v>
      </c>
      <c r="DN615" s="2229"/>
      <c r="DO615" s="2229"/>
      <c r="DP615" s="2229"/>
      <c r="DQ615" s="2229"/>
      <c r="DR615" s="2229">
        <f t="shared" si="15"/>
        <v>0</v>
      </c>
      <c r="DS615" s="2229"/>
      <c r="DT615" s="2229"/>
      <c r="DU615" s="2229"/>
      <c r="DV615" s="2229"/>
      <c r="DX615" s="1867">
        <f t="shared" si="16"/>
        <v>1668</v>
      </c>
      <c r="DY615" s="2018"/>
      <c r="DZ615" s="2018"/>
      <c r="EA615" s="2018"/>
      <c r="EB615" s="1868"/>
      <c r="EC615" s="1867" t="str">
        <f t="shared" si="17"/>
        <v xml:space="preserve"> </v>
      </c>
      <c r="ED615" s="2018"/>
      <c r="EE615" s="2018"/>
      <c r="EF615" s="2018"/>
      <c r="EG615" s="1868"/>
      <c r="EH615" s="1867" t="str">
        <f t="shared" si="18"/>
        <v xml:space="preserve"> </v>
      </c>
      <c r="EI615" s="2018"/>
      <c r="EJ615" s="2018"/>
      <c r="EK615" s="2018"/>
      <c r="EL615" s="1868"/>
      <c r="EM615" s="1867" t="str">
        <f t="shared" si="19"/>
        <v xml:space="preserve"> </v>
      </c>
      <c r="EN615" s="2018"/>
      <c r="EO615" s="2018"/>
      <c r="EP615" s="2018"/>
      <c r="EQ615" s="1868"/>
      <c r="ER615" s="1867" t="str">
        <f t="shared" si="20"/>
        <v xml:space="preserve"> </v>
      </c>
      <c r="ES615" s="2018"/>
      <c r="ET615" s="2018"/>
      <c r="EU615" s="2018"/>
      <c r="EV615" s="1868"/>
      <c r="EW615" s="1867" t="str">
        <f t="shared" si="21"/>
        <v xml:space="preserve"> </v>
      </c>
      <c r="EX615" s="2018"/>
      <c r="EY615" s="2018"/>
      <c r="EZ615" s="2018"/>
      <c r="FA615" s="1868"/>
    </row>
    <row r="616" spans="1:157" ht="13.2">
      <c r="A616" s="35"/>
      <c r="B616" s="12" t="s">
        <v>18</v>
      </c>
      <c r="H616" s="1887"/>
      <c r="I616" s="1887"/>
      <c r="J616" s="1887"/>
      <c r="K616" s="1887"/>
      <c r="L616" s="1887"/>
      <c r="M616" s="1887"/>
      <c r="N616" s="1887"/>
      <c r="O616" s="1887"/>
      <c r="P616" s="1887"/>
      <c r="Q616" s="1887"/>
      <c r="R616" s="1887"/>
      <c r="T616" s="35"/>
      <c r="U616" s="12" t="s">
        <v>18</v>
      </c>
      <c r="AA616" s="1887"/>
      <c r="AB616" s="1887"/>
      <c r="AC616" s="1887"/>
      <c r="AD616" s="1887"/>
      <c r="AE616" s="1887"/>
      <c r="AF616" s="1887"/>
      <c r="AG616" s="1887"/>
      <c r="AH616" s="1887"/>
      <c r="AI616" s="1887"/>
      <c r="AJ616" s="1887"/>
      <c r="AK616" s="1887"/>
      <c r="AZ616" s="58"/>
      <c r="BA616" s="58"/>
      <c r="BB616" s="58"/>
      <c r="BC616" s="58"/>
      <c r="BD616" s="58"/>
      <c r="BE616" s="1867">
        <f t="shared" si="0"/>
        <v>0</v>
      </c>
      <c r="BF616" s="1868"/>
      <c r="BG616" s="1864">
        <f t="shared" si="1"/>
        <v>0</v>
      </c>
      <c r="BH616" s="1866"/>
      <c r="BI616" s="1867">
        <f t="shared" si="2"/>
        <v>1</v>
      </c>
      <c r="BJ616" s="1868"/>
      <c r="BK616" s="1864">
        <f t="shared" si="3"/>
        <v>2</v>
      </c>
      <c r="BL616" s="1866"/>
      <c r="BM616" s="58"/>
      <c r="BN616" s="1861">
        <f t="shared" si="4"/>
        <v>0</v>
      </c>
      <c r="BO616" s="1862"/>
      <c r="BP616" s="1862"/>
      <c r="BQ616" s="1862"/>
      <c r="BR616" s="1863"/>
      <c r="BS616" s="1860">
        <f t="shared" si="5"/>
        <v>0</v>
      </c>
      <c r="BT616" s="1860"/>
      <c r="BU616" s="1860"/>
      <c r="BV616" s="1860"/>
      <c r="BW616" s="1860"/>
      <c r="BX616" s="1860">
        <f t="shared" si="6"/>
        <v>2</v>
      </c>
      <c r="BY616" s="1860"/>
      <c r="BZ616" s="1860"/>
      <c r="CA616" s="1860"/>
      <c r="CB616" s="1860"/>
      <c r="CC616" s="1860">
        <f t="shared" si="7"/>
        <v>0</v>
      </c>
      <c r="CD616" s="1860"/>
      <c r="CE616" s="1860"/>
      <c r="CF616" s="1860"/>
      <c r="CG616" s="1860"/>
      <c r="CH616" s="1860">
        <f t="shared" si="8"/>
        <v>0</v>
      </c>
      <c r="CI616" s="1860"/>
      <c r="CJ616" s="1860"/>
      <c r="CK616" s="1860"/>
      <c r="CL616" s="1860"/>
      <c r="CM616" s="1860">
        <f t="shared" si="9"/>
        <v>0</v>
      </c>
      <c r="CN616" s="1860"/>
      <c r="CO616" s="1860"/>
      <c r="CP616" s="1860"/>
      <c r="CQ616" s="1860"/>
      <c r="CR616" s="265"/>
      <c r="CS616" s="2229">
        <f t="shared" si="10"/>
        <v>0</v>
      </c>
      <c r="CT616" s="2229"/>
      <c r="CU616" s="2229"/>
      <c r="CV616" s="2229"/>
      <c r="CW616" s="2229"/>
      <c r="CX616" s="2229">
        <f t="shared" si="11"/>
        <v>0</v>
      </c>
      <c r="CY616" s="2229"/>
      <c r="CZ616" s="2229"/>
      <c r="DA616" s="2229"/>
      <c r="DB616" s="2229"/>
      <c r="DC616" s="2229">
        <f t="shared" si="12"/>
        <v>2</v>
      </c>
      <c r="DD616" s="2229"/>
      <c r="DE616" s="2229"/>
      <c r="DF616" s="2229"/>
      <c r="DG616" s="2229"/>
      <c r="DH616" s="2229">
        <f t="shared" si="13"/>
        <v>0</v>
      </c>
      <c r="DI616" s="2229"/>
      <c r="DJ616" s="2229"/>
      <c r="DK616" s="2229"/>
      <c r="DL616" s="2229"/>
      <c r="DM616" s="2229">
        <f t="shared" si="14"/>
        <v>0</v>
      </c>
      <c r="DN616" s="2229"/>
      <c r="DO616" s="2229"/>
      <c r="DP616" s="2229"/>
      <c r="DQ616" s="2229"/>
      <c r="DR616" s="2229">
        <f t="shared" si="15"/>
        <v>0</v>
      </c>
      <c r="DS616" s="2229"/>
      <c r="DT616" s="2229"/>
      <c r="DU616" s="2229"/>
      <c r="DV616" s="2229"/>
      <c r="DX616" s="1867" t="str">
        <f t="shared" si="16"/>
        <v xml:space="preserve"> </v>
      </c>
      <c r="DY616" s="2018"/>
      <c r="DZ616" s="2018"/>
      <c r="EA616" s="2018"/>
      <c r="EB616" s="1868"/>
      <c r="EC616" s="1867" t="str">
        <f t="shared" si="17"/>
        <v xml:space="preserve"> </v>
      </c>
      <c r="ED616" s="2018"/>
      <c r="EE616" s="2018"/>
      <c r="EF616" s="2018"/>
      <c r="EG616" s="1868"/>
      <c r="EH616" s="1867">
        <f t="shared" si="18"/>
        <v>873</v>
      </c>
      <c r="EI616" s="2018"/>
      <c r="EJ616" s="2018"/>
      <c r="EK616" s="2018"/>
      <c r="EL616" s="1868"/>
      <c r="EM616" s="1867" t="str">
        <f t="shared" si="19"/>
        <v xml:space="preserve"> </v>
      </c>
      <c r="EN616" s="2018"/>
      <c r="EO616" s="2018"/>
      <c r="EP616" s="2018"/>
      <c r="EQ616" s="1868"/>
      <c r="ER616" s="1867" t="str">
        <f t="shared" si="20"/>
        <v xml:space="preserve"> </v>
      </c>
      <c r="ES616" s="2018"/>
      <c r="ET616" s="2018"/>
      <c r="EU616" s="2018"/>
      <c r="EV616" s="1868"/>
      <c r="EW616" s="1867" t="str">
        <f t="shared" si="21"/>
        <v xml:space="preserve"> </v>
      </c>
      <c r="EX616" s="2018"/>
      <c r="EY616" s="2018"/>
      <c r="EZ616" s="2018"/>
      <c r="FA616" s="1868"/>
    </row>
    <row r="617" spans="1:157" ht="13.2">
      <c r="A617" s="35"/>
      <c r="B617" s="12" t="s">
        <v>20</v>
      </c>
      <c r="N617" s="1886" t="s">
        <v>694</v>
      </c>
      <c r="O617" s="1886"/>
      <c r="T617" s="35"/>
      <c r="U617" s="12" t="s">
        <v>20</v>
      </c>
      <c r="AG617" s="1886" t="s">
        <v>694</v>
      </c>
      <c r="AH617" s="1886"/>
      <c r="AZ617" s="58"/>
      <c r="BA617" s="58"/>
      <c r="BB617" s="58"/>
      <c r="BC617" s="58"/>
      <c r="BD617" s="58"/>
      <c r="BE617" s="1867">
        <f t="shared" si="0"/>
        <v>0</v>
      </c>
      <c r="BF617" s="1868"/>
      <c r="BG617" s="1864">
        <f t="shared" si="1"/>
        <v>0</v>
      </c>
      <c r="BH617" s="1866"/>
      <c r="BI617" s="1867">
        <f t="shared" si="2"/>
        <v>1</v>
      </c>
      <c r="BJ617" s="1868"/>
      <c r="BK617" s="1864">
        <f t="shared" si="3"/>
        <v>2</v>
      </c>
      <c r="BL617" s="1866"/>
      <c r="BM617" s="58"/>
      <c r="BN617" s="1861">
        <f t="shared" si="4"/>
        <v>0</v>
      </c>
      <c r="BO617" s="1862"/>
      <c r="BP617" s="1862"/>
      <c r="BQ617" s="1862"/>
      <c r="BR617" s="1863"/>
      <c r="BS617" s="1860">
        <f t="shared" si="5"/>
        <v>0</v>
      </c>
      <c r="BT617" s="1860"/>
      <c r="BU617" s="1860"/>
      <c r="BV617" s="1860"/>
      <c r="BW617" s="1860"/>
      <c r="BX617" s="1860">
        <f t="shared" si="6"/>
        <v>2</v>
      </c>
      <c r="BY617" s="1860"/>
      <c r="BZ617" s="1860"/>
      <c r="CA617" s="1860"/>
      <c r="CB617" s="1860"/>
      <c r="CC617" s="1860">
        <f t="shared" si="7"/>
        <v>0</v>
      </c>
      <c r="CD617" s="1860"/>
      <c r="CE617" s="1860"/>
      <c r="CF617" s="1860"/>
      <c r="CG617" s="1860"/>
      <c r="CH617" s="1860">
        <f t="shared" si="8"/>
        <v>0</v>
      </c>
      <c r="CI617" s="1860"/>
      <c r="CJ617" s="1860"/>
      <c r="CK617" s="1860"/>
      <c r="CL617" s="1860"/>
      <c r="CM617" s="1860">
        <f t="shared" si="9"/>
        <v>0</v>
      </c>
      <c r="CN617" s="1860"/>
      <c r="CO617" s="1860"/>
      <c r="CP617" s="1860"/>
      <c r="CQ617" s="1860"/>
      <c r="CR617" s="265"/>
      <c r="CS617" s="2229">
        <f t="shared" si="10"/>
        <v>0</v>
      </c>
      <c r="CT617" s="2229"/>
      <c r="CU617" s="2229"/>
      <c r="CV617" s="2229"/>
      <c r="CW617" s="2229"/>
      <c r="CX617" s="2229">
        <f t="shared" si="11"/>
        <v>0</v>
      </c>
      <c r="CY617" s="2229"/>
      <c r="CZ617" s="2229"/>
      <c r="DA617" s="2229"/>
      <c r="DB617" s="2229"/>
      <c r="DC617" s="2229">
        <f t="shared" si="12"/>
        <v>2</v>
      </c>
      <c r="DD617" s="2229"/>
      <c r="DE617" s="2229"/>
      <c r="DF617" s="2229"/>
      <c r="DG617" s="2229"/>
      <c r="DH617" s="2229">
        <f t="shared" si="13"/>
        <v>0</v>
      </c>
      <c r="DI617" s="2229"/>
      <c r="DJ617" s="2229"/>
      <c r="DK617" s="2229"/>
      <c r="DL617" s="2229"/>
      <c r="DM617" s="2229">
        <f t="shared" si="14"/>
        <v>0</v>
      </c>
      <c r="DN617" s="2229"/>
      <c r="DO617" s="2229"/>
      <c r="DP617" s="2229"/>
      <c r="DQ617" s="2229"/>
      <c r="DR617" s="2229">
        <f t="shared" si="15"/>
        <v>0</v>
      </c>
      <c r="DS617" s="2229"/>
      <c r="DT617" s="2229"/>
      <c r="DU617" s="2229"/>
      <c r="DV617" s="2229"/>
      <c r="DX617" s="1867" t="str">
        <f t="shared" si="16"/>
        <v xml:space="preserve"> </v>
      </c>
      <c r="DY617" s="2018"/>
      <c r="DZ617" s="2018"/>
      <c r="EA617" s="2018"/>
      <c r="EB617" s="1868"/>
      <c r="EC617" s="1867" t="str">
        <f t="shared" si="17"/>
        <v xml:space="preserve"> </v>
      </c>
      <c r="ED617" s="2018"/>
      <c r="EE617" s="2018"/>
      <c r="EF617" s="2018"/>
      <c r="EG617" s="1868"/>
      <c r="EH617" s="1867">
        <f t="shared" si="18"/>
        <v>873</v>
      </c>
      <c r="EI617" s="2018"/>
      <c r="EJ617" s="2018"/>
      <c r="EK617" s="2018"/>
      <c r="EL617" s="1868"/>
      <c r="EM617" s="1867" t="str">
        <f t="shared" si="19"/>
        <v xml:space="preserve"> </v>
      </c>
      <c r="EN617" s="2018"/>
      <c r="EO617" s="2018"/>
      <c r="EP617" s="2018"/>
      <c r="EQ617" s="1868"/>
      <c r="ER617" s="1867" t="str">
        <f t="shared" si="20"/>
        <v xml:space="preserve"> </v>
      </c>
      <c r="ES617" s="2018"/>
      <c r="ET617" s="2018"/>
      <c r="EU617" s="2018"/>
      <c r="EV617" s="1868"/>
      <c r="EW617" s="1867" t="str">
        <f t="shared" si="21"/>
        <v xml:space="preserve"> </v>
      </c>
      <c r="EX617" s="2018"/>
      <c r="EY617" s="2018"/>
      <c r="EZ617" s="2018"/>
      <c r="FA617" s="186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867">
        <f t="shared" si="0"/>
        <v>1</v>
      </c>
      <c r="BF618" s="1868"/>
      <c r="BG618" s="1864">
        <f t="shared" si="1"/>
        <v>4</v>
      </c>
      <c r="BH618" s="1866"/>
      <c r="BI618" s="1867">
        <f t="shared" si="2"/>
        <v>0</v>
      </c>
      <c r="BJ618" s="1868"/>
      <c r="BK618" s="1864">
        <f t="shared" si="3"/>
        <v>0</v>
      </c>
      <c r="BL618" s="1866"/>
      <c r="BM618" s="58"/>
      <c r="BN618" s="1861">
        <f t="shared" si="4"/>
        <v>0</v>
      </c>
      <c r="BO618" s="1862"/>
      <c r="BP618" s="1862"/>
      <c r="BQ618" s="1862"/>
      <c r="BR618" s="1863"/>
      <c r="BS618" s="1860">
        <f t="shared" si="5"/>
        <v>0</v>
      </c>
      <c r="BT618" s="1860"/>
      <c r="BU618" s="1860"/>
      <c r="BV618" s="1860"/>
      <c r="BW618" s="1860"/>
      <c r="BX618" s="1860">
        <f t="shared" si="6"/>
        <v>4</v>
      </c>
      <c r="BY618" s="1860"/>
      <c r="BZ618" s="1860"/>
      <c r="CA618" s="1860"/>
      <c r="CB618" s="1860"/>
      <c r="CC618" s="1860">
        <f t="shared" si="7"/>
        <v>0</v>
      </c>
      <c r="CD618" s="1860"/>
      <c r="CE618" s="1860"/>
      <c r="CF618" s="1860"/>
      <c r="CG618" s="1860"/>
      <c r="CH618" s="1860">
        <f t="shared" si="8"/>
        <v>0</v>
      </c>
      <c r="CI618" s="1860"/>
      <c r="CJ618" s="1860"/>
      <c r="CK618" s="1860"/>
      <c r="CL618" s="1860"/>
      <c r="CM618" s="1860">
        <f t="shared" si="9"/>
        <v>0</v>
      </c>
      <c r="CN618" s="1860"/>
      <c r="CO618" s="1860"/>
      <c r="CP618" s="1860"/>
      <c r="CQ618" s="1860"/>
      <c r="CR618" s="265"/>
      <c r="CS618" s="2229">
        <f t="shared" si="10"/>
        <v>0</v>
      </c>
      <c r="CT618" s="2229"/>
      <c r="CU618" s="2229"/>
      <c r="CV618" s="2229"/>
      <c r="CW618" s="2229"/>
      <c r="CX618" s="2229">
        <f t="shared" si="11"/>
        <v>0</v>
      </c>
      <c r="CY618" s="2229"/>
      <c r="CZ618" s="2229"/>
      <c r="DA618" s="2229"/>
      <c r="DB618" s="2229"/>
      <c r="DC618" s="2229">
        <f t="shared" si="12"/>
        <v>0</v>
      </c>
      <c r="DD618" s="2229"/>
      <c r="DE618" s="2229"/>
      <c r="DF618" s="2229"/>
      <c r="DG618" s="2229"/>
      <c r="DH618" s="2229">
        <f t="shared" si="13"/>
        <v>0</v>
      </c>
      <c r="DI618" s="2229"/>
      <c r="DJ618" s="2229"/>
      <c r="DK618" s="2229"/>
      <c r="DL618" s="2229"/>
      <c r="DM618" s="2229">
        <f t="shared" si="14"/>
        <v>0</v>
      </c>
      <c r="DN618" s="2229"/>
      <c r="DO618" s="2229"/>
      <c r="DP618" s="2229"/>
      <c r="DQ618" s="2229"/>
      <c r="DR618" s="2229">
        <f t="shared" si="15"/>
        <v>0</v>
      </c>
      <c r="DS618" s="2229"/>
      <c r="DT618" s="2229"/>
      <c r="DU618" s="2229"/>
      <c r="DV618" s="2229"/>
      <c r="DX618" s="1867" t="str">
        <f t="shared" si="16"/>
        <v xml:space="preserve"> </v>
      </c>
      <c r="DY618" s="2018"/>
      <c r="DZ618" s="2018"/>
      <c r="EA618" s="2018"/>
      <c r="EB618" s="1868"/>
      <c r="EC618" s="1867" t="str">
        <f t="shared" si="17"/>
        <v xml:space="preserve"> </v>
      </c>
      <c r="ED618" s="2018"/>
      <c r="EE618" s="2018"/>
      <c r="EF618" s="2018"/>
      <c r="EG618" s="1868"/>
      <c r="EH618" s="1867">
        <f t="shared" si="18"/>
        <v>1497</v>
      </c>
      <c r="EI618" s="2018"/>
      <c r="EJ618" s="2018"/>
      <c r="EK618" s="2018"/>
      <c r="EL618" s="1868"/>
      <c r="EM618" s="1867" t="str">
        <f t="shared" si="19"/>
        <v xml:space="preserve"> </v>
      </c>
      <c r="EN618" s="2018"/>
      <c r="EO618" s="2018"/>
      <c r="EP618" s="2018"/>
      <c r="EQ618" s="1868"/>
      <c r="ER618" s="1867" t="str">
        <f t="shared" si="20"/>
        <v xml:space="preserve"> </v>
      </c>
      <c r="ES618" s="2018"/>
      <c r="ET618" s="2018"/>
      <c r="EU618" s="2018"/>
      <c r="EV618" s="1868"/>
      <c r="EW618" s="1867" t="str">
        <f t="shared" si="21"/>
        <v xml:space="preserve"> </v>
      </c>
      <c r="EX618" s="2018"/>
      <c r="EY618" s="2018"/>
      <c r="EZ618" s="2018"/>
      <c r="FA618" s="1868"/>
    </row>
    <row r="619" spans="1:157" s="7" customFormat="1" ht="13.2">
      <c r="A619" s="87" t="s">
        <v>368</v>
      </c>
      <c r="B619" s="12" t="s">
        <v>487</v>
      </c>
      <c r="C619" s="12"/>
      <c r="D619" s="12"/>
      <c r="E619" s="12"/>
      <c r="F619" s="12"/>
      <c r="G619" s="1888">
        <f>C574</f>
        <v>0</v>
      </c>
      <c r="H619" s="1888"/>
      <c r="I619" s="1888"/>
      <c r="J619" s="1888"/>
      <c r="K619" s="1888"/>
      <c r="L619" s="1888"/>
      <c r="M619" s="1888"/>
      <c r="N619" s="1888"/>
      <c r="O619" s="1888"/>
      <c r="P619" s="1888"/>
      <c r="Q619" s="1888"/>
      <c r="R619" s="1888"/>
      <c r="S619" s="12"/>
      <c r="T619" s="87" t="s">
        <v>369</v>
      </c>
      <c r="U619" s="12" t="s">
        <v>487</v>
      </c>
      <c r="V619" s="12"/>
      <c r="W619" s="12"/>
      <c r="X619" s="12"/>
      <c r="Y619" s="12"/>
      <c r="Z619" s="1888">
        <f>C575</f>
        <v>0</v>
      </c>
      <c r="AA619" s="1888"/>
      <c r="AB619" s="1888"/>
      <c r="AC619" s="1888"/>
      <c r="AD619" s="1888"/>
      <c r="AE619" s="1888"/>
      <c r="AF619" s="1888"/>
      <c r="AG619" s="1888"/>
      <c r="AH619" s="1888"/>
      <c r="AI619" s="1888"/>
      <c r="AJ619" s="1888"/>
      <c r="AK619" s="1888"/>
      <c r="AL619" s="12"/>
      <c r="AM619" s="39"/>
      <c r="AN619" s="39"/>
      <c r="AO619" s="39"/>
      <c r="AP619" s="39"/>
      <c r="AQ619" s="39"/>
      <c r="AR619" s="39"/>
      <c r="AS619" s="39"/>
      <c r="AT619" s="39"/>
      <c r="AU619" s="39"/>
      <c r="AV619" s="39"/>
      <c r="AW619" s="39"/>
      <c r="AX619" s="39"/>
      <c r="AY619" s="39"/>
      <c r="AZ619" s="58"/>
      <c r="BA619" s="58"/>
      <c r="BB619" s="58"/>
      <c r="BC619" s="58"/>
      <c r="BD619" s="58"/>
      <c r="BE619" s="1867">
        <f t="shared" si="0"/>
        <v>1</v>
      </c>
      <c r="BF619" s="1868"/>
      <c r="BG619" s="1864">
        <f t="shared" si="1"/>
        <v>9</v>
      </c>
      <c r="BH619" s="1866"/>
      <c r="BI619" s="1867">
        <f t="shared" si="2"/>
        <v>0</v>
      </c>
      <c r="BJ619" s="1868"/>
      <c r="BK619" s="1864">
        <f t="shared" si="3"/>
        <v>0</v>
      </c>
      <c r="BL619" s="1866"/>
      <c r="BM619" s="58"/>
      <c r="BN619" s="1861">
        <f t="shared" si="4"/>
        <v>0</v>
      </c>
      <c r="BO619" s="1862"/>
      <c r="BP619" s="1862"/>
      <c r="BQ619" s="1862"/>
      <c r="BR619" s="1863"/>
      <c r="BS619" s="1860">
        <f t="shared" si="5"/>
        <v>0</v>
      </c>
      <c r="BT619" s="1860"/>
      <c r="BU619" s="1860"/>
      <c r="BV619" s="1860"/>
      <c r="BW619" s="1860"/>
      <c r="BX619" s="1860">
        <f t="shared" si="6"/>
        <v>9</v>
      </c>
      <c r="BY619" s="1860"/>
      <c r="BZ619" s="1860"/>
      <c r="CA619" s="1860"/>
      <c r="CB619" s="1860"/>
      <c r="CC619" s="1860">
        <f t="shared" si="7"/>
        <v>0</v>
      </c>
      <c r="CD619" s="1860"/>
      <c r="CE619" s="1860"/>
      <c r="CF619" s="1860"/>
      <c r="CG619" s="1860"/>
      <c r="CH619" s="1860">
        <f t="shared" si="8"/>
        <v>0</v>
      </c>
      <c r="CI619" s="1860"/>
      <c r="CJ619" s="1860"/>
      <c r="CK619" s="1860"/>
      <c r="CL619" s="1860"/>
      <c r="CM619" s="1860">
        <f t="shared" si="9"/>
        <v>0</v>
      </c>
      <c r="CN619" s="1860"/>
      <c r="CO619" s="1860"/>
      <c r="CP619" s="1860"/>
      <c r="CQ619" s="1860"/>
      <c r="CR619" s="265"/>
      <c r="CS619" s="2229">
        <f t="shared" si="10"/>
        <v>0</v>
      </c>
      <c r="CT619" s="2229"/>
      <c r="CU619" s="2229"/>
      <c r="CV619" s="2229"/>
      <c r="CW619" s="2229"/>
      <c r="CX619" s="2229">
        <f t="shared" si="11"/>
        <v>0</v>
      </c>
      <c r="CY619" s="2229"/>
      <c r="CZ619" s="2229"/>
      <c r="DA619" s="2229"/>
      <c r="DB619" s="2229"/>
      <c r="DC619" s="2229">
        <f t="shared" si="12"/>
        <v>0</v>
      </c>
      <c r="DD619" s="2229"/>
      <c r="DE619" s="2229"/>
      <c r="DF619" s="2229"/>
      <c r="DG619" s="2229"/>
      <c r="DH619" s="2229">
        <f t="shared" si="13"/>
        <v>0</v>
      </c>
      <c r="DI619" s="2229"/>
      <c r="DJ619" s="2229"/>
      <c r="DK619" s="2229"/>
      <c r="DL619" s="2229"/>
      <c r="DM619" s="2229">
        <f t="shared" si="14"/>
        <v>0</v>
      </c>
      <c r="DN619" s="2229"/>
      <c r="DO619" s="2229"/>
      <c r="DP619" s="2229"/>
      <c r="DQ619" s="2229"/>
      <c r="DR619" s="2229">
        <f t="shared" si="15"/>
        <v>0</v>
      </c>
      <c r="DS619" s="2229"/>
      <c r="DT619" s="2229"/>
      <c r="DU619" s="2229"/>
      <c r="DV619" s="2229"/>
      <c r="DX619" s="1867" t="str">
        <f t="shared" si="16"/>
        <v xml:space="preserve"> </v>
      </c>
      <c r="DY619" s="2018"/>
      <c r="DZ619" s="2018"/>
      <c r="EA619" s="2018"/>
      <c r="EB619" s="1868"/>
      <c r="EC619" s="1867" t="str">
        <f t="shared" si="17"/>
        <v xml:space="preserve"> </v>
      </c>
      <c r="ED619" s="2018"/>
      <c r="EE619" s="2018"/>
      <c r="EF619" s="2018"/>
      <c r="EG619" s="1868"/>
      <c r="EH619" s="1867">
        <f t="shared" si="18"/>
        <v>1808</v>
      </c>
      <c r="EI619" s="2018"/>
      <c r="EJ619" s="2018"/>
      <c r="EK619" s="2018"/>
      <c r="EL619" s="1868"/>
      <c r="EM619" s="1867" t="str">
        <f t="shared" si="19"/>
        <v xml:space="preserve"> </v>
      </c>
      <c r="EN619" s="2018"/>
      <c r="EO619" s="2018"/>
      <c r="EP619" s="2018"/>
      <c r="EQ619" s="1868"/>
      <c r="ER619" s="1867" t="str">
        <f t="shared" si="20"/>
        <v xml:space="preserve"> </v>
      </c>
      <c r="ES619" s="2018"/>
      <c r="ET619" s="2018"/>
      <c r="EU619" s="2018"/>
      <c r="EV619" s="1868"/>
      <c r="EW619" s="1867" t="str">
        <f t="shared" si="21"/>
        <v xml:space="preserve"> </v>
      </c>
      <c r="EX619" s="2018"/>
      <c r="EY619" s="2018"/>
      <c r="EZ619" s="2018"/>
      <c r="FA619" s="1868"/>
    </row>
    <row r="620" spans="1:157" s="7" customFormat="1" ht="13.2">
      <c r="A620" s="12"/>
      <c r="B620" s="12" t="s">
        <v>90</v>
      </c>
      <c r="C620" s="12"/>
      <c r="D620" s="12"/>
      <c r="E620" s="12"/>
      <c r="F620" s="12"/>
      <c r="G620" s="1887"/>
      <c r="H620" s="1887"/>
      <c r="I620" s="1887"/>
      <c r="J620" s="1887"/>
      <c r="K620" s="1887"/>
      <c r="L620" s="1887"/>
      <c r="M620" s="1887"/>
      <c r="N620" s="1887"/>
      <c r="O620" s="1887"/>
      <c r="P620" s="1887"/>
      <c r="Q620" s="1887"/>
      <c r="R620" s="1887"/>
      <c r="S620" s="12"/>
      <c r="T620" s="12"/>
      <c r="U620" s="12" t="s">
        <v>90</v>
      </c>
      <c r="V620" s="12"/>
      <c r="W620" s="12"/>
      <c r="X620" s="12"/>
      <c r="Y620" s="12"/>
      <c r="Z620" s="1887"/>
      <c r="AA620" s="1887"/>
      <c r="AB620" s="1887"/>
      <c r="AC620" s="1887"/>
      <c r="AD620" s="1887"/>
      <c r="AE620" s="1887"/>
      <c r="AF620" s="1887"/>
      <c r="AG620" s="1887"/>
      <c r="AH620" s="1887"/>
      <c r="AI620" s="1887"/>
      <c r="AJ620" s="1887"/>
      <c r="AK620" s="1887"/>
      <c r="AL620" s="12"/>
      <c r="AM620" s="39"/>
      <c r="AN620" s="39"/>
      <c r="AO620" s="39"/>
      <c r="AP620" s="39"/>
      <c r="AQ620" s="39"/>
      <c r="AR620" s="39"/>
      <c r="AS620" s="39"/>
      <c r="AT620" s="39"/>
      <c r="AU620" s="39"/>
      <c r="AV620" s="39"/>
      <c r="AW620" s="39"/>
      <c r="AX620" s="39"/>
      <c r="AY620" s="39"/>
      <c r="AZ620" s="58"/>
      <c r="BA620" s="58"/>
      <c r="BB620" s="58"/>
      <c r="BC620" s="58"/>
      <c r="BD620" s="58"/>
      <c r="BE620" s="1867">
        <f t="shared" si="0"/>
        <v>0</v>
      </c>
      <c r="BF620" s="1868"/>
      <c r="BG620" s="1864">
        <f t="shared" si="1"/>
        <v>0</v>
      </c>
      <c r="BH620" s="1866"/>
      <c r="BI620" s="1867">
        <f t="shared" si="2"/>
        <v>0</v>
      </c>
      <c r="BJ620" s="1868"/>
      <c r="BK620" s="1864">
        <f t="shared" si="3"/>
        <v>0</v>
      </c>
      <c r="BL620" s="1866"/>
      <c r="BM620" s="58"/>
      <c r="BN620" s="1861">
        <f t="shared" si="4"/>
        <v>0</v>
      </c>
      <c r="BO620" s="1862"/>
      <c r="BP620" s="1862"/>
      <c r="BQ620" s="1862"/>
      <c r="BR620" s="1863"/>
      <c r="BS620" s="1860">
        <f t="shared" si="5"/>
        <v>0</v>
      </c>
      <c r="BT620" s="1860"/>
      <c r="BU620" s="1860"/>
      <c r="BV620" s="1860"/>
      <c r="BW620" s="1860"/>
      <c r="BX620" s="1860">
        <f t="shared" si="6"/>
        <v>14</v>
      </c>
      <c r="BY620" s="1860"/>
      <c r="BZ620" s="1860"/>
      <c r="CA620" s="1860"/>
      <c r="CB620" s="1860"/>
      <c r="CC620" s="1860">
        <f t="shared" si="7"/>
        <v>0</v>
      </c>
      <c r="CD620" s="1860"/>
      <c r="CE620" s="1860"/>
      <c r="CF620" s="1860"/>
      <c r="CG620" s="1860"/>
      <c r="CH620" s="1860">
        <f t="shared" si="8"/>
        <v>0</v>
      </c>
      <c r="CI620" s="1860"/>
      <c r="CJ620" s="1860"/>
      <c r="CK620" s="1860"/>
      <c r="CL620" s="1860"/>
      <c r="CM620" s="1860">
        <f t="shared" si="9"/>
        <v>0</v>
      </c>
      <c r="CN620" s="1860"/>
      <c r="CO620" s="1860"/>
      <c r="CP620" s="1860"/>
      <c r="CQ620" s="1860"/>
      <c r="CR620" s="265"/>
      <c r="CS620" s="2229">
        <f t="shared" si="10"/>
        <v>0</v>
      </c>
      <c r="CT620" s="2229"/>
      <c r="CU620" s="2229"/>
      <c r="CV620" s="2229"/>
      <c r="CW620" s="2229"/>
      <c r="CX620" s="2229">
        <f t="shared" si="11"/>
        <v>0</v>
      </c>
      <c r="CY620" s="2229"/>
      <c r="CZ620" s="2229"/>
      <c r="DA620" s="2229"/>
      <c r="DB620" s="2229"/>
      <c r="DC620" s="2229">
        <f t="shared" si="12"/>
        <v>0</v>
      </c>
      <c r="DD620" s="2229"/>
      <c r="DE620" s="2229"/>
      <c r="DF620" s="2229"/>
      <c r="DG620" s="2229"/>
      <c r="DH620" s="2229">
        <f t="shared" si="13"/>
        <v>0</v>
      </c>
      <c r="DI620" s="2229"/>
      <c r="DJ620" s="2229"/>
      <c r="DK620" s="2229"/>
      <c r="DL620" s="2229"/>
      <c r="DM620" s="2229">
        <f t="shared" si="14"/>
        <v>0</v>
      </c>
      <c r="DN620" s="2229"/>
      <c r="DO620" s="2229"/>
      <c r="DP620" s="2229"/>
      <c r="DQ620" s="2229"/>
      <c r="DR620" s="2229">
        <f t="shared" si="15"/>
        <v>0</v>
      </c>
      <c r="DS620" s="2229"/>
      <c r="DT620" s="2229"/>
      <c r="DU620" s="2229"/>
      <c r="DV620" s="2229"/>
      <c r="DX620" s="1867" t="str">
        <f t="shared" si="16"/>
        <v xml:space="preserve"> </v>
      </c>
      <c r="DY620" s="2018"/>
      <c r="DZ620" s="2018"/>
      <c r="EA620" s="2018"/>
      <c r="EB620" s="1868"/>
      <c r="EC620" s="1867" t="str">
        <f t="shared" si="17"/>
        <v xml:space="preserve"> </v>
      </c>
      <c r="ED620" s="2018"/>
      <c r="EE620" s="2018"/>
      <c r="EF620" s="2018"/>
      <c r="EG620" s="1868"/>
      <c r="EH620" s="1867">
        <f t="shared" si="18"/>
        <v>2121</v>
      </c>
      <c r="EI620" s="2018"/>
      <c r="EJ620" s="2018"/>
      <c r="EK620" s="2018"/>
      <c r="EL620" s="1868"/>
      <c r="EM620" s="1867" t="str">
        <f t="shared" si="19"/>
        <v xml:space="preserve"> </v>
      </c>
      <c r="EN620" s="2018"/>
      <c r="EO620" s="2018"/>
      <c r="EP620" s="2018"/>
      <c r="EQ620" s="1868"/>
      <c r="ER620" s="1867" t="str">
        <f t="shared" si="20"/>
        <v xml:space="preserve"> </v>
      </c>
      <c r="ES620" s="2018"/>
      <c r="ET620" s="2018"/>
      <c r="EU620" s="2018"/>
      <c r="EV620" s="1868"/>
      <c r="EW620" s="1867" t="str">
        <f t="shared" si="21"/>
        <v xml:space="preserve"> </v>
      </c>
      <c r="EX620" s="2018"/>
      <c r="EY620" s="2018"/>
      <c r="EZ620" s="2018"/>
      <c r="FA620" s="1868"/>
    </row>
    <row r="621" spans="1:157" ht="13.2">
      <c r="B621" s="12" t="s">
        <v>605</v>
      </c>
      <c r="G621" s="1887"/>
      <c r="H621" s="1887"/>
      <c r="I621" s="1887"/>
      <c r="J621" s="1887"/>
      <c r="K621" s="1887"/>
      <c r="L621" s="1887"/>
      <c r="M621" s="1887"/>
      <c r="N621" s="1887"/>
      <c r="O621" s="1887"/>
      <c r="P621" s="1887"/>
      <c r="Q621" s="1887"/>
      <c r="R621" s="1887"/>
      <c r="U621" s="12" t="s">
        <v>605</v>
      </c>
      <c r="Z621" s="1889"/>
      <c r="AA621" s="1889"/>
      <c r="AB621" s="1889"/>
      <c r="AC621" s="1889"/>
      <c r="AD621" s="1889"/>
      <c r="AE621" s="1889"/>
      <c r="AF621" s="1889"/>
      <c r="AG621" s="1889"/>
      <c r="AH621" s="1889"/>
      <c r="AI621" s="1889"/>
      <c r="AJ621" s="1889"/>
      <c r="AK621" s="1889"/>
      <c r="AZ621" s="58"/>
      <c r="BA621" s="58"/>
      <c r="BB621" s="58"/>
      <c r="BC621" s="58"/>
      <c r="BD621" s="58"/>
      <c r="BE621" s="1867">
        <f t="shared" si="0"/>
        <v>0</v>
      </c>
      <c r="BF621" s="1868"/>
      <c r="BG621" s="1864">
        <f t="shared" si="1"/>
        <v>0</v>
      </c>
      <c r="BH621" s="1866"/>
      <c r="BI621" s="1867">
        <f t="shared" si="2"/>
        <v>0</v>
      </c>
      <c r="BJ621" s="1868"/>
      <c r="BK621" s="1864">
        <f t="shared" si="3"/>
        <v>0</v>
      </c>
      <c r="BL621" s="1866"/>
      <c r="BM621" s="58"/>
      <c r="BN621" s="1861">
        <f t="shared" si="4"/>
        <v>0</v>
      </c>
      <c r="BO621" s="1862"/>
      <c r="BP621" s="1862"/>
      <c r="BQ621" s="1862"/>
      <c r="BR621" s="1863"/>
      <c r="BS621" s="1860">
        <f t="shared" si="5"/>
        <v>0</v>
      </c>
      <c r="BT621" s="1860"/>
      <c r="BU621" s="1860"/>
      <c r="BV621" s="1860"/>
      <c r="BW621" s="1860"/>
      <c r="BX621" s="1860">
        <f t="shared" si="6"/>
        <v>0</v>
      </c>
      <c r="BY621" s="1860"/>
      <c r="BZ621" s="1860"/>
      <c r="CA621" s="1860"/>
      <c r="CB621" s="1860"/>
      <c r="CC621" s="1860">
        <f t="shared" si="7"/>
        <v>0</v>
      </c>
      <c r="CD621" s="1860"/>
      <c r="CE621" s="1860"/>
      <c r="CF621" s="1860"/>
      <c r="CG621" s="1860"/>
      <c r="CH621" s="1860">
        <f t="shared" si="8"/>
        <v>0</v>
      </c>
      <c r="CI621" s="1860"/>
      <c r="CJ621" s="1860"/>
      <c r="CK621" s="1860"/>
      <c r="CL621" s="1860"/>
      <c r="CM621" s="1860">
        <f t="shared" si="9"/>
        <v>0</v>
      </c>
      <c r="CN621" s="1860"/>
      <c r="CO621" s="1860"/>
      <c r="CP621" s="1860"/>
      <c r="CQ621" s="1860"/>
      <c r="CR621" s="265"/>
      <c r="CS621" s="2229">
        <f t="shared" si="10"/>
        <v>0</v>
      </c>
      <c r="CT621" s="2229"/>
      <c r="CU621" s="2229"/>
      <c r="CV621" s="2229"/>
      <c r="CW621" s="2229"/>
      <c r="CX621" s="2229">
        <f t="shared" si="11"/>
        <v>0</v>
      </c>
      <c r="CY621" s="2229"/>
      <c r="CZ621" s="2229"/>
      <c r="DA621" s="2229"/>
      <c r="DB621" s="2229"/>
      <c r="DC621" s="2229">
        <f t="shared" si="12"/>
        <v>0</v>
      </c>
      <c r="DD621" s="2229"/>
      <c r="DE621" s="2229"/>
      <c r="DF621" s="2229"/>
      <c r="DG621" s="2229"/>
      <c r="DH621" s="2229">
        <f t="shared" si="13"/>
        <v>0</v>
      </c>
      <c r="DI621" s="2229"/>
      <c r="DJ621" s="2229"/>
      <c r="DK621" s="2229"/>
      <c r="DL621" s="2229"/>
      <c r="DM621" s="2229">
        <f t="shared" si="14"/>
        <v>0</v>
      </c>
      <c r="DN621" s="2229"/>
      <c r="DO621" s="2229"/>
      <c r="DP621" s="2229"/>
      <c r="DQ621" s="2229"/>
      <c r="DR621" s="2229">
        <f t="shared" si="15"/>
        <v>0</v>
      </c>
      <c r="DS621" s="2229"/>
      <c r="DT621" s="2229"/>
      <c r="DU621" s="2229"/>
      <c r="DV621" s="2229"/>
      <c r="DX621" s="1867" t="str">
        <f t="shared" si="16"/>
        <v xml:space="preserve"> </v>
      </c>
      <c r="DY621" s="2018"/>
      <c r="DZ621" s="2018"/>
      <c r="EA621" s="2018"/>
      <c r="EB621" s="1868"/>
      <c r="EC621" s="1867" t="str">
        <f t="shared" si="17"/>
        <v xml:space="preserve"> </v>
      </c>
      <c r="ED621" s="2018"/>
      <c r="EE621" s="2018"/>
      <c r="EF621" s="2018"/>
      <c r="EG621" s="1868"/>
      <c r="EH621" s="1867" t="str">
        <f t="shared" si="18"/>
        <v xml:space="preserve"> </v>
      </c>
      <c r="EI621" s="2018"/>
      <c r="EJ621" s="2018"/>
      <c r="EK621" s="2018"/>
      <c r="EL621" s="1868"/>
      <c r="EM621" s="1867" t="str">
        <f t="shared" si="19"/>
        <v xml:space="preserve"> </v>
      </c>
      <c r="EN621" s="2018"/>
      <c r="EO621" s="2018"/>
      <c r="EP621" s="2018"/>
      <c r="EQ621" s="1868"/>
      <c r="ER621" s="1867" t="str">
        <f t="shared" si="20"/>
        <v xml:space="preserve"> </v>
      </c>
      <c r="ES621" s="2018"/>
      <c r="ET621" s="2018"/>
      <c r="EU621" s="2018"/>
      <c r="EV621" s="1868"/>
      <c r="EW621" s="1867" t="str">
        <f t="shared" si="21"/>
        <v xml:space="preserve"> </v>
      </c>
      <c r="EX621" s="2018"/>
      <c r="EY621" s="2018"/>
      <c r="EZ621" s="2018"/>
      <c r="FA621" s="1868"/>
    </row>
    <row r="622" spans="1:157" ht="13.2">
      <c r="B622" s="12" t="s">
        <v>17</v>
      </c>
      <c r="G622" s="1887"/>
      <c r="H622" s="1887"/>
      <c r="I622" s="1887"/>
      <c r="J622" s="1887"/>
      <c r="K622" s="1887"/>
      <c r="L622" s="1887"/>
      <c r="M622" s="1887"/>
      <c r="N622" s="1887"/>
      <c r="O622" s="1887"/>
      <c r="P622" s="1887"/>
      <c r="Q622" s="1887"/>
      <c r="R622" s="1887"/>
      <c r="U622" s="12" t="s">
        <v>17</v>
      </c>
      <c r="Z622" s="1889"/>
      <c r="AA622" s="1889"/>
      <c r="AB622" s="1889"/>
      <c r="AC622" s="1889"/>
      <c r="AD622" s="1889"/>
      <c r="AE622" s="1889"/>
      <c r="AF622" s="1889"/>
      <c r="AG622" s="1889"/>
      <c r="AH622" s="1889"/>
      <c r="AI622" s="1889"/>
      <c r="AJ622" s="1889"/>
      <c r="AK622" s="1889"/>
      <c r="AZ622" s="58"/>
      <c r="BA622" s="58"/>
      <c r="BB622" s="58"/>
      <c r="BC622" s="58"/>
      <c r="BD622" s="58"/>
      <c r="BE622" s="1867">
        <f t="shared" si="0"/>
        <v>0</v>
      </c>
      <c r="BF622" s="1868"/>
      <c r="BG622" s="1864">
        <f t="shared" si="1"/>
        <v>0</v>
      </c>
      <c r="BH622" s="1866"/>
      <c r="BI622" s="1867">
        <f t="shared" si="2"/>
        <v>0</v>
      </c>
      <c r="BJ622" s="1868"/>
      <c r="BK622" s="1864">
        <f t="shared" si="3"/>
        <v>0</v>
      </c>
      <c r="BL622" s="1866"/>
      <c r="BM622" s="58"/>
      <c r="BN622" s="1861">
        <f t="shared" si="4"/>
        <v>0</v>
      </c>
      <c r="BO622" s="1862"/>
      <c r="BP622" s="1862"/>
      <c r="BQ622" s="1862"/>
      <c r="BR622" s="1863"/>
      <c r="BS622" s="1860">
        <f t="shared" si="5"/>
        <v>0</v>
      </c>
      <c r="BT622" s="1860"/>
      <c r="BU622" s="1860"/>
      <c r="BV622" s="1860"/>
      <c r="BW622" s="1860"/>
      <c r="BX622" s="1860">
        <f t="shared" si="6"/>
        <v>0</v>
      </c>
      <c r="BY622" s="1860"/>
      <c r="BZ622" s="1860"/>
      <c r="CA622" s="1860"/>
      <c r="CB622" s="1860"/>
      <c r="CC622" s="1860">
        <f t="shared" si="7"/>
        <v>0</v>
      </c>
      <c r="CD622" s="1860"/>
      <c r="CE622" s="1860"/>
      <c r="CF622" s="1860"/>
      <c r="CG622" s="1860"/>
      <c r="CH622" s="1860">
        <f t="shared" si="8"/>
        <v>0</v>
      </c>
      <c r="CI622" s="1860"/>
      <c r="CJ622" s="1860"/>
      <c r="CK622" s="1860"/>
      <c r="CL622" s="1860"/>
      <c r="CM622" s="1860">
        <f t="shared" si="9"/>
        <v>0</v>
      </c>
      <c r="CN622" s="1860"/>
      <c r="CO622" s="1860"/>
      <c r="CP622" s="1860"/>
      <c r="CQ622" s="1860"/>
      <c r="CR622" s="265"/>
      <c r="CS622" s="2229">
        <f t="shared" si="10"/>
        <v>0</v>
      </c>
      <c r="CT622" s="2229"/>
      <c r="CU622" s="2229"/>
      <c r="CV622" s="2229"/>
      <c r="CW622" s="2229"/>
      <c r="CX622" s="2229">
        <f t="shared" si="11"/>
        <v>0</v>
      </c>
      <c r="CY622" s="2229"/>
      <c r="CZ622" s="2229"/>
      <c r="DA622" s="2229"/>
      <c r="DB622" s="2229"/>
      <c r="DC622" s="2229">
        <f t="shared" si="12"/>
        <v>0</v>
      </c>
      <c r="DD622" s="2229"/>
      <c r="DE622" s="2229"/>
      <c r="DF622" s="2229"/>
      <c r="DG622" s="2229"/>
      <c r="DH622" s="2229">
        <f t="shared" si="13"/>
        <v>0</v>
      </c>
      <c r="DI622" s="2229"/>
      <c r="DJ622" s="2229"/>
      <c r="DK622" s="2229"/>
      <c r="DL622" s="2229"/>
      <c r="DM622" s="2229">
        <f t="shared" si="14"/>
        <v>0</v>
      </c>
      <c r="DN622" s="2229"/>
      <c r="DO622" s="2229"/>
      <c r="DP622" s="2229"/>
      <c r="DQ622" s="2229"/>
      <c r="DR622" s="2229">
        <f t="shared" si="15"/>
        <v>0</v>
      </c>
      <c r="DS622" s="2229"/>
      <c r="DT622" s="2229"/>
      <c r="DU622" s="2229"/>
      <c r="DV622" s="2229"/>
      <c r="DX622" s="1867" t="str">
        <f t="shared" si="16"/>
        <v xml:space="preserve"> </v>
      </c>
      <c r="DY622" s="2018"/>
      <c r="DZ622" s="2018"/>
      <c r="EA622" s="2018"/>
      <c r="EB622" s="1868"/>
      <c r="EC622" s="1867" t="str">
        <f t="shared" si="17"/>
        <v xml:space="preserve"> </v>
      </c>
      <c r="ED622" s="2018"/>
      <c r="EE622" s="2018"/>
      <c r="EF622" s="2018"/>
      <c r="EG622" s="1868"/>
      <c r="EH622" s="1867" t="str">
        <f t="shared" si="18"/>
        <v xml:space="preserve"> </v>
      </c>
      <c r="EI622" s="2018"/>
      <c r="EJ622" s="2018"/>
      <c r="EK622" s="2018"/>
      <c r="EL622" s="1868"/>
      <c r="EM622" s="1867" t="str">
        <f t="shared" si="19"/>
        <v xml:space="preserve"> </v>
      </c>
      <c r="EN622" s="2018"/>
      <c r="EO622" s="2018"/>
      <c r="EP622" s="2018"/>
      <c r="EQ622" s="1868"/>
      <c r="ER622" s="1867" t="str">
        <f t="shared" si="20"/>
        <v xml:space="preserve"> </v>
      </c>
      <c r="ES622" s="2018"/>
      <c r="ET622" s="2018"/>
      <c r="EU622" s="2018"/>
      <c r="EV622" s="1868"/>
      <c r="EW622" s="1867" t="str">
        <f t="shared" si="21"/>
        <v xml:space="preserve"> </v>
      </c>
      <c r="EX622" s="2018"/>
      <c r="EY622" s="2018"/>
      <c r="EZ622" s="2018"/>
      <c r="FA622" s="1868"/>
    </row>
    <row r="623" spans="1:157" ht="13.2">
      <c r="B623" s="12" t="s">
        <v>321</v>
      </c>
      <c r="G623" s="1912"/>
      <c r="H623" s="1912"/>
      <c r="I623" s="1912"/>
      <c r="J623" s="1912"/>
      <c r="K623" s="1912"/>
      <c r="L623" s="1912"/>
      <c r="O623" s="137" t="s">
        <v>211</v>
      </c>
      <c r="P623" s="1878"/>
      <c r="Q623" s="1878"/>
      <c r="R623" s="1878"/>
      <c r="U623" s="12" t="s">
        <v>321</v>
      </c>
      <c r="Z623" s="1912"/>
      <c r="AA623" s="1912"/>
      <c r="AB623" s="1912"/>
      <c r="AC623" s="1912"/>
      <c r="AD623" s="1912"/>
      <c r="AE623" s="1912"/>
      <c r="AH623" s="137" t="s">
        <v>211</v>
      </c>
      <c r="AI623" s="1878"/>
      <c r="AJ623" s="1878"/>
      <c r="AK623" s="1878"/>
      <c r="AZ623" s="58"/>
      <c r="BA623" s="58"/>
      <c r="BB623" s="58"/>
      <c r="BC623" s="58"/>
      <c r="BD623" s="58"/>
      <c r="BE623" s="1867">
        <f t="shared" si="0"/>
        <v>0</v>
      </c>
      <c r="BF623" s="1868"/>
      <c r="BG623" s="1864">
        <f t="shared" si="1"/>
        <v>0</v>
      </c>
      <c r="BH623" s="1866"/>
      <c r="BI623" s="1867">
        <f t="shared" si="2"/>
        <v>0</v>
      </c>
      <c r="BJ623" s="1868"/>
      <c r="BK623" s="1864">
        <f t="shared" si="3"/>
        <v>0</v>
      </c>
      <c r="BL623" s="1866"/>
      <c r="BM623" s="58"/>
      <c r="BN623" s="1861">
        <f t="shared" si="4"/>
        <v>0</v>
      </c>
      <c r="BO623" s="1862"/>
      <c r="BP623" s="1862"/>
      <c r="BQ623" s="1862"/>
      <c r="BR623" s="1863"/>
      <c r="BS623" s="1860">
        <f t="shared" si="5"/>
        <v>0</v>
      </c>
      <c r="BT623" s="1860"/>
      <c r="BU623" s="1860"/>
      <c r="BV623" s="1860"/>
      <c r="BW623" s="1860"/>
      <c r="BX623" s="1860">
        <f t="shared" si="6"/>
        <v>0</v>
      </c>
      <c r="BY623" s="1860"/>
      <c r="BZ623" s="1860"/>
      <c r="CA623" s="1860"/>
      <c r="CB623" s="1860"/>
      <c r="CC623" s="1860">
        <f t="shared" si="7"/>
        <v>0</v>
      </c>
      <c r="CD623" s="1860"/>
      <c r="CE623" s="1860"/>
      <c r="CF623" s="1860"/>
      <c r="CG623" s="1860"/>
      <c r="CH623" s="1860">
        <f t="shared" si="8"/>
        <v>0</v>
      </c>
      <c r="CI623" s="1860"/>
      <c r="CJ623" s="1860"/>
      <c r="CK623" s="1860"/>
      <c r="CL623" s="1860"/>
      <c r="CM623" s="1860">
        <f t="shared" si="9"/>
        <v>0</v>
      </c>
      <c r="CN623" s="1860"/>
      <c r="CO623" s="1860"/>
      <c r="CP623" s="1860"/>
      <c r="CQ623" s="1860"/>
      <c r="CR623" s="265"/>
      <c r="CS623" s="2229">
        <f t="shared" si="10"/>
        <v>0</v>
      </c>
      <c r="CT623" s="2229"/>
      <c r="CU623" s="2229"/>
      <c r="CV623" s="2229"/>
      <c r="CW623" s="2229"/>
      <c r="CX623" s="2229">
        <f t="shared" si="11"/>
        <v>0</v>
      </c>
      <c r="CY623" s="2229"/>
      <c r="CZ623" s="2229"/>
      <c r="DA623" s="2229"/>
      <c r="DB623" s="2229"/>
      <c r="DC623" s="2229">
        <f t="shared" si="12"/>
        <v>0</v>
      </c>
      <c r="DD623" s="2229"/>
      <c r="DE623" s="2229"/>
      <c r="DF623" s="2229"/>
      <c r="DG623" s="2229"/>
      <c r="DH623" s="2229">
        <f t="shared" si="13"/>
        <v>0</v>
      </c>
      <c r="DI623" s="2229"/>
      <c r="DJ623" s="2229"/>
      <c r="DK623" s="2229"/>
      <c r="DL623" s="2229"/>
      <c r="DM623" s="2229">
        <f t="shared" si="14"/>
        <v>0</v>
      </c>
      <c r="DN623" s="2229"/>
      <c r="DO623" s="2229"/>
      <c r="DP623" s="2229"/>
      <c r="DQ623" s="2229"/>
      <c r="DR623" s="2229">
        <f t="shared" si="15"/>
        <v>0</v>
      </c>
      <c r="DS623" s="2229"/>
      <c r="DT623" s="2229"/>
      <c r="DU623" s="2229"/>
      <c r="DV623" s="2229"/>
      <c r="DX623" s="1867" t="str">
        <f t="shared" si="16"/>
        <v xml:space="preserve"> </v>
      </c>
      <c r="DY623" s="2018"/>
      <c r="DZ623" s="2018"/>
      <c r="EA623" s="2018"/>
      <c r="EB623" s="1868"/>
      <c r="EC623" s="1867" t="str">
        <f t="shared" si="17"/>
        <v xml:space="preserve"> </v>
      </c>
      <c r="ED623" s="2018"/>
      <c r="EE623" s="2018"/>
      <c r="EF623" s="2018"/>
      <c r="EG623" s="1868"/>
      <c r="EH623" s="1867" t="str">
        <f t="shared" si="18"/>
        <v xml:space="preserve"> </v>
      </c>
      <c r="EI623" s="2018"/>
      <c r="EJ623" s="2018"/>
      <c r="EK623" s="2018"/>
      <c r="EL623" s="1868"/>
      <c r="EM623" s="1867" t="str">
        <f t="shared" si="19"/>
        <v xml:space="preserve"> </v>
      </c>
      <c r="EN623" s="2018"/>
      <c r="EO623" s="2018"/>
      <c r="EP623" s="2018"/>
      <c r="EQ623" s="1868"/>
      <c r="ER623" s="1867" t="str">
        <f t="shared" si="20"/>
        <v xml:space="preserve"> </v>
      </c>
      <c r="ES623" s="2018"/>
      <c r="ET623" s="2018"/>
      <c r="EU623" s="2018"/>
      <c r="EV623" s="1868"/>
      <c r="EW623" s="1867" t="str">
        <f t="shared" si="21"/>
        <v xml:space="preserve"> </v>
      </c>
      <c r="EX623" s="2018"/>
      <c r="EY623" s="2018"/>
      <c r="EZ623" s="2018"/>
      <c r="FA623" s="1868"/>
    </row>
    <row r="624" spans="1:157" ht="13.2">
      <c r="B624" s="12" t="s">
        <v>18</v>
      </c>
      <c r="H624" s="1887"/>
      <c r="I624" s="1887"/>
      <c r="J624" s="1887"/>
      <c r="K624" s="1887"/>
      <c r="L624" s="1887"/>
      <c r="M624" s="1887"/>
      <c r="N624" s="1887"/>
      <c r="O624" s="1887"/>
      <c r="P624" s="1887"/>
      <c r="Q624" s="1887"/>
      <c r="R624" s="1887"/>
      <c r="U624" s="12" t="s">
        <v>18</v>
      </c>
      <c r="AA624" s="1887"/>
      <c r="AB624" s="1887"/>
      <c r="AC624" s="1887"/>
      <c r="AD624" s="1887"/>
      <c r="AE624" s="1887"/>
      <c r="AF624" s="1887"/>
      <c r="AG624" s="1887"/>
      <c r="AH624" s="1887"/>
      <c r="AI624" s="1887"/>
      <c r="AJ624" s="1887"/>
      <c r="AK624" s="1887"/>
      <c r="AZ624" s="58"/>
      <c r="BA624" s="58"/>
      <c r="BB624" s="58"/>
      <c r="BC624" s="58"/>
      <c r="BD624" s="58"/>
      <c r="BE624" s="1867">
        <f t="shared" si="0"/>
        <v>0</v>
      </c>
      <c r="BF624" s="1868"/>
      <c r="BG624" s="1864">
        <f t="shared" si="1"/>
        <v>0</v>
      </c>
      <c r="BH624" s="1866"/>
      <c r="BI624" s="1867">
        <f t="shared" si="2"/>
        <v>0</v>
      </c>
      <c r="BJ624" s="1868"/>
      <c r="BK624" s="1864">
        <f t="shared" si="3"/>
        <v>0</v>
      </c>
      <c r="BL624" s="1866"/>
      <c r="BM624" s="58"/>
      <c r="BN624" s="1861">
        <f t="shared" si="4"/>
        <v>0</v>
      </c>
      <c r="BO624" s="1862"/>
      <c r="BP624" s="1862"/>
      <c r="BQ624" s="1862"/>
      <c r="BR624" s="1863"/>
      <c r="BS624" s="1860">
        <f t="shared" si="5"/>
        <v>0</v>
      </c>
      <c r="BT624" s="1860"/>
      <c r="BU624" s="1860"/>
      <c r="BV624" s="1860"/>
      <c r="BW624" s="1860"/>
      <c r="BX624" s="1860">
        <f t="shared" si="6"/>
        <v>0</v>
      </c>
      <c r="BY624" s="1860"/>
      <c r="BZ624" s="1860"/>
      <c r="CA624" s="1860"/>
      <c r="CB624" s="1860"/>
      <c r="CC624" s="1860">
        <f t="shared" si="7"/>
        <v>0</v>
      </c>
      <c r="CD624" s="1860"/>
      <c r="CE624" s="1860"/>
      <c r="CF624" s="1860"/>
      <c r="CG624" s="1860"/>
      <c r="CH624" s="1860">
        <f t="shared" si="8"/>
        <v>0</v>
      </c>
      <c r="CI624" s="1860"/>
      <c r="CJ624" s="1860"/>
      <c r="CK624" s="1860"/>
      <c r="CL624" s="1860"/>
      <c r="CM624" s="1860">
        <f t="shared" si="9"/>
        <v>0</v>
      </c>
      <c r="CN624" s="1860"/>
      <c r="CO624" s="1860"/>
      <c r="CP624" s="1860"/>
      <c r="CQ624" s="1860"/>
      <c r="CR624" s="265"/>
      <c r="CS624" s="2229">
        <f t="shared" si="10"/>
        <v>0</v>
      </c>
      <c r="CT624" s="2229"/>
      <c r="CU624" s="2229"/>
      <c r="CV624" s="2229"/>
      <c r="CW624" s="2229"/>
      <c r="CX624" s="2229">
        <f t="shared" si="11"/>
        <v>0</v>
      </c>
      <c r="CY624" s="2229"/>
      <c r="CZ624" s="2229"/>
      <c r="DA624" s="2229"/>
      <c r="DB624" s="2229"/>
      <c r="DC624" s="2229">
        <f t="shared" si="12"/>
        <v>0</v>
      </c>
      <c r="DD624" s="2229"/>
      <c r="DE624" s="2229"/>
      <c r="DF624" s="2229"/>
      <c r="DG624" s="2229"/>
      <c r="DH624" s="2229">
        <f t="shared" si="13"/>
        <v>0</v>
      </c>
      <c r="DI624" s="2229"/>
      <c r="DJ624" s="2229"/>
      <c r="DK624" s="2229"/>
      <c r="DL624" s="2229"/>
      <c r="DM624" s="2229">
        <f t="shared" si="14"/>
        <v>0</v>
      </c>
      <c r="DN624" s="2229"/>
      <c r="DO624" s="2229"/>
      <c r="DP624" s="2229"/>
      <c r="DQ624" s="2229"/>
      <c r="DR624" s="2229">
        <f t="shared" si="15"/>
        <v>0</v>
      </c>
      <c r="DS624" s="2229"/>
      <c r="DT624" s="2229"/>
      <c r="DU624" s="2229"/>
      <c r="DV624" s="2229"/>
      <c r="DX624" s="1867" t="str">
        <f t="shared" si="16"/>
        <v xml:space="preserve"> </v>
      </c>
      <c r="DY624" s="2018"/>
      <c r="DZ624" s="2018"/>
      <c r="EA624" s="2018"/>
      <c r="EB624" s="1868"/>
      <c r="EC624" s="1867" t="str">
        <f t="shared" si="17"/>
        <v xml:space="preserve"> </v>
      </c>
      <c r="ED624" s="2018"/>
      <c r="EE624" s="2018"/>
      <c r="EF624" s="2018"/>
      <c r="EG624" s="1868"/>
      <c r="EH624" s="1867" t="str">
        <f t="shared" si="18"/>
        <v xml:space="preserve"> </v>
      </c>
      <c r="EI624" s="2018"/>
      <c r="EJ624" s="2018"/>
      <c r="EK624" s="2018"/>
      <c r="EL624" s="1868"/>
      <c r="EM624" s="1867" t="str">
        <f t="shared" si="19"/>
        <v xml:space="preserve"> </v>
      </c>
      <c r="EN624" s="2018"/>
      <c r="EO624" s="2018"/>
      <c r="EP624" s="2018"/>
      <c r="EQ624" s="1868"/>
      <c r="ER624" s="1867" t="str">
        <f t="shared" si="20"/>
        <v xml:space="preserve"> </v>
      </c>
      <c r="ES624" s="2018"/>
      <c r="ET624" s="2018"/>
      <c r="EU624" s="2018"/>
      <c r="EV624" s="1868"/>
      <c r="EW624" s="1867" t="str">
        <f t="shared" si="21"/>
        <v xml:space="preserve"> </v>
      </c>
      <c r="EX624" s="2018"/>
      <c r="EY624" s="2018"/>
      <c r="EZ624" s="2018"/>
      <c r="FA624" s="1868"/>
    </row>
    <row r="625" spans="1:157" ht="13.2">
      <c r="B625" s="12" t="s">
        <v>20</v>
      </c>
      <c r="N625" s="1886" t="s">
        <v>694</v>
      </c>
      <c r="O625" s="1886"/>
      <c r="U625" s="12" t="s">
        <v>20</v>
      </c>
      <c r="AG625" s="1886" t="s">
        <v>694</v>
      </c>
      <c r="AH625" s="1886"/>
      <c r="AZ625" s="58"/>
      <c r="BA625" s="58"/>
      <c r="BB625" s="58"/>
      <c r="BC625" s="58"/>
      <c r="BD625" s="58"/>
      <c r="BE625" s="1867">
        <f t="shared" si="0"/>
        <v>0</v>
      </c>
      <c r="BF625" s="1868"/>
      <c r="BG625" s="1864">
        <f t="shared" si="1"/>
        <v>0</v>
      </c>
      <c r="BH625" s="1866"/>
      <c r="BI625" s="1867">
        <f t="shared" si="2"/>
        <v>0</v>
      </c>
      <c r="BJ625" s="1868"/>
      <c r="BK625" s="1864">
        <f t="shared" si="3"/>
        <v>0</v>
      </c>
      <c r="BL625" s="1866"/>
      <c r="BM625" s="58"/>
      <c r="BN625" s="1861">
        <f t="shared" si="4"/>
        <v>0</v>
      </c>
      <c r="BO625" s="1862"/>
      <c r="BP625" s="1862"/>
      <c r="BQ625" s="1862"/>
      <c r="BR625" s="1863"/>
      <c r="BS625" s="1860">
        <f t="shared" si="5"/>
        <v>0</v>
      </c>
      <c r="BT625" s="1860"/>
      <c r="BU625" s="1860"/>
      <c r="BV625" s="1860"/>
      <c r="BW625" s="1860"/>
      <c r="BX625" s="1860">
        <f t="shared" si="6"/>
        <v>0</v>
      </c>
      <c r="BY625" s="1860"/>
      <c r="BZ625" s="1860"/>
      <c r="CA625" s="1860"/>
      <c r="CB625" s="1860"/>
      <c r="CC625" s="1860">
        <f t="shared" si="7"/>
        <v>0</v>
      </c>
      <c r="CD625" s="1860"/>
      <c r="CE625" s="1860"/>
      <c r="CF625" s="1860"/>
      <c r="CG625" s="1860"/>
      <c r="CH625" s="1860">
        <f t="shared" si="8"/>
        <v>0</v>
      </c>
      <c r="CI625" s="1860"/>
      <c r="CJ625" s="1860"/>
      <c r="CK625" s="1860"/>
      <c r="CL625" s="1860"/>
      <c r="CM625" s="1860">
        <f t="shared" si="9"/>
        <v>0</v>
      </c>
      <c r="CN625" s="1860"/>
      <c r="CO625" s="1860"/>
      <c r="CP625" s="1860"/>
      <c r="CQ625" s="1860"/>
      <c r="CR625" s="265"/>
      <c r="CS625" s="2229">
        <f t="shared" si="10"/>
        <v>0</v>
      </c>
      <c r="CT625" s="2229"/>
      <c r="CU625" s="2229"/>
      <c r="CV625" s="2229"/>
      <c r="CW625" s="2229"/>
      <c r="CX625" s="2229">
        <f t="shared" si="11"/>
        <v>0</v>
      </c>
      <c r="CY625" s="2229"/>
      <c r="CZ625" s="2229"/>
      <c r="DA625" s="2229"/>
      <c r="DB625" s="2229"/>
      <c r="DC625" s="2229">
        <f t="shared" si="12"/>
        <v>0</v>
      </c>
      <c r="DD625" s="2229"/>
      <c r="DE625" s="2229"/>
      <c r="DF625" s="2229"/>
      <c r="DG625" s="2229"/>
      <c r="DH625" s="2229">
        <f t="shared" si="13"/>
        <v>0</v>
      </c>
      <c r="DI625" s="2229"/>
      <c r="DJ625" s="2229"/>
      <c r="DK625" s="2229"/>
      <c r="DL625" s="2229"/>
      <c r="DM625" s="2229">
        <f t="shared" si="14"/>
        <v>0</v>
      </c>
      <c r="DN625" s="2229"/>
      <c r="DO625" s="2229"/>
      <c r="DP625" s="2229"/>
      <c r="DQ625" s="2229"/>
      <c r="DR625" s="2229">
        <f t="shared" si="15"/>
        <v>0</v>
      </c>
      <c r="DS625" s="2229"/>
      <c r="DT625" s="2229"/>
      <c r="DU625" s="2229"/>
      <c r="DV625" s="2229"/>
      <c r="DX625" s="1867" t="str">
        <f t="shared" si="16"/>
        <v xml:space="preserve"> </v>
      </c>
      <c r="DY625" s="2018"/>
      <c r="DZ625" s="2018"/>
      <c r="EA625" s="2018"/>
      <c r="EB625" s="1868"/>
      <c r="EC625" s="1867" t="str">
        <f t="shared" si="17"/>
        <v xml:space="preserve"> </v>
      </c>
      <c r="ED625" s="2018"/>
      <c r="EE625" s="2018"/>
      <c r="EF625" s="2018"/>
      <c r="EG625" s="1868"/>
      <c r="EH625" s="1867" t="str">
        <f t="shared" si="18"/>
        <v xml:space="preserve"> </v>
      </c>
      <c r="EI625" s="2018"/>
      <c r="EJ625" s="2018"/>
      <c r="EK625" s="2018"/>
      <c r="EL625" s="1868"/>
      <c r="EM625" s="1867" t="str">
        <f t="shared" si="19"/>
        <v xml:space="preserve"> </v>
      </c>
      <c r="EN625" s="2018"/>
      <c r="EO625" s="2018"/>
      <c r="EP625" s="2018"/>
      <c r="EQ625" s="1868"/>
      <c r="ER625" s="1867" t="str">
        <f t="shared" si="20"/>
        <v xml:space="preserve"> </v>
      </c>
      <c r="ES625" s="2018"/>
      <c r="ET625" s="2018"/>
      <c r="EU625" s="2018"/>
      <c r="EV625" s="1868"/>
      <c r="EW625" s="1867" t="str">
        <f t="shared" si="21"/>
        <v xml:space="preserve"> </v>
      </c>
      <c r="EX625" s="2018"/>
      <c r="EY625" s="2018"/>
      <c r="EZ625" s="2018"/>
      <c r="FA625" s="1868"/>
    </row>
    <row r="626" spans="1:157" ht="13.2">
      <c r="AZ626" s="58"/>
      <c r="BA626" s="58"/>
      <c r="BB626" s="58"/>
      <c r="BC626" s="58"/>
      <c r="BD626" s="58"/>
      <c r="BE626" s="1867">
        <f t="shared" si="0"/>
        <v>0</v>
      </c>
      <c r="BF626" s="1868"/>
      <c r="BG626" s="1864">
        <f t="shared" si="1"/>
        <v>0</v>
      </c>
      <c r="BH626" s="1866"/>
      <c r="BI626" s="1867">
        <f t="shared" si="2"/>
        <v>0</v>
      </c>
      <c r="BJ626" s="1868"/>
      <c r="BK626" s="1864">
        <f t="shared" si="3"/>
        <v>0</v>
      </c>
      <c r="BL626" s="1866"/>
      <c r="BM626" s="58"/>
      <c r="BN626" s="1861">
        <f t="shared" si="4"/>
        <v>0</v>
      </c>
      <c r="BO626" s="1862"/>
      <c r="BP626" s="1862"/>
      <c r="BQ626" s="1862"/>
      <c r="BR626" s="1863"/>
      <c r="BS626" s="1860">
        <f t="shared" si="5"/>
        <v>0</v>
      </c>
      <c r="BT626" s="1860"/>
      <c r="BU626" s="1860"/>
      <c r="BV626" s="1860"/>
      <c r="BW626" s="1860"/>
      <c r="BX626" s="1860">
        <f t="shared" si="6"/>
        <v>0</v>
      </c>
      <c r="BY626" s="1860"/>
      <c r="BZ626" s="1860"/>
      <c r="CA626" s="1860"/>
      <c r="CB626" s="1860"/>
      <c r="CC626" s="1860">
        <f t="shared" si="7"/>
        <v>0</v>
      </c>
      <c r="CD626" s="1860"/>
      <c r="CE626" s="1860"/>
      <c r="CF626" s="1860"/>
      <c r="CG626" s="1860"/>
      <c r="CH626" s="1860">
        <f t="shared" si="8"/>
        <v>0</v>
      </c>
      <c r="CI626" s="1860"/>
      <c r="CJ626" s="1860"/>
      <c r="CK626" s="1860"/>
      <c r="CL626" s="1860"/>
      <c r="CM626" s="1860">
        <f t="shared" si="9"/>
        <v>0</v>
      </c>
      <c r="CN626" s="1860"/>
      <c r="CO626" s="1860"/>
      <c r="CP626" s="1860"/>
      <c r="CQ626" s="1860"/>
      <c r="CR626" s="265"/>
      <c r="CS626" s="2229">
        <f t="shared" si="10"/>
        <v>0</v>
      </c>
      <c r="CT626" s="2229"/>
      <c r="CU626" s="2229"/>
      <c r="CV626" s="2229"/>
      <c r="CW626" s="2229"/>
      <c r="CX626" s="2229">
        <f t="shared" si="11"/>
        <v>0</v>
      </c>
      <c r="CY626" s="2229"/>
      <c r="CZ626" s="2229"/>
      <c r="DA626" s="2229"/>
      <c r="DB626" s="2229"/>
      <c r="DC626" s="2229">
        <f t="shared" si="12"/>
        <v>0</v>
      </c>
      <c r="DD626" s="2229"/>
      <c r="DE626" s="2229"/>
      <c r="DF626" s="2229"/>
      <c r="DG626" s="2229"/>
      <c r="DH626" s="2229">
        <f t="shared" si="13"/>
        <v>0</v>
      </c>
      <c r="DI626" s="2229"/>
      <c r="DJ626" s="2229"/>
      <c r="DK626" s="2229"/>
      <c r="DL626" s="2229"/>
      <c r="DM626" s="2229">
        <f t="shared" si="14"/>
        <v>0</v>
      </c>
      <c r="DN626" s="2229"/>
      <c r="DO626" s="2229"/>
      <c r="DP626" s="2229"/>
      <c r="DQ626" s="2229"/>
      <c r="DR626" s="2229">
        <f t="shared" si="15"/>
        <v>0</v>
      </c>
      <c r="DS626" s="2229"/>
      <c r="DT626" s="2229"/>
      <c r="DU626" s="2229"/>
      <c r="DV626" s="2229"/>
      <c r="DX626" s="1867" t="str">
        <f t="shared" si="16"/>
        <v xml:space="preserve"> </v>
      </c>
      <c r="DY626" s="2018"/>
      <c r="DZ626" s="2018"/>
      <c r="EA626" s="2018"/>
      <c r="EB626" s="1868"/>
      <c r="EC626" s="1867" t="str">
        <f t="shared" si="17"/>
        <v xml:space="preserve"> </v>
      </c>
      <c r="ED626" s="2018"/>
      <c r="EE626" s="2018"/>
      <c r="EF626" s="2018"/>
      <c r="EG626" s="1868"/>
      <c r="EH626" s="1867" t="str">
        <f t="shared" si="18"/>
        <v xml:space="preserve"> </v>
      </c>
      <c r="EI626" s="2018"/>
      <c r="EJ626" s="2018"/>
      <c r="EK626" s="2018"/>
      <c r="EL626" s="1868"/>
      <c r="EM626" s="1867" t="str">
        <f t="shared" si="19"/>
        <v xml:space="preserve"> </v>
      </c>
      <c r="EN626" s="2018"/>
      <c r="EO626" s="2018"/>
      <c r="EP626" s="2018"/>
      <c r="EQ626" s="1868"/>
      <c r="ER626" s="1867" t="str">
        <f t="shared" si="20"/>
        <v xml:space="preserve"> </v>
      </c>
      <c r="ES626" s="2018"/>
      <c r="ET626" s="2018"/>
      <c r="EU626" s="2018"/>
      <c r="EV626" s="1868"/>
      <c r="EW626" s="1867" t="str">
        <f t="shared" si="21"/>
        <v xml:space="preserve"> </v>
      </c>
      <c r="EX626" s="2018"/>
      <c r="EY626" s="2018"/>
      <c r="EZ626" s="2018"/>
      <c r="FA626" s="1868"/>
    </row>
    <row r="627" spans="1:157" ht="12.75" customHeight="1">
      <c r="A627" s="1717" t="s">
        <v>568</v>
      </c>
      <c r="B627" s="1717"/>
      <c r="C627" s="1717"/>
      <c r="D627" s="1717"/>
      <c r="E627" s="1717"/>
      <c r="F627" s="1717"/>
      <c r="G627" s="1717"/>
      <c r="H627" s="1717"/>
      <c r="I627" s="1717"/>
      <c r="J627" s="1717"/>
      <c r="K627" s="1717"/>
      <c r="L627" s="1717"/>
      <c r="M627" s="1717"/>
      <c r="N627" s="1717"/>
      <c r="O627" s="1717"/>
      <c r="P627" s="1717"/>
      <c r="Q627" s="1717"/>
      <c r="R627" s="1717"/>
      <c r="S627" s="1717"/>
      <c r="T627" s="1717"/>
      <c r="U627" s="1717"/>
      <c r="V627" s="1717"/>
      <c r="W627" s="1717"/>
      <c r="X627" s="1717"/>
      <c r="Y627" s="1717"/>
      <c r="Z627" s="1717"/>
      <c r="AA627" s="1717"/>
      <c r="AB627" s="1717"/>
      <c r="AC627" s="1717"/>
      <c r="AD627" s="1717"/>
      <c r="AE627" s="1717"/>
      <c r="AF627" s="1717"/>
      <c r="AG627" s="1717"/>
      <c r="AH627" s="1717"/>
      <c r="AI627" s="1717"/>
      <c r="AJ627" s="1717"/>
      <c r="AK627" s="1717"/>
      <c r="AL627" s="1717"/>
      <c r="AM627" s="1717"/>
      <c r="AN627" s="1717"/>
      <c r="AO627" s="1717"/>
      <c r="AP627" s="1717"/>
      <c r="AQ627" s="1717"/>
      <c r="AR627" s="1717"/>
      <c r="AS627" s="1717"/>
      <c r="AT627" s="950"/>
      <c r="AU627" s="950"/>
      <c r="AV627" s="950"/>
      <c r="AW627" s="950"/>
      <c r="AX627" s="950"/>
      <c r="AY627" s="950"/>
      <c r="AZ627" s="58"/>
      <c r="BA627" s="58"/>
      <c r="BB627" s="58"/>
      <c r="BC627" s="58"/>
      <c r="BD627" s="58"/>
      <c r="BE627" s="1867">
        <f t="shared" si="0"/>
        <v>0</v>
      </c>
      <c r="BF627" s="1868"/>
      <c r="BG627" s="1864">
        <f t="shared" si="1"/>
        <v>0</v>
      </c>
      <c r="BH627" s="1866"/>
      <c r="BI627" s="1867">
        <f t="shared" si="2"/>
        <v>0</v>
      </c>
      <c r="BJ627" s="1868"/>
      <c r="BK627" s="1864">
        <f t="shared" si="3"/>
        <v>0</v>
      </c>
      <c r="BL627" s="1866"/>
      <c r="BM627" s="58"/>
      <c r="BN627" s="1861">
        <f t="shared" si="4"/>
        <v>0</v>
      </c>
      <c r="BO627" s="1862"/>
      <c r="BP627" s="1862"/>
      <c r="BQ627" s="1862"/>
      <c r="BR627" s="1863"/>
      <c r="BS627" s="1860">
        <f t="shared" si="5"/>
        <v>0</v>
      </c>
      <c r="BT627" s="1860"/>
      <c r="BU627" s="1860"/>
      <c r="BV627" s="1860"/>
      <c r="BW627" s="1860"/>
      <c r="BX627" s="1860">
        <f t="shared" si="6"/>
        <v>0</v>
      </c>
      <c r="BY627" s="1860"/>
      <c r="BZ627" s="1860"/>
      <c r="CA627" s="1860"/>
      <c r="CB627" s="1860"/>
      <c r="CC627" s="1860">
        <f t="shared" si="7"/>
        <v>0</v>
      </c>
      <c r="CD627" s="1860"/>
      <c r="CE627" s="1860"/>
      <c r="CF627" s="1860"/>
      <c r="CG627" s="1860"/>
      <c r="CH627" s="1860">
        <f t="shared" si="8"/>
        <v>0</v>
      </c>
      <c r="CI627" s="1860"/>
      <c r="CJ627" s="1860"/>
      <c r="CK627" s="1860"/>
      <c r="CL627" s="1860"/>
      <c r="CM627" s="1860">
        <f t="shared" si="9"/>
        <v>0</v>
      </c>
      <c r="CN627" s="1860"/>
      <c r="CO627" s="1860"/>
      <c r="CP627" s="1860"/>
      <c r="CQ627" s="1860"/>
      <c r="CR627" s="265"/>
      <c r="CS627" s="2229">
        <f t="shared" si="10"/>
        <v>0</v>
      </c>
      <c r="CT627" s="2229"/>
      <c r="CU627" s="2229"/>
      <c r="CV627" s="2229"/>
      <c r="CW627" s="2229"/>
      <c r="CX627" s="2229">
        <f t="shared" si="11"/>
        <v>0</v>
      </c>
      <c r="CY627" s="2229"/>
      <c r="CZ627" s="2229"/>
      <c r="DA627" s="2229"/>
      <c r="DB627" s="2229"/>
      <c r="DC627" s="2229">
        <f t="shared" si="12"/>
        <v>0</v>
      </c>
      <c r="DD627" s="2229"/>
      <c r="DE627" s="2229"/>
      <c r="DF627" s="2229"/>
      <c r="DG627" s="2229"/>
      <c r="DH627" s="2229">
        <f t="shared" si="13"/>
        <v>0</v>
      </c>
      <c r="DI627" s="2229"/>
      <c r="DJ627" s="2229"/>
      <c r="DK627" s="2229"/>
      <c r="DL627" s="2229"/>
      <c r="DM627" s="2229">
        <f t="shared" si="14"/>
        <v>0</v>
      </c>
      <c r="DN627" s="2229"/>
      <c r="DO627" s="2229"/>
      <c r="DP627" s="2229"/>
      <c r="DQ627" s="2229"/>
      <c r="DR627" s="2229">
        <f t="shared" si="15"/>
        <v>0</v>
      </c>
      <c r="DS627" s="2229"/>
      <c r="DT627" s="2229"/>
      <c r="DU627" s="2229"/>
      <c r="DV627" s="2229"/>
      <c r="DX627" s="1867" t="str">
        <f t="shared" si="16"/>
        <v xml:space="preserve"> </v>
      </c>
      <c r="DY627" s="2018"/>
      <c r="DZ627" s="2018"/>
      <c r="EA627" s="2018"/>
      <c r="EB627" s="1868"/>
      <c r="EC627" s="1867" t="str">
        <f t="shared" si="17"/>
        <v xml:space="preserve"> </v>
      </c>
      <c r="ED627" s="2018"/>
      <c r="EE627" s="2018"/>
      <c r="EF627" s="2018"/>
      <c r="EG627" s="1868"/>
      <c r="EH627" s="1867" t="str">
        <f t="shared" si="18"/>
        <v xml:space="preserve"> </v>
      </c>
      <c r="EI627" s="2018"/>
      <c r="EJ627" s="2018"/>
      <c r="EK627" s="2018"/>
      <c r="EL627" s="1868"/>
      <c r="EM627" s="1867" t="str">
        <f t="shared" si="19"/>
        <v xml:space="preserve"> </v>
      </c>
      <c r="EN627" s="2018"/>
      <c r="EO627" s="2018"/>
      <c r="EP627" s="2018"/>
      <c r="EQ627" s="1868"/>
      <c r="ER627" s="1867" t="str">
        <f t="shared" si="20"/>
        <v xml:space="preserve"> </v>
      </c>
      <c r="ES627" s="2018"/>
      <c r="ET627" s="2018"/>
      <c r="EU627" s="2018"/>
      <c r="EV627" s="1868"/>
      <c r="EW627" s="1867" t="str">
        <f t="shared" si="21"/>
        <v xml:space="preserve"> </v>
      </c>
      <c r="EX627" s="2018"/>
      <c r="EY627" s="2018"/>
      <c r="EZ627" s="2018"/>
      <c r="FA627" s="1868"/>
    </row>
    <row r="628" spans="1:157" ht="13.2">
      <c r="A628" s="1717"/>
      <c r="B628" s="1717"/>
      <c r="C628" s="1717"/>
      <c r="D628" s="1717"/>
      <c r="E628" s="1717"/>
      <c r="F628" s="1717"/>
      <c r="G628" s="1717"/>
      <c r="H628" s="1717"/>
      <c r="I628" s="1717"/>
      <c r="J628" s="1717"/>
      <c r="K628" s="1717"/>
      <c r="L628" s="1717"/>
      <c r="M628" s="1717"/>
      <c r="N628" s="1717"/>
      <c r="O628" s="1717"/>
      <c r="P628" s="1717"/>
      <c r="Q628" s="1717"/>
      <c r="R628" s="1717"/>
      <c r="S628" s="1717"/>
      <c r="T628" s="1717"/>
      <c r="U628" s="1717"/>
      <c r="V628" s="1717"/>
      <c r="W628" s="1717"/>
      <c r="X628" s="1717"/>
      <c r="Y628" s="1717"/>
      <c r="Z628" s="1717"/>
      <c r="AA628" s="1717"/>
      <c r="AB628" s="1717"/>
      <c r="AC628" s="1717"/>
      <c r="AD628" s="1717"/>
      <c r="AE628" s="1717"/>
      <c r="AF628" s="1717"/>
      <c r="AG628" s="1717"/>
      <c r="AH628" s="1717"/>
      <c r="AI628" s="1717"/>
      <c r="AJ628" s="1717"/>
      <c r="AK628" s="1717"/>
      <c r="AL628" s="1717"/>
      <c r="AM628" s="1717"/>
      <c r="AN628" s="1717"/>
      <c r="AO628" s="1717"/>
      <c r="AP628" s="1717"/>
      <c r="AQ628" s="1717"/>
      <c r="AR628" s="1717"/>
      <c r="AS628" s="1717"/>
      <c r="AT628" s="950"/>
      <c r="AU628" s="950"/>
      <c r="AV628" s="950"/>
      <c r="AW628" s="950"/>
      <c r="AX628" s="950"/>
      <c r="AY628" s="950"/>
      <c r="AZ628" s="58"/>
      <c r="BA628" s="58"/>
      <c r="BB628" s="58"/>
      <c r="BC628" s="58"/>
      <c r="BD628" s="58"/>
      <c r="BE628" s="1867">
        <f t="shared" si="0"/>
        <v>0</v>
      </c>
      <c r="BF628" s="1868"/>
      <c r="BG628" s="1864">
        <f t="shared" si="1"/>
        <v>0</v>
      </c>
      <c r="BH628" s="1866"/>
      <c r="BI628" s="1867">
        <f t="shared" si="2"/>
        <v>0</v>
      </c>
      <c r="BJ628" s="1868"/>
      <c r="BK628" s="1864">
        <f t="shared" si="3"/>
        <v>0</v>
      </c>
      <c r="BL628" s="1866"/>
      <c r="BM628" s="58"/>
      <c r="BN628" s="1861">
        <f t="shared" si="4"/>
        <v>0</v>
      </c>
      <c r="BO628" s="1862"/>
      <c r="BP628" s="1862"/>
      <c r="BQ628" s="1862"/>
      <c r="BR628" s="1863"/>
      <c r="BS628" s="1860">
        <f t="shared" si="5"/>
        <v>0</v>
      </c>
      <c r="BT628" s="1860"/>
      <c r="BU628" s="1860"/>
      <c r="BV628" s="1860"/>
      <c r="BW628" s="1860"/>
      <c r="BX628" s="1860">
        <f t="shared" si="6"/>
        <v>0</v>
      </c>
      <c r="BY628" s="1860"/>
      <c r="BZ628" s="1860"/>
      <c r="CA628" s="1860"/>
      <c r="CB628" s="1860"/>
      <c r="CC628" s="1860">
        <f t="shared" si="7"/>
        <v>0</v>
      </c>
      <c r="CD628" s="1860"/>
      <c r="CE628" s="1860"/>
      <c r="CF628" s="1860"/>
      <c r="CG628" s="1860"/>
      <c r="CH628" s="1860">
        <f t="shared" si="8"/>
        <v>0</v>
      </c>
      <c r="CI628" s="1860"/>
      <c r="CJ628" s="1860"/>
      <c r="CK628" s="1860"/>
      <c r="CL628" s="1860"/>
      <c r="CM628" s="1860">
        <f t="shared" si="9"/>
        <v>0</v>
      </c>
      <c r="CN628" s="1860"/>
      <c r="CO628" s="1860"/>
      <c r="CP628" s="1860"/>
      <c r="CQ628" s="1860"/>
      <c r="CR628" s="265"/>
      <c r="CS628" s="2229">
        <f t="shared" si="10"/>
        <v>0</v>
      </c>
      <c r="CT628" s="2229"/>
      <c r="CU628" s="2229"/>
      <c r="CV628" s="2229"/>
      <c r="CW628" s="2229"/>
      <c r="CX628" s="2229">
        <f t="shared" si="11"/>
        <v>0</v>
      </c>
      <c r="CY628" s="2229"/>
      <c r="CZ628" s="2229"/>
      <c r="DA628" s="2229"/>
      <c r="DB628" s="2229"/>
      <c r="DC628" s="2229">
        <f t="shared" si="12"/>
        <v>0</v>
      </c>
      <c r="DD628" s="2229"/>
      <c r="DE628" s="2229"/>
      <c r="DF628" s="2229"/>
      <c r="DG628" s="2229"/>
      <c r="DH628" s="2229">
        <f t="shared" si="13"/>
        <v>0</v>
      </c>
      <c r="DI628" s="2229"/>
      <c r="DJ628" s="2229"/>
      <c r="DK628" s="2229"/>
      <c r="DL628" s="2229"/>
      <c r="DM628" s="2229">
        <f t="shared" si="14"/>
        <v>0</v>
      </c>
      <c r="DN628" s="2229"/>
      <c r="DO628" s="2229"/>
      <c r="DP628" s="2229"/>
      <c r="DQ628" s="2229"/>
      <c r="DR628" s="2229">
        <f t="shared" si="15"/>
        <v>0</v>
      </c>
      <c r="DS628" s="2229"/>
      <c r="DT628" s="2229"/>
      <c r="DU628" s="2229"/>
      <c r="DV628" s="2229"/>
      <c r="DX628" s="1867" t="str">
        <f t="shared" si="16"/>
        <v xml:space="preserve"> </v>
      </c>
      <c r="DY628" s="2018"/>
      <c r="DZ628" s="2018"/>
      <c r="EA628" s="2018"/>
      <c r="EB628" s="1868"/>
      <c r="EC628" s="1867" t="str">
        <f t="shared" si="17"/>
        <v xml:space="preserve"> </v>
      </c>
      <c r="ED628" s="2018"/>
      <c r="EE628" s="2018"/>
      <c r="EF628" s="2018"/>
      <c r="EG628" s="1868"/>
      <c r="EH628" s="1867" t="str">
        <f t="shared" si="18"/>
        <v xml:space="preserve"> </v>
      </c>
      <c r="EI628" s="2018"/>
      <c r="EJ628" s="2018"/>
      <c r="EK628" s="2018"/>
      <c r="EL628" s="1868"/>
      <c r="EM628" s="1867" t="str">
        <f t="shared" si="19"/>
        <v xml:space="preserve"> </v>
      </c>
      <c r="EN628" s="2018"/>
      <c r="EO628" s="2018"/>
      <c r="EP628" s="2018"/>
      <c r="EQ628" s="1868"/>
      <c r="ER628" s="1867" t="str">
        <f t="shared" si="20"/>
        <v xml:space="preserve"> </v>
      </c>
      <c r="ES628" s="2018"/>
      <c r="ET628" s="2018"/>
      <c r="EU628" s="2018"/>
      <c r="EV628" s="1868"/>
      <c r="EW628" s="1867" t="str">
        <f t="shared" si="21"/>
        <v xml:space="preserve"> </v>
      </c>
      <c r="EX628" s="2018"/>
      <c r="EY628" s="2018"/>
      <c r="EZ628" s="2018"/>
      <c r="FA628" s="1868"/>
    </row>
    <row r="629" spans="1:157" ht="13.2">
      <c r="A629" s="25"/>
      <c r="B629" s="25"/>
      <c r="C629" s="25"/>
      <c r="D629" s="25"/>
      <c r="E629" s="25"/>
      <c r="F629" s="25"/>
      <c r="G629" s="3"/>
      <c r="H629" s="25"/>
      <c r="AZ629" s="58"/>
      <c r="BA629" s="58"/>
      <c r="BB629" s="58"/>
      <c r="BC629" s="58"/>
      <c r="BD629" s="58"/>
      <c r="BE629" s="1867">
        <f t="shared" si="0"/>
        <v>0</v>
      </c>
      <c r="BF629" s="1868"/>
      <c r="BG629" s="1864">
        <f t="shared" si="1"/>
        <v>0</v>
      </c>
      <c r="BH629" s="1866"/>
      <c r="BI629" s="1867">
        <f t="shared" si="2"/>
        <v>0</v>
      </c>
      <c r="BJ629" s="1868"/>
      <c r="BK629" s="1864">
        <f t="shared" si="3"/>
        <v>0</v>
      </c>
      <c r="BL629" s="1866"/>
      <c r="BM629" s="58"/>
      <c r="BN629" s="1861">
        <f t="shared" si="4"/>
        <v>0</v>
      </c>
      <c r="BO629" s="1862"/>
      <c r="BP629" s="1862"/>
      <c r="BQ629" s="1862"/>
      <c r="BR629" s="1863"/>
      <c r="BS629" s="1860">
        <f t="shared" si="5"/>
        <v>0</v>
      </c>
      <c r="BT629" s="1860"/>
      <c r="BU629" s="1860"/>
      <c r="BV629" s="1860"/>
      <c r="BW629" s="1860"/>
      <c r="BX629" s="1860">
        <f t="shared" si="6"/>
        <v>0</v>
      </c>
      <c r="BY629" s="1860"/>
      <c r="BZ629" s="1860"/>
      <c r="CA629" s="1860"/>
      <c r="CB629" s="1860"/>
      <c r="CC629" s="1860">
        <f t="shared" si="7"/>
        <v>0</v>
      </c>
      <c r="CD629" s="1860"/>
      <c r="CE629" s="1860"/>
      <c r="CF629" s="1860"/>
      <c r="CG629" s="1860"/>
      <c r="CH629" s="1860">
        <f t="shared" si="8"/>
        <v>0</v>
      </c>
      <c r="CI629" s="1860"/>
      <c r="CJ629" s="1860"/>
      <c r="CK629" s="1860"/>
      <c r="CL629" s="1860"/>
      <c r="CM629" s="1860">
        <f t="shared" si="9"/>
        <v>0</v>
      </c>
      <c r="CN629" s="1860"/>
      <c r="CO629" s="1860"/>
      <c r="CP629" s="1860"/>
      <c r="CQ629" s="1860"/>
      <c r="CR629" s="265"/>
      <c r="CS629" s="2229">
        <f t="shared" si="10"/>
        <v>0</v>
      </c>
      <c r="CT629" s="2229"/>
      <c r="CU629" s="2229"/>
      <c r="CV629" s="2229"/>
      <c r="CW629" s="2229"/>
      <c r="CX629" s="2229">
        <f t="shared" si="11"/>
        <v>0</v>
      </c>
      <c r="CY629" s="2229"/>
      <c r="CZ629" s="2229"/>
      <c r="DA629" s="2229"/>
      <c r="DB629" s="2229"/>
      <c r="DC629" s="2229">
        <f t="shared" si="12"/>
        <v>0</v>
      </c>
      <c r="DD629" s="2229"/>
      <c r="DE629" s="2229"/>
      <c r="DF629" s="2229"/>
      <c r="DG629" s="2229"/>
      <c r="DH629" s="2229">
        <f t="shared" si="13"/>
        <v>0</v>
      </c>
      <c r="DI629" s="2229"/>
      <c r="DJ629" s="2229"/>
      <c r="DK629" s="2229"/>
      <c r="DL629" s="2229"/>
      <c r="DM629" s="2229">
        <f t="shared" si="14"/>
        <v>0</v>
      </c>
      <c r="DN629" s="2229"/>
      <c r="DO629" s="2229"/>
      <c r="DP629" s="2229"/>
      <c r="DQ629" s="2229"/>
      <c r="DR629" s="2229">
        <f t="shared" si="15"/>
        <v>0</v>
      </c>
      <c r="DS629" s="2229"/>
      <c r="DT629" s="2229"/>
      <c r="DU629" s="2229"/>
      <c r="DV629" s="2229"/>
      <c r="DX629" s="1867" t="str">
        <f t="shared" si="16"/>
        <v xml:space="preserve"> </v>
      </c>
      <c r="DY629" s="2018"/>
      <c r="DZ629" s="2018"/>
      <c r="EA629" s="2018"/>
      <c r="EB629" s="1868"/>
      <c r="EC629" s="1867" t="str">
        <f t="shared" si="17"/>
        <v xml:space="preserve"> </v>
      </c>
      <c r="ED629" s="2018"/>
      <c r="EE629" s="2018"/>
      <c r="EF629" s="2018"/>
      <c r="EG629" s="1868"/>
      <c r="EH629" s="1867" t="str">
        <f t="shared" si="18"/>
        <v xml:space="preserve"> </v>
      </c>
      <c r="EI629" s="2018"/>
      <c r="EJ629" s="2018"/>
      <c r="EK629" s="2018"/>
      <c r="EL629" s="1868"/>
      <c r="EM629" s="1867" t="str">
        <f t="shared" si="19"/>
        <v xml:space="preserve"> </v>
      </c>
      <c r="EN629" s="2018"/>
      <c r="EO629" s="2018"/>
      <c r="EP629" s="2018"/>
      <c r="EQ629" s="1868"/>
      <c r="ER629" s="1867" t="str">
        <f t="shared" si="20"/>
        <v xml:space="preserve"> </v>
      </c>
      <c r="ES629" s="2018"/>
      <c r="ET629" s="2018"/>
      <c r="EU629" s="2018"/>
      <c r="EV629" s="1868"/>
      <c r="EW629" s="1867" t="str">
        <f t="shared" si="21"/>
        <v xml:space="preserve"> </v>
      </c>
      <c r="EX629" s="2018"/>
      <c r="EY629" s="2018"/>
      <c r="EZ629" s="2018"/>
      <c r="FA629" s="1868"/>
    </row>
    <row r="630" spans="1:157" ht="13.2">
      <c r="A630" s="50" t="s">
        <v>324</v>
      </c>
      <c r="B630" s="50"/>
      <c r="C630" s="50" t="s">
        <v>21</v>
      </c>
      <c r="AZ630" s="58"/>
      <c r="BA630" s="58"/>
      <c r="BB630" s="58"/>
      <c r="BC630" s="58"/>
      <c r="BD630" s="58"/>
      <c r="BE630" s="1867">
        <f t="shared" si="0"/>
        <v>0</v>
      </c>
      <c r="BF630" s="1868"/>
      <c r="BG630" s="1864">
        <f t="shared" si="1"/>
        <v>0</v>
      </c>
      <c r="BH630" s="1866"/>
      <c r="BI630" s="1867">
        <f t="shared" si="2"/>
        <v>0</v>
      </c>
      <c r="BJ630" s="1868"/>
      <c r="BK630" s="1864">
        <f t="shared" si="3"/>
        <v>0</v>
      </c>
      <c r="BL630" s="1866"/>
      <c r="BM630" s="58"/>
      <c r="BN630" s="1861">
        <f t="shared" si="4"/>
        <v>0</v>
      </c>
      <c r="BO630" s="1862"/>
      <c r="BP630" s="1862"/>
      <c r="BQ630" s="1862"/>
      <c r="BR630" s="1863"/>
      <c r="BS630" s="1860">
        <f t="shared" si="5"/>
        <v>0</v>
      </c>
      <c r="BT630" s="1860"/>
      <c r="BU630" s="1860"/>
      <c r="BV630" s="1860"/>
      <c r="BW630" s="1860"/>
      <c r="BX630" s="1860">
        <f t="shared" si="6"/>
        <v>0</v>
      </c>
      <c r="BY630" s="1860"/>
      <c r="BZ630" s="1860"/>
      <c r="CA630" s="1860"/>
      <c r="CB630" s="1860"/>
      <c r="CC630" s="1860">
        <f t="shared" si="7"/>
        <v>0</v>
      </c>
      <c r="CD630" s="1860"/>
      <c r="CE630" s="1860"/>
      <c r="CF630" s="1860"/>
      <c r="CG630" s="1860"/>
      <c r="CH630" s="1860">
        <f t="shared" si="8"/>
        <v>0</v>
      </c>
      <c r="CI630" s="1860"/>
      <c r="CJ630" s="1860"/>
      <c r="CK630" s="1860"/>
      <c r="CL630" s="1860"/>
      <c r="CM630" s="1860">
        <f t="shared" si="9"/>
        <v>0</v>
      </c>
      <c r="CN630" s="1860"/>
      <c r="CO630" s="1860"/>
      <c r="CP630" s="1860"/>
      <c r="CQ630" s="1860"/>
      <c r="CR630" s="265"/>
      <c r="CS630" s="2229">
        <f t="shared" si="10"/>
        <v>0</v>
      </c>
      <c r="CT630" s="2229"/>
      <c r="CU630" s="2229"/>
      <c r="CV630" s="2229"/>
      <c r="CW630" s="2229"/>
      <c r="CX630" s="2229">
        <f t="shared" si="11"/>
        <v>0</v>
      </c>
      <c r="CY630" s="2229"/>
      <c r="CZ630" s="2229"/>
      <c r="DA630" s="2229"/>
      <c r="DB630" s="2229"/>
      <c r="DC630" s="2229">
        <f t="shared" si="12"/>
        <v>0</v>
      </c>
      <c r="DD630" s="2229"/>
      <c r="DE630" s="2229"/>
      <c r="DF630" s="2229"/>
      <c r="DG630" s="2229"/>
      <c r="DH630" s="2229">
        <f t="shared" si="13"/>
        <v>0</v>
      </c>
      <c r="DI630" s="2229"/>
      <c r="DJ630" s="2229"/>
      <c r="DK630" s="2229"/>
      <c r="DL630" s="2229"/>
      <c r="DM630" s="2229">
        <f t="shared" si="14"/>
        <v>0</v>
      </c>
      <c r="DN630" s="2229"/>
      <c r="DO630" s="2229"/>
      <c r="DP630" s="2229"/>
      <c r="DQ630" s="2229"/>
      <c r="DR630" s="2229">
        <f t="shared" si="15"/>
        <v>0</v>
      </c>
      <c r="DS630" s="2229"/>
      <c r="DT630" s="2229"/>
      <c r="DU630" s="2229"/>
      <c r="DV630" s="2229"/>
      <c r="DX630" s="1867" t="str">
        <f t="shared" si="16"/>
        <v xml:space="preserve"> </v>
      </c>
      <c r="DY630" s="2018"/>
      <c r="DZ630" s="2018"/>
      <c r="EA630" s="2018"/>
      <c r="EB630" s="1868"/>
      <c r="EC630" s="1867" t="str">
        <f t="shared" si="17"/>
        <v xml:space="preserve"> </v>
      </c>
      <c r="ED630" s="2018"/>
      <c r="EE630" s="2018"/>
      <c r="EF630" s="2018"/>
      <c r="EG630" s="1868"/>
      <c r="EH630" s="1867" t="str">
        <f t="shared" si="18"/>
        <v xml:space="preserve"> </v>
      </c>
      <c r="EI630" s="2018"/>
      <c r="EJ630" s="2018"/>
      <c r="EK630" s="2018"/>
      <c r="EL630" s="1868"/>
      <c r="EM630" s="1867" t="str">
        <f t="shared" si="19"/>
        <v xml:space="preserve"> </v>
      </c>
      <c r="EN630" s="2018"/>
      <c r="EO630" s="2018"/>
      <c r="EP630" s="2018"/>
      <c r="EQ630" s="1868"/>
      <c r="ER630" s="1867" t="str">
        <f t="shared" si="20"/>
        <v xml:space="preserve"> </v>
      </c>
      <c r="ES630" s="2018"/>
      <c r="ET630" s="2018"/>
      <c r="EU630" s="2018"/>
      <c r="EV630" s="1868"/>
      <c r="EW630" s="1867" t="str">
        <f t="shared" si="21"/>
        <v xml:space="preserve"> </v>
      </c>
      <c r="EX630" s="2018"/>
      <c r="EY630" s="2018"/>
      <c r="EZ630" s="2018"/>
      <c r="FA630" s="1868"/>
    </row>
    <row r="631" spans="1:157" ht="13.2">
      <c r="A631" s="50"/>
      <c r="B631" s="50"/>
      <c r="C631" s="50"/>
      <c r="AZ631" s="58"/>
      <c r="BA631" s="58"/>
      <c r="BB631" s="58"/>
      <c r="BC631" s="58"/>
      <c r="BD631" s="58"/>
      <c r="BE631" s="1867">
        <f t="shared" si="0"/>
        <v>0</v>
      </c>
      <c r="BF631" s="1868"/>
      <c r="BG631" s="1864">
        <f t="shared" si="1"/>
        <v>0</v>
      </c>
      <c r="BH631" s="1866"/>
      <c r="BI631" s="1867">
        <f t="shared" si="2"/>
        <v>0</v>
      </c>
      <c r="BJ631" s="1868"/>
      <c r="BK631" s="1864">
        <f t="shared" si="3"/>
        <v>0</v>
      </c>
      <c r="BL631" s="1866"/>
      <c r="BM631" s="58"/>
      <c r="BN631" s="1861">
        <f t="shared" si="4"/>
        <v>0</v>
      </c>
      <c r="BO631" s="1862"/>
      <c r="BP631" s="1862"/>
      <c r="BQ631" s="1862"/>
      <c r="BR631" s="1863"/>
      <c r="BS631" s="1860">
        <f t="shared" si="5"/>
        <v>0</v>
      </c>
      <c r="BT631" s="1860"/>
      <c r="BU631" s="1860"/>
      <c r="BV631" s="1860"/>
      <c r="BW631" s="1860"/>
      <c r="BX631" s="1860">
        <f t="shared" si="6"/>
        <v>0</v>
      </c>
      <c r="BY631" s="1860"/>
      <c r="BZ631" s="1860"/>
      <c r="CA631" s="1860"/>
      <c r="CB631" s="1860"/>
      <c r="CC631" s="1860">
        <f t="shared" si="7"/>
        <v>0</v>
      </c>
      <c r="CD631" s="1860"/>
      <c r="CE631" s="1860"/>
      <c r="CF631" s="1860"/>
      <c r="CG631" s="1860"/>
      <c r="CH631" s="1860">
        <f t="shared" si="8"/>
        <v>0</v>
      </c>
      <c r="CI631" s="1860"/>
      <c r="CJ631" s="1860"/>
      <c r="CK631" s="1860"/>
      <c r="CL631" s="1860"/>
      <c r="CM631" s="1860">
        <f t="shared" si="9"/>
        <v>0</v>
      </c>
      <c r="CN631" s="1860"/>
      <c r="CO631" s="1860"/>
      <c r="CP631" s="1860"/>
      <c r="CQ631" s="1860"/>
      <c r="CR631" s="265"/>
      <c r="CS631" s="2229">
        <f t="shared" si="10"/>
        <v>0</v>
      </c>
      <c r="CT631" s="2229"/>
      <c r="CU631" s="2229"/>
      <c r="CV631" s="2229"/>
      <c r="CW631" s="2229"/>
      <c r="CX631" s="2229">
        <f t="shared" si="11"/>
        <v>0</v>
      </c>
      <c r="CY631" s="2229"/>
      <c r="CZ631" s="2229"/>
      <c r="DA631" s="2229"/>
      <c r="DB631" s="2229"/>
      <c r="DC631" s="2229">
        <f t="shared" si="12"/>
        <v>0</v>
      </c>
      <c r="DD631" s="2229"/>
      <c r="DE631" s="2229"/>
      <c r="DF631" s="2229"/>
      <c r="DG631" s="2229"/>
      <c r="DH631" s="2229">
        <f t="shared" si="13"/>
        <v>0</v>
      </c>
      <c r="DI631" s="2229"/>
      <c r="DJ631" s="2229"/>
      <c r="DK631" s="2229"/>
      <c r="DL631" s="2229"/>
      <c r="DM631" s="2229">
        <f t="shared" si="14"/>
        <v>0</v>
      </c>
      <c r="DN631" s="2229"/>
      <c r="DO631" s="2229"/>
      <c r="DP631" s="2229"/>
      <c r="DQ631" s="2229"/>
      <c r="DR631" s="2229">
        <f t="shared" si="15"/>
        <v>0</v>
      </c>
      <c r="DS631" s="2229"/>
      <c r="DT631" s="2229"/>
      <c r="DU631" s="2229"/>
      <c r="DV631" s="2229"/>
      <c r="DX631" s="1867" t="str">
        <f t="shared" si="16"/>
        <v xml:space="preserve"> </v>
      </c>
      <c r="DY631" s="2018"/>
      <c r="DZ631" s="2018"/>
      <c r="EA631" s="2018"/>
      <c r="EB631" s="1868"/>
      <c r="EC631" s="1867" t="str">
        <f t="shared" si="17"/>
        <v xml:space="preserve"> </v>
      </c>
      <c r="ED631" s="2018"/>
      <c r="EE631" s="2018"/>
      <c r="EF631" s="2018"/>
      <c r="EG631" s="1868"/>
      <c r="EH631" s="1867" t="str">
        <f t="shared" si="18"/>
        <v xml:space="preserve"> </v>
      </c>
      <c r="EI631" s="2018"/>
      <c r="EJ631" s="2018"/>
      <c r="EK631" s="2018"/>
      <c r="EL631" s="1868"/>
      <c r="EM631" s="1867" t="str">
        <f t="shared" si="19"/>
        <v xml:space="preserve"> </v>
      </c>
      <c r="EN631" s="2018"/>
      <c r="EO631" s="2018"/>
      <c r="EP631" s="2018"/>
      <c r="EQ631" s="1868"/>
      <c r="ER631" s="1867" t="str">
        <f t="shared" si="20"/>
        <v xml:space="preserve"> </v>
      </c>
      <c r="ES631" s="2018"/>
      <c r="ET631" s="2018"/>
      <c r="EU631" s="2018"/>
      <c r="EV631" s="1868"/>
      <c r="EW631" s="1867" t="str">
        <f t="shared" si="21"/>
        <v xml:space="preserve"> </v>
      </c>
      <c r="EX631" s="2018"/>
      <c r="EY631" s="2018"/>
      <c r="EZ631" s="2018"/>
      <c r="FA631" s="186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867">
        <f t="shared" si="0"/>
        <v>0</v>
      </c>
      <c r="BF632" s="1868"/>
      <c r="BG632" s="1864">
        <f t="shared" si="1"/>
        <v>0</v>
      </c>
      <c r="BH632" s="1866"/>
      <c r="BI632" s="1867">
        <f t="shared" si="2"/>
        <v>0</v>
      </c>
      <c r="BJ632" s="1868"/>
      <c r="BK632" s="1864">
        <f t="shared" si="3"/>
        <v>0</v>
      </c>
      <c r="BL632" s="1866"/>
      <c r="BM632" s="58"/>
      <c r="BN632" s="1861">
        <f t="shared" si="4"/>
        <v>0</v>
      </c>
      <c r="BO632" s="1862"/>
      <c r="BP632" s="1862"/>
      <c r="BQ632" s="1862"/>
      <c r="BR632" s="1863"/>
      <c r="BS632" s="1860">
        <f t="shared" si="5"/>
        <v>0</v>
      </c>
      <c r="BT632" s="1860"/>
      <c r="BU632" s="1860"/>
      <c r="BV632" s="1860"/>
      <c r="BW632" s="1860"/>
      <c r="BX632" s="1860">
        <f t="shared" si="6"/>
        <v>0</v>
      </c>
      <c r="BY632" s="1860"/>
      <c r="BZ632" s="1860"/>
      <c r="CA632" s="1860"/>
      <c r="CB632" s="1860"/>
      <c r="CC632" s="1860">
        <f t="shared" si="7"/>
        <v>0</v>
      </c>
      <c r="CD632" s="1860"/>
      <c r="CE632" s="1860"/>
      <c r="CF632" s="1860"/>
      <c r="CG632" s="1860"/>
      <c r="CH632" s="1860">
        <f t="shared" si="8"/>
        <v>0</v>
      </c>
      <c r="CI632" s="1860"/>
      <c r="CJ632" s="1860"/>
      <c r="CK632" s="1860"/>
      <c r="CL632" s="1860"/>
      <c r="CM632" s="1860">
        <f t="shared" si="9"/>
        <v>0</v>
      </c>
      <c r="CN632" s="1860"/>
      <c r="CO632" s="1860"/>
      <c r="CP632" s="1860"/>
      <c r="CQ632" s="1860"/>
      <c r="CR632" s="265"/>
      <c r="CS632" s="2229">
        <f t="shared" si="10"/>
        <v>0</v>
      </c>
      <c r="CT632" s="2229"/>
      <c r="CU632" s="2229"/>
      <c r="CV632" s="2229"/>
      <c r="CW632" s="2229"/>
      <c r="CX632" s="2229">
        <f t="shared" si="11"/>
        <v>0</v>
      </c>
      <c r="CY632" s="2229"/>
      <c r="CZ632" s="2229"/>
      <c r="DA632" s="2229"/>
      <c r="DB632" s="2229"/>
      <c r="DC632" s="2229">
        <f t="shared" si="12"/>
        <v>0</v>
      </c>
      <c r="DD632" s="2229"/>
      <c r="DE632" s="2229"/>
      <c r="DF632" s="2229"/>
      <c r="DG632" s="2229"/>
      <c r="DH632" s="2229">
        <f t="shared" si="13"/>
        <v>0</v>
      </c>
      <c r="DI632" s="2229"/>
      <c r="DJ632" s="2229"/>
      <c r="DK632" s="2229"/>
      <c r="DL632" s="2229"/>
      <c r="DM632" s="2229">
        <f t="shared" si="14"/>
        <v>0</v>
      </c>
      <c r="DN632" s="2229"/>
      <c r="DO632" s="2229"/>
      <c r="DP632" s="2229"/>
      <c r="DQ632" s="2229"/>
      <c r="DR632" s="2229">
        <f t="shared" si="15"/>
        <v>0</v>
      </c>
      <c r="DS632" s="2229"/>
      <c r="DT632" s="2229"/>
      <c r="DU632" s="2229"/>
      <c r="DV632" s="2229"/>
      <c r="DX632" s="1867" t="str">
        <f t="shared" si="16"/>
        <v xml:space="preserve"> </v>
      </c>
      <c r="DY632" s="2018"/>
      <c r="DZ632" s="2018"/>
      <c r="EA632" s="2018"/>
      <c r="EB632" s="1868"/>
      <c r="EC632" s="1867" t="str">
        <f t="shared" si="17"/>
        <v xml:space="preserve"> </v>
      </c>
      <c r="ED632" s="2018"/>
      <c r="EE632" s="2018"/>
      <c r="EF632" s="2018"/>
      <c r="EG632" s="1868"/>
      <c r="EH632" s="1867" t="str">
        <f t="shared" si="18"/>
        <v xml:space="preserve"> </v>
      </c>
      <c r="EI632" s="2018"/>
      <c r="EJ632" s="2018"/>
      <c r="EK632" s="2018"/>
      <c r="EL632" s="1868"/>
      <c r="EM632" s="1867" t="str">
        <f t="shared" si="19"/>
        <v xml:space="preserve"> </v>
      </c>
      <c r="EN632" s="2018"/>
      <c r="EO632" s="2018"/>
      <c r="EP632" s="2018"/>
      <c r="EQ632" s="1868"/>
      <c r="ER632" s="1867" t="str">
        <f t="shared" si="20"/>
        <v xml:space="preserve"> </v>
      </c>
      <c r="ES632" s="2018"/>
      <c r="ET632" s="2018"/>
      <c r="EU632" s="2018"/>
      <c r="EV632" s="1868"/>
      <c r="EW632" s="1867" t="str">
        <f t="shared" si="21"/>
        <v xml:space="preserve"> </v>
      </c>
      <c r="EX632" s="2018"/>
      <c r="EY632" s="2018"/>
      <c r="EZ632" s="2018"/>
      <c r="FA632" s="1868"/>
    </row>
    <row r="633" spans="1:157" ht="13.2">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867">
        <f t="shared" si="0"/>
        <v>0</v>
      </c>
      <c r="BF633" s="1868"/>
      <c r="BG633" s="1864">
        <f t="shared" si="1"/>
        <v>0</v>
      </c>
      <c r="BH633" s="1866"/>
      <c r="BI633" s="1867">
        <f t="shared" si="2"/>
        <v>0</v>
      </c>
      <c r="BJ633" s="1868"/>
      <c r="BK633" s="1864">
        <f t="shared" si="3"/>
        <v>0</v>
      </c>
      <c r="BL633" s="1866"/>
      <c r="BM633" s="58"/>
      <c r="BN633" s="1861">
        <f t="shared" si="4"/>
        <v>0</v>
      </c>
      <c r="BO633" s="1862"/>
      <c r="BP633" s="1862"/>
      <c r="BQ633" s="1862"/>
      <c r="BR633" s="1863"/>
      <c r="BS633" s="1860">
        <f t="shared" si="5"/>
        <v>0</v>
      </c>
      <c r="BT633" s="1860"/>
      <c r="BU633" s="1860"/>
      <c r="BV633" s="1860"/>
      <c r="BW633" s="1860"/>
      <c r="BX633" s="1860">
        <f t="shared" si="6"/>
        <v>0</v>
      </c>
      <c r="BY633" s="1860"/>
      <c r="BZ633" s="1860"/>
      <c r="CA633" s="1860"/>
      <c r="CB633" s="1860"/>
      <c r="CC633" s="1860">
        <f t="shared" si="7"/>
        <v>0</v>
      </c>
      <c r="CD633" s="1860"/>
      <c r="CE633" s="1860"/>
      <c r="CF633" s="1860"/>
      <c r="CG633" s="1860"/>
      <c r="CH633" s="1860">
        <f t="shared" si="8"/>
        <v>0</v>
      </c>
      <c r="CI633" s="1860"/>
      <c r="CJ633" s="1860"/>
      <c r="CK633" s="1860"/>
      <c r="CL633" s="1860"/>
      <c r="CM633" s="1860">
        <f t="shared" si="9"/>
        <v>0</v>
      </c>
      <c r="CN633" s="1860"/>
      <c r="CO633" s="1860"/>
      <c r="CP633" s="1860"/>
      <c r="CQ633" s="1860"/>
      <c r="CR633" s="265"/>
      <c r="CS633" s="2229">
        <f t="shared" si="10"/>
        <v>0</v>
      </c>
      <c r="CT633" s="2229"/>
      <c r="CU633" s="2229"/>
      <c r="CV633" s="2229"/>
      <c r="CW633" s="2229"/>
      <c r="CX633" s="2229">
        <f t="shared" si="11"/>
        <v>0</v>
      </c>
      <c r="CY633" s="2229"/>
      <c r="CZ633" s="2229"/>
      <c r="DA633" s="2229"/>
      <c r="DB633" s="2229"/>
      <c r="DC633" s="2229">
        <f t="shared" si="12"/>
        <v>0</v>
      </c>
      <c r="DD633" s="2229"/>
      <c r="DE633" s="2229"/>
      <c r="DF633" s="2229"/>
      <c r="DG633" s="2229"/>
      <c r="DH633" s="2229">
        <f t="shared" si="13"/>
        <v>0</v>
      </c>
      <c r="DI633" s="2229"/>
      <c r="DJ633" s="2229"/>
      <c r="DK633" s="2229"/>
      <c r="DL633" s="2229"/>
      <c r="DM633" s="2229">
        <f t="shared" si="14"/>
        <v>0</v>
      </c>
      <c r="DN633" s="2229"/>
      <c r="DO633" s="2229"/>
      <c r="DP633" s="2229"/>
      <c r="DQ633" s="2229"/>
      <c r="DR633" s="2229">
        <f t="shared" si="15"/>
        <v>0</v>
      </c>
      <c r="DS633" s="2229"/>
      <c r="DT633" s="2229"/>
      <c r="DU633" s="2229"/>
      <c r="DV633" s="2229"/>
      <c r="DX633" s="1867" t="str">
        <f t="shared" si="16"/>
        <v xml:space="preserve"> </v>
      </c>
      <c r="DY633" s="2018"/>
      <c r="DZ633" s="2018"/>
      <c r="EA633" s="2018"/>
      <c r="EB633" s="1868"/>
      <c r="EC633" s="1867" t="str">
        <f t="shared" si="17"/>
        <v xml:space="preserve"> </v>
      </c>
      <c r="ED633" s="2018"/>
      <c r="EE633" s="2018"/>
      <c r="EF633" s="2018"/>
      <c r="EG633" s="1868"/>
      <c r="EH633" s="1867" t="str">
        <f t="shared" si="18"/>
        <v xml:space="preserve"> </v>
      </c>
      <c r="EI633" s="2018"/>
      <c r="EJ633" s="2018"/>
      <c r="EK633" s="2018"/>
      <c r="EL633" s="1868"/>
      <c r="EM633" s="1867" t="str">
        <f t="shared" si="19"/>
        <v xml:space="preserve"> </v>
      </c>
      <c r="EN633" s="2018"/>
      <c r="EO633" s="2018"/>
      <c r="EP633" s="2018"/>
      <c r="EQ633" s="1868"/>
      <c r="ER633" s="1867" t="str">
        <f t="shared" si="20"/>
        <v xml:space="preserve"> </v>
      </c>
      <c r="ES633" s="2018"/>
      <c r="ET633" s="2018"/>
      <c r="EU633" s="2018"/>
      <c r="EV633" s="1868"/>
      <c r="EW633" s="1867" t="str">
        <f t="shared" si="21"/>
        <v xml:space="preserve"> </v>
      </c>
      <c r="EX633" s="2018"/>
      <c r="EY633" s="2018"/>
      <c r="EZ633" s="2018"/>
      <c r="FA633" s="1868"/>
    </row>
    <row r="634" spans="1:157" s="1103" customFormat="1" ht="12.75" customHeight="1">
      <c r="B634" s="2230" t="s">
        <v>476</v>
      </c>
      <c r="C634" s="2231"/>
      <c r="D634" s="2231"/>
      <c r="E634" s="2231"/>
      <c r="F634" s="2231"/>
      <c r="G634" s="2231"/>
      <c r="H634" s="2231"/>
      <c r="I634" s="2231"/>
      <c r="J634" s="2231"/>
      <c r="K634" s="2231"/>
      <c r="L634" s="2231"/>
      <c r="M634" s="2231"/>
      <c r="N634" s="2232"/>
      <c r="O634" s="2097" t="s">
        <v>2165</v>
      </c>
      <c r="P634" s="2012"/>
      <c r="Q634" s="2013"/>
      <c r="R634" s="2097" t="s">
        <v>2163</v>
      </c>
      <c r="S634" s="2012"/>
      <c r="T634" s="2013"/>
      <c r="U634" s="2411" t="s">
        <v>477</v>
      </c>
      <c r="V634" s="2411"/>
      <c r="W634" s="2412"/>
      <c r="X634" s="2097" t="s">
        <v>1984</v>
      </c>
      <c r="Y634" s="2012"/>
      <c r="Z634" s="2012"/>
      <c r="AA634" s="2012"/>
      <c r="AB634" s="2013"/>
      <c r="AC634" s="2273" t="s">
        <v>1982</v>
      </c>
      <c r="AD634" s="2274"/>
      <c r="AE634" s="2275"/>
      <c r="AF634" s="2097" t="s">
        <v>2375</v>
      </c>
      <c r="AG634" s="2012"/>
      <c r="AH634" s="2012"/>
      <c r="AI634" s="2012"/>
      <c r="AJ634" s="2013"/>
      <c r="AK634" s="2263" t="s">
        <v>2376</v>
      </c>
      <c r="AL634" s="2264"/>
      <c r="AM634" s="2264"/>
      <c r="AN634" s="2265"/>
      <c r="AO634" s="2225" t="s">
        <v>478</v>
      </c>
      <c r="AP634" s="2225"/>
      <c r="AQ634" s="2225"/>
      <c r="AR634" s="2225"/>
      <c r="AS634" s="2225"/>
      <c r="AT634" s="1104"/>
      <c r="AU634" s="1104"/>
      <c r="AV634" s="1104"/>
      <c r="AW634" s="1104"/>
      <c r="AX634" s="1104"/>
      <c r="AY634" s="1104"/>
      <c r="AZ634" s="181"/>
      <c r="BA634" s="181"/>
      <c r="BB634" s="181"/>
      <c r="BC634" s="181"/>
      <c r="BD634" s="181"/>
      <c r="BE634" s="1867">
        <f t="shared" si="0"/>
        <v>0</v>
      </c>
      <c r="BF634" s="1868"/>
      <c r="BG634" s="1864">
        <f t="shared" si="1"/>
        <v>0</v>
      </c>
      <c r="BH634" s="1866"/>
      <c r="BI634" s="1867">
        <f t="shared" si="2"/>
        <v>0</v>
      </c>
      <c r="BJ634" s="1868"/>
      <c r="BK634" s="1864">
        <f t="shared" si="3"/>
        <v>0</v>
      </c>
      <c r="BL634" s="1866"/>
      <c r="BM634" s="181"/>
      <c r="BN634" s="1861">
        <f t="shared" si="4"/>
        <v>0</v>
      </c>
      <c r="BO634" s="1862"/>
      <c r="BP634" s="1862"/>
      <c r="BQ634" s="1862"/>
      <c r="BR634" s="1863"/>
      <c r="BS634" s="1860">
        <f t="shared" si="5"/>
        <v>0</v>
      </c>
      <c r="BT634" s="1860"/>
      <c r="BU634" s="1860"/>
      <c r="BV634" s="1860"/>
      <c r="BW634" s="1860"/>
      <c r="BX634" s="1860">
        <f t="shared" si="6"/>
        <v>0</v>
      </c>
      <c r="BY634" s="1860"/>
      <c r="BZ634" s="1860"/>
      <c r="CA634" s="1860"/>
      <c r="CB634" s="1860"/>
      <c r="CC634" s="1860">
        <f t="shared" si="7"/>
        <v>0</v>
      </c>
      <c r="CD634" s="1860"/>
      <c r="CE634" s="1860"/>
      <c r="CF634" s="1860"/>
      <c r="CG634" s="1860"/>
      <c r="CH634" s="1860">
        <f t="shared" si="8"/>
        <v>0</v>
      </c>
      <c r="CI634" s="1860"/>
      <c r="CJ634" s="1860"/>
      <c r="CK634" s="1860"/>
      <c r="CL634" s="1860"/>
      <c r="CM634" s="1860">
        <f t="shared" si="9"/>
        <v>0</v>
      </c>
      <c r="CN634" s="1860"/>
      <c r="CO634" s="1860"/>
      <c r="CP634" s="1860"/>
      <c r="CQ634" s="1860"/>
      <c r="CR634" s="265"/>
      <c r="CS634" s="2229">
        <f t="shared" si="10"/>
        <v>0</v>
      </c>
      <c r="CT634" s="2229"/>
      <c r="CU634" s="2229"/>
      <c r="CV634" s="2229"/>
      <c r="CW634" s="2229"/>
      <c r="CX634" s="2229">
        <f t="shared" si="11"/>
        <v>0</v>
      </c>
      <c r="CY634" s="2229"/>
      <c r="CZ634" s="2229"/>
      <c r="DA634" s="2229"/>
      <c r="DB634" s="2229"/>
      <c r="DC634" s="2229">
        <f t="shared" si="12"/>
        <v>0</v>
      </c>
      <c r="DD634" s="2229"/>
      <c r="DE634" s="2229"/>
      <c r="DF634" s="2229"/>
      <c r="DG634" s="2229"/>
      <c r="DH634" s="2229">
        <f t="shared" si="13"/>
        <v>0</v>
      </c>
      <c r="DI634" s="2229"/>
      <c r="DJ634" s="2229"/>
      <c r="DK634" s="2229"/>
      <c r="DL634" s="2229"/>
      <c r="DM634" s="2229">
        <f t="shared" si="14"/>
        <v>0</v>
      </c>
      <c r="DN634" s="2229"/>
      <c r="DO634" s="2229"/>
      <c r="DP634" s="2229"/>
      <c r="DQ634" s="2229"/>
      <c r="DR634" s="2229">
        <f t="shared" si="15"/>
        <v>0</v>
      </c>
      <c r="DS634" s="2229"/>
      <c r="DT634" s="2229"/>
      <c r="DU634" s="2229"/>
      <c r="DV634" s="2229"/>
      <c r="DX634" s="1867" t="str">
        <f t="shared" si="16"/>
        <v xml:space="preserve"> </v>
      </c>
      <c r="DY634" s="2018"/>
      <c r="DZ634" s="2018"/>
      <c r="EA634" s="2018"/>
      <c r="EB634" s="1868"/>
      <c r="EC634" s="1867" t="str">
        <f t="shared" si="17"/>
        <v xml:space="preserve"> </v>
      </c>
      <c r="ED634" s="2018"/>
      <c r="EE634" s="2018"/>
      <c r="EF634" s="2018"/>
      <c r="EG634" s="1868"/>
      <c r="EH634" s="1867" t="str">
        <f t="shared" si="18"/>
        <v xml:space="preserve"> </v>
      </c>
      <c r="EI634" s="2018"/>
      <c r="EJ634" s="2018"/>
      <c r="EK634" s="2018"/>
      <c r="EL634" s="1868"/>
      <c r="EM634" s="1867" t="str">
        <f t="shared" si="19"/>
        <v xml:space="preserve"> </v>
      </c>
      <c r="EN634" s="2018"/>
      <c r="EO634" s="2018"/>
      <c r="EP634" s="2018"/>
      <c r="EQ634" s="1868"/>
      <c r="ER634" s="1867" t="str">
        <f t="shared" si="20"/>
        <v xml:space="preserve"> </v>
      </c>
      <c r="ES634" s="2018"/>
      <c r="ET634" s="2018"/>
      <c r="EU634" s="2018"/>
      <c r="EV634" s="1868"/>
      <c r="EW634" s="1867" t="str">
        <f t="shared" si="21"/>
        <v xml:space="preserve"> </v>
      </c>
      <c r="EX634" s="2018"/>
      <c r="EY634" s="2018"/>
      <c r="EZ634" s="2018"/>
      <c r="FA634" s="1868"/>
    </row>
    <row r="635" spans="1:157" s="1103" customFormat="1" ht="13.2">
      <c r="B635" s="2233"/>
      <c r="C635" s="2069"/>
      <c r="D635" s="2069"/>
      <c r="E635" s="2069"/>
      <c r="F635" s="2069"/>
      <c r="G635" s="2069"/>
      <c r="H635" s="2069"/>
      <c r="I635" s="2069"/>
      <c r="J635" s="2069"/>
      <c r="K635" s="2069"/>
      <c r="L635" s="2069"/>
      <c r="M635" s="2069"/>
      <c r="N635" s="2234"/>
      <c r="O635" s="2098"/>
      <c r="P635" s="2099"/>
      <c r="Q635" s="2100"/>
      <c r="R635" s="2098"/>
      <c r="S635" s="2099"/>
      <c r="T635" s="2100"/>
      <c r="U635" s="2413"/>
      <c r="V635" s="2413"/>
      <c r="W635" s="2414"/>
      <c r="X635" s="2098"/>
      <c r="Y635" s="2099"/>
      <c r="Z635" s="2099"/>
      <c r="AA635" s="2099"/>
      <c r="AB635" s="2100"/>
      <c r="AC635" s="2276"/>
      <c r="AD635" s="2277"/>
      <c r="AE635" s="2278"/>
      <c r="AF635" s="2098"/>
      <c r="AG635" s="2099"/>
      <c r="AH635" s="2099"/>
      <c r="AI635" s="2099"/>
      <c r="AJ635" s="2100"/>
      <c r="AK635" s="2266"/>
      <c r="AL635" s="2267"/>
      <c r="AM635" s="2267"/>
      <c r="AN635" s="2268"/>
      <c r="AO635" s="2225"/>
      <c r="AP635" s="2225"/>
      <c r="AQ635" s="2225"/>
      <c r="AR635" s="2225"/>
      <c r="AS635" s="2225"/>
      <c r="AT635" s="1104"/>
      <c r="AU635" s="1104"/>
      <c r="AV635" s="1104"/>
      <c r="AW635" s="1104"/>
      <c r="AX635" s="1104"/>
      <c r="AY635" s="1104"/>
      <c r="AZ635" s="181"/>
      <c r="BA635" s="181"/>
      <c r="BB635" s="181"/>
      <c r="BC635" s="181"/>
      <c r="BD635" s="181"/>
      <c r="BE635" s="181"/>
      <c r="BF635" s="181"/>
      <c r="BG635" s="1867">
        <f>SUM(BG610:BH634)</f>
        <v>24</v>
      </c>
      <c r="BH635" s="1868"/>
      <c r="BI635" s="181"/>
      <c r="BJ635" s="181"/>
      <c r="BK635" s="1867">
        <f>SUM(BK610:BL634)</f>
        <v>30</v>
      </c>
      <c r="BL635" s="1868"/>
      <c r="BM635" s="181"/>
      <c r="BN635" s="1867">
        <f>SUM(BN610:BR634)</f>
        <v>79</v>
      </c>
      <c r="BO635" s="2018"/>
      <c r="BP635" s="2018"/>
      <c r="BQ635" s="2018"/>
      <c r="BR635" s="1868"/>
      <c r="BS635" s="2019">
        <f>SUM(BS610:BW634)</f>
        <v>0</v>
      </c>
      <c r="BT635" s="2019"/>
      <c r="BU635" s="2019"/>
      <c r="BV635" s="2019"/>
      <c r="BW635" s="2019"/>
      <c r="BX635" s="2019">
        <f>SUM(BX610:CB634)</f>
        <v>31</v>
      </c>
      <c r="BY635" s="2019"/>
      <c r="BZ635" s="2019"/>
      <c r="CA635" s="2019"/>
      <c r="CB635" s="2019"/>
      <c r="CC635" s="2019">
        <f>SUM(CC610:CG634)</f>
        <v>0</v>
      </c>
      <c r="CD635" s="2019"/>
      <c r="CE635" s="2019"/>
      <c r="CF635" s="2019"/>
      <c r="CG635" s="2019"/>
      <c r="CH635" s="2019">
        <f>SUM(CH610:CL634)</f>
        <v>0</v>
      </c>
      <c r="CI635" s="2019"/>
      <c r="CJ635" s="2019"/>
      <c r="CK635" s="2019"/>
      <c r="CL635" s="2019"/>
      <c r="CM635" s="2019">
        <f>SUM(CM610:CQ634)</f>
        <v>0</v>
      </c>
      <c r="CN635" s="2019"/>
      <c r="CO635" s="2019"/>
      <c r="CP635" s="2019"/>
      <c r="CQ635" s="2019"/>
      <c r="CR635" s="689"/>
      <c r="CS635" s="2019">
        <f>SUM(CS610:CW634)</f>
        <v>26</v>
      </c>
      <c r="CT635" s="2019"/>
      <c r="CU635" s="2019"/>
      <c r="CV635" s="2019"/>
      <c r="CW635" s="2019"/>
      <c r="CX635" s="2019">
        <f>SUM(CX610:DB634)</f>
        <v>0</v>
      </c>
      <c r="CY635" s="2019"/>
      <c r="CZ635" s="2019"/>
      <c r="DA635" s="2019"/>
      <c r="DB635" s="2019"/>
      <c r="DC635" s="2019">
        <f>SUM(DC610:DG634)</f>
        <v>4</v>
      </c>
      <c r="DD635" s="2019"/>
      <c r="DE635" s="2019"/>
      <c r="DF635" s="2019"/>
      <c r="DG635" s="2019"/>
      <c r="DH635" s="2019">
        <f>SUM(DH610:DL634)</f>
        <v>0</v>
      </c>
      <c r="DI635" s="2019"/>
      <c r="DJ635" s="2019"/>
      <c r="DK635" s="2019"/>
      <c r="DL635" s="2019"/>
      <c r="DM635" s="2019">
        <f>SUM(DM610:DQ634)</f>
        <v>0</v>
      </c>
      <c r="DN635" s="2019"/>
      <c r="DO635" s="2019"/>
      <c r="DP635" s="2019"/>
      <c r="DQ635" s="2019"/>
      <c r="DR635" s="2019">
        <f>SUM(DR610:DV634)</f>
        <v>0</v>
      </c>
      <c r="DS635" s="2019"/>
      <c r="DT635" s="2019"/>
      <c r="DU635" s="2019"/>
      <c r="DV635" s="2019"/>
      <c r="DX635" s="2019">
        <f>SUM(DX610:EB634)</f>
        <v>6309</v>
      </c>
      <c r="DY635" s="2019"/>
      <c r="DZ635" s="2019"/>
      <c r="EA635" s="2019"/>
      <c r="EB635" s="2019"/>
      <c r="EC635" s="2019">
        <f>SUM(EC610:EG634)</f>
        <v>0</v>
      </c>
      <c r="ED635" s="2019"/>
      <c r="EE635" s="2019"/>
      <c r="EF635" s="2019"/>
      <c r="EG635" s="2019"/>
      <c r="EH635" s="2019">
        <f>SUM(EH610:EL634)</f>
        <v>7172</v>
      </c>
      <c r="EI635" s="2019"/>
      <c r="EJ635" s="2019"/>
      <c r="EK635" s="2019"/>
      <c r="EL635" s="2019"/>
      <c r="EM635" s="2019">
        <f>SUM(EM610:EQ634)</f>
        <v>0</v>
      </c>
      <c r="EN635" s="2019"/>
      <c r="EO635" s="2019"/>
      <c r="EP635" s="2019"/>
      <c r="EQ635" s="2019"/>
      <c r="ER635" s="2019">
        <f>SUM(ER610:EV634)</f>
        <v>0</v>
      </c>
      <c r="ES635" s="2019"/>
      <c r="ET635" s="2019"/>
      <c r="EU635" s="2019"/>
      <c r="EV635" s="2019"/>
      <c r="EW635" s="2019">
        <f>SUM(EW610:FA634)</f>
        <v>0</v>
      </c>
      <c r="EX635" s="2019"/>
      <c r="EY635" s="2019"/>
      <c r="EZ635" s="2019"/>
      <c r="FA635" s="2019"/>
    </row>
    <row r="636" spans="1:157" s="1103" customFormat="1" ht="13.2">
      <c r="B636" s="2235"/>
      <c r="C636" s="2069"/>
      <c r="D636" s="2069"/>
      <c r="E636" s="2069"/>
      <c r="F636" s="2069"/>
      <c r="G636" s="2069"/>
      <c r="H636" s="2069"/>
      <c r="I636" s="2069"/>
      <c r="J636" s="2069"/>
      <c r="K636" s="2069"/>
      <c r="L636" s="2069"/>
      <c r="M636" s="2069"/>
      <c r="N636" s="2234"/>
      <c r="O636" s="2101"/>
      <c r="P636" s="2102"/>
      <c r="Q636" s="2103"/>
      <c r="R636" s="2101"/>
      <c r="S636" s="2102"/>
      <c r="T636" s="2103"/>
      <c r="U636" s="2415"/>
      <c r="V636" s="2415"/>
      <c r="W636" s="2416"/>
      <c r="X636" s="2101"/>
      <c r="Y636" s="2102"/>
      <c r="Z636" s="2102"/>
      <c r="AA636" s="2102"/>
      <c r="AB636" s="2103"/>
      <c r="AC636" s="2279"/>
      <c r="AD636" s="2280"/>
      <c r="AE636" s="2281"/>
      <c r="AF636" s="2101"/>
      <c r="AG636" s="2102"/>
      <c r="AH636" s="2102"/>
      <c r="AI636" s="2102"/>
      <c r="AJ636" s="2103"/>
      <c r="AK636" s="2269"/>
      <c r="AL636" s="2270"/>
      <c r="AM636" s="2270"/>
      <c r="AN636" s="2271"/>
      <c r="AO636" s="2225"/>
      <c r="AP636" s="2225"/>
      <c r="AQ636" s="2225"/>
      <c r="AR636" s="2225"/>
      <c r="AS636" s="2225"/>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2173</v>
      </c>
      <c r="CM636" s="1867">
        <f>BN635+BS635+BX635+CC635+CH635+CM635</f>
        <v>110</v>
      </c>
      <c r="CN636" s="2018"/>
      <c r="CO636" s="2018"/>
      <c r="CP636" s="2018"/>
      <c r="CQ636" s="1868"/>
      <c r="CR636" s="689"/>
      <c r="CS636" s="181"/>
      <c r="CT636" s="181"/>
      <c r="CU636" s="181"/>
      <c r="CV636" s="181"/>
      <c r="CW636" s="181"/>
      <c r="CX636" s="181"/>
      <c r="CY636" s="181"/>
      <c r="CZ636" s="181"/>
      <c r="DA636" s="181"/>
      <c r="DB636" s="181"/>
      <c r="DC636" s="181"/>
      <c r="DD636" s="181"/>
      <c r="DE636" s="181"/>
      <c r="DF636" s="181"/>
    </row>
    <row r="637" spans="1:157" ht="13.2">
      <c r="B637" s="83" t="s">
        <v>117</v>
      </c>
      <c r="C637" s="1971" t="s">
        <v>2584</v>
      </c>
      <c r="D637" s="1878"/>
      <c r="E637" s="1878"/>
      <c r="F637" s="1878"/>
      <c r="G637" s="1878"/>
      <c r="H637" s="1878"/>
      <c r="I637" s="1878"/>
      <c r="J637" s="1878"/>
      <c r="K637" s="1878"/>
      <c r="L637" s="1878"/>
      <c r="M637" s="1878"/>
      <c r="N637" s="2236"/>
      <c r="O637" s="2226">
        <f>15*12</f>
        <v>180</v>
      </c>
      <c r="P637" s="2227"/>
      <c r="Q637" s="2228"/>
      <c r="R637" s="1966">
        <f>15*12</f>
        <v>180</v>
      </c>
      <c r="S637" s="1967"/>
      <c r="T637" s="1968"/>
      <c r="U637" s="2220">
        <v>6.1400000000000003E-2</v>
      </c>
      <c r="V637" s="2221"/>
      <c r="W637" s="2222"/>
      <c r="X637" s="2152" t="s">
        <v>1983</v>
      </c>
      <c r="Y637" s="2223"/>
      <c r="Z637" s="2223"/>
      <c r="AA637" s="2223"/>
      <c r="AB637" s="2224"/>
      <c r="AC637" s="2006">
        <v>1</v>
      </c>
      <c r="AD637" s="2007"/>
      <c r="AE637" s="2008"/>
      <c r="AF637" s="1976">
        <f>12*PMT(U637/12,R637,-AO637)</f>
        <v>317041.88754557207</v>
      </c>
      <c r="AG637" s="1977"/>
      <c r="AH637" s="1977"/>
      <c r="AI637" s="1977"/>
      <c r="AJ637" s="1978"/>
      <c r="AK637" s="2089"/>
      <c r="AL637" s="2090"/>
      <c r="AM637" s="2090"/>
      <c r="AN637" s="2091"/>
      <c r="AO637" s="2001">
        <v>3103000</v>
      </c>
      <c r="AP637" s="2001"/>
      <c r="AQ637" s="2001"/>
      <c r="AR637" s="2001"/>
      <c r="AS637" s="2001"/>
      <c r="AT637" s="239"/>
      <c r="AU637" s="239"/>
      <c r="AV637" s="239"/>
      <c r="AW637" s="239"/>
      <c r="AX637" s="239"/>
      <c r="AY637" s="239"/>
      <c r="AZ637" s="58"/>
      <c r="BA637" s="58" t="s">
        <v>1345</v>
      </c>
      <c r="BB637" s="58"/>
      <c r="BC637" s="58"/>
      <c r="BD637" s="58"/>
      <c r="BE637" s="58"/>
      <c r="BF637" s="58"/>
      <c r="BG637" s="58"/>
      <c r="BH637" s="58"/>
      <c r="BI637" s="58"/>
      <c r="BJ637" s="58"/>
      <c r="BK637" s="58"/>
      <c r="BL637" s="58"/>
      <c r="BM637" s="58"/>
      <c r="BR637" s="920">
        <f>BN635*1</f>
        <v>79</v>
      </c>
      <c r="BS637" s="58"/>
      <c r="BT637" s="58"/>
      <c r="BU637" s="58"/>
      <c r="BV637" s="58"/>
      <c r="BW637" s="920">
        <f>BS635*1</f>
        <v>0</v>
      </c>
      <c r="BX637" s="58"/>
      <c r="BY637" s="58"/>
      <c r="BZ637" s="58"/>
      <c r="CA637" s="58"/>
      <c r="CB637" s="920">
        <f>BX635*2</f>
        <v>62</v>
      </c>
      <c r="CC637" s="58"/>
      <c r="CD637" s="58"/>
      <c r="CE637" s="58"/>
      <c r="CF637" s="58"/>
      <c r="CG637" s="920">
        <f>CC635*3</f>
        <v>0</v>
      </c>
      <c r="CH637" s="58"/>
      <c r="CI637" s="58"/>
      <c r="CJ637" s="58"/>
      <c r="CK637" s="58"/>
      <c r="CL637" s="920">
        <f>CH635*4</f>
        <v>0</v>
      </c>
      <c r="CM637" s="58"/>
      <c r="CN637" s="58"/>
      <c r="CO637" s="58"/>
      <c r="CP637" s="58"/>
      <c r="CQ637" s="920">
        <f>CM635*5</f>
        <v>0</v>
      </c>
      <c r="CS637" s="920">
        <f>BR637+BW637+CB637+CG637+CL637+CQ637</f>
        <v>141</v>
      </c>
      <c r="CT637" s="134" t="s">
        <v>2175</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1971" t="s">
        <v>2585</v>
      </c>
      <c r="D638" s="1878"/>
      <c r="E638" s="1878"/>
      <c r="F638" s="1878"/>
      <c r="G638" s="1878"/>
      <c r="H638" s="1878"/>
      <c r="I638" s="1878"/>
      <c r="J638" s="1878"/>
      <c r="K638" s="1878"/>
      <c r="L638" s="1878"/>
      <c r="M638" s="1878"/>
      <c r="N638" s="2236"/>
      <c r="O638" s="2226">
        <f>55*12</f>
        <v>660</v>
      </c>
      <c r="P638" s="2227"/>
      <c r="Q638" s="2228"/>
      <c r="R638" s="1966">
        <f>55*12</f>
        <v>660</v>
      </c>
      <c r="S638" s="1967"/>
      <c r="T638" s="1968"/>
      <c r="U638" s="2220">
        <v>0.03</v>
      </c>
      <c r="V638" s="2221"/>
      <c r="W638" s="2222"/>
      <c r="X638" s="2152" t="s">
        <v>481</v>
      </c>
      <c r="Y638" s="2223"/>
      <c r="Z638" s="2223"/>
      <c r="AA638" s="2223"/>
      <c r="AB638" s="2224"/>
      <c r="AC638" s="2006">
        <v>2</v>
      </c>
      <c r="AD638" s="2007"/>
      <c r="AE638" s="2008"/>
      <c r="AF638" s="1976">
        <f>0.0042*AO638</f>
        <v>84000</v>
      </c>
      <c r="AG638" s="1977"/>
      <c r="AH638" s="1977"/>
      <c r="AI638" s="1977"/>
      <c r="AJ638" s="1978"/>
      <c r="AK638" s="2089"/>
      <c r="AL638" s="2090"/>
      <c r="AM638" s="2090"/>
      <c r="AN638" s="2091"/>
      <c r="AO638" s="2001">
        <v>20000000</v>
      </c>
      <c r="AP638" s="2001"/>
      <c r="AQ638" s="2001"/>
      <c r="AR638" s="2001"/>
      <c r="AS638" s="2001"/>
      <c r="AT638" s="239"/>
      <c r="AU638" s="239"/>
      <c r="AV638" s="239"/>
      <c r="AW638" s="239"/>
      <c r="AX638" s="239"/>
      <c r="AY638" s="239"/>
      <c r="AZ638" s="61"/>
      <c r="BA638" s="58" t="s">
        <v>482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410">
        <f t="shared" ref="DX638:DX662" si="22">DX610*(BN610/$BN$635)</f>
        <v>67.291139240506325</v>
      </c>
      <c r="DY638" s="2410"/>
      <c r="DZ638" s="2410"/>
      <c r="EA638" s="2410"/>
      <c r="EB638" s="2410"/>
      <c r="EC638" s="2410" t="e">
        <f t="shared" ref="EC638:EC662" si="23">EC610*(BS610/$BS$635)</f>
        <v>#VALUE!</v>
      </c>
      <c r="ED638" s="2410"/>
      <c r="EE638" s="2410"/>
      <c r="EF638" s="2410"/>
      <c r="EG638" s="2410"/>
      <c r="EH638" s="2410" t="e">
        <f t="shared" ref="EH638:EH662" si="24">EH610*(BX610/$BX$635)</f>
        <v>#VALUE!</v>
      </c>
      <c r="EI638" s="2410"/>
      <c r="EJ638" s="2410"/>
      <c r="EK638" s="2410"/>
      <c r="EL638" s="2410"/>
      <c r="EM638" s="2410" t="e">
        <f t="shared" ref="EM638:EM662" si="25">EM610*(CC610/$CC$635)</f>
        <v>#VALUE!</v>
      </c>
      <c r="EN638" s="2410"/>
      <c r="EO638" s="2410"/>
      <c r="EP638" s="2410"/>
      <c r="EQ638" s="2410"/>
      <c r="ER638" s="2410" t="e">
        <f t="shared" ref="ER638:ER662" si="26">ER610*(CH610/$CH$635)</f>
        <v>#VALUE!</v>
      </c>
      <c r="ES638" s="2410"/>
      <c r="ET638" s="2410"/>
      <c r="EU638" s="2410"/>
      <c r="EV638" s="2410"/>
      <c r="EW638" s="2410" t="e">
        <f t="shared" ref="EW638:EW662" si="27">EW610*(CM610/$CM$635)</f>
        <v>#VALUE!</v>
      </c>
      <c r="EX638" s="2410"/>
      <c r="EY638" s="2410"/>
      <c r="EZ638" s="2410"/>
      <c r="FA638" s="2410"/>
    </row>
    <row r="639" spans="1:157" ht="12.75" customHeight="1">
      <c r="B639" s="84" t="s">
        <v>124</v>
      </c>
      <c r="C639" s="1971" t="s">
        <v>2739</v>
      </c>
      <c r="D639" s="1878"/>
      <c r="E639" s="1878"/>
      <c r="F639" s="1878"/>
      <c r="G639" s="1878"/>
      <c r="H639" s="1878"/>
      <c r="I639" s="1878"/>
      <c r="J639" s="1878"/>
      <c r="K639" s="1878"/>
      <c r="L639" s="1878"/>
      <c r="M639" s="1878"/>
      <c r="N639" s="2236"/>
      <c r="O639" s="2226">
        <v>660</v>
      </c>
      <c r="P639" s="2227"/>
      <c r="Q639" s="2228"/>
      <c r="R639" s="1966">
        <v>660</v>
      </c>
      <c r="S639" s="1967"/>
      <c r="T639" s="1968"/>
      <c r="U639" s="2220">
        <v>0.03</v>
      </c>
      <c r="V639" s="2221"/>
      <c r="W639" s="2222"/>
      <c r="X639" s="2152" t="s">
        <v>481</v>
      </c>
      <c r="Y639" s="2223"/>
      <c r="Z639" s="2223"/>
      <c r="AA639" s="2223"/>
      <c r="AB639" s="2224"/>
      <c r="AC639" s="2006">
        <v>3</v>
      </c>
      <c r="AD639" s="2007"/>
      <c r="AE639" s="2008"/>
      <c r="AF639" s="1976"/>
      <c r="AG639" s="1977"/>
      <c r="AH639" s="1977"/>
      <c r="AI639" s="1977"/>
      <c r="AJ639" s="1978"/>
      <c r="AK639" s="2089"/>
      <c r="AL639" s="2090"/>
      <c r="AM639" s="2090"/>
      <c r="AN639" s="2091"/>
      <c r="AO639" s="2001">
        <v>12150000</v>
      </c>
      <c r="AP639" s="2001"/>
      <c r="AQ639" s="2001"/>
      <c r="AR639" s="2001"/>
      <c r="AS639" s="2001"/>
      <c r="AT639" s="239"/>
      <c r="AU639" s="239"/>
      <c r="AV639" s="239"/>
      <c r="AW639" s="239"/>
      <c r="AX639" s="239"/>
      <c r="AY639" s="239"/>
      <c r="AZ639" s="61"/>
      <c r="BA639" s="58" t="s">
        <v>481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410">
        <f t="shared" si="22"/>
        <v>67.291139240506325</v>
      </c>
      <c r="DY639" s="2410"/>
      <c r="DZ639" s="2410"/>
      <c r="EA639" s="2410"/>
      <c r="EB639" s="2410"/>
      <c r="EC639" s="2410" t="e">
        <f t="shared" si="23"/>
        <v>#VALUE!</v>
      </c>
      <c r="ED639" s="2410"/>
      <c r="EE639" s="2410"/>
      <c r="EF639" s="2410"/>
      <c r="EG639" s="2410"/>
      <c r="EH639" s="2410" t="e">
        <f t="shared" si="24"/>
        <v>#VALUE!</v>
      </c>
      <c r="EI639" s="2410"/>
      <c r="EJ639" s="2410"/>
      <c r="EK639" s="2410"/>
      <c r="EL639" s="2410"/>
      <c r="EM639" s="2410" t="e">
        <f t="shared" si="25"/>
        <v>#VALUE!</v>
      </c>
      <c r="EN639" s="2410"/>
      <c r="EO639" s="2410"/>
      <c r="EP639" s="2410"/>
      <c r="EQ639" s="2410"/>
      <c r="ER639" s="2410" t="e">
        <f t="shared" si="26"/>
        <v>#VALUE!</v>
      </c>
      <c r="ES639" s="2410"/>
      <c r="ET639" s="2410"/>
      <c r="EU639" s="2410"/>
      <c r="EV639" s="2410"/>
      <c r="EW639" s="2410" t="e">
        <f t="shared" si="27"/>
        <v>#VALUE!</v>
      </c>
      <c r="EX639" s="2410"/>
      <c r="EY639" s="2410"/>
      <c r="EZ639" s="2410"/>
      <c r="FA639" s="2410"/>
    </row>
    <row r="640" spans="1:157" ht="13.2">
      <c r="B640" s="84" t="s">
        <v>606</v>
      </c>
      <c r="C640" s="1971" t="s">
        <v>2740</v>
      </c>
      <c r="D640" s="1878"/>
      <c r="E640" s="1878"/>
      <c r="F640" s="1878"/>
      <c r="G640" s="1878"/>
      <c r="H640" s="1878"/>
      <c r="I640" s="1878"/>
      <c r="J640" s="1878"/>
      <c r="K640" s="1878"/>
      <c r="L640" s="1878"/>
      <c r="M640" s="1878"/>
      <c r="N640" s="2236"/>
      <c r="O640" s="2226">
        <v>660</v>
      </c>
      <c r="P640" s="2227"/>
      <c r="Q640" s="2228"/>
      <c r="R640" s="1966">
        <v>660</v>
      </c>
      <c r="S640" s="1967"/>
      <c r="T640" s="1968"/>
      <c r="U640" s="2220">
        <v>0.03</v>
      </c>
      <c r="V640" s="2221"/>
      <c r="W640" s="2222"/>
      <c r="X640" s="2152" t="s">
        <v>481</v>
      </c>
      <c r="Y640" s="2223"/>
      <c r="Z640" s="2223"/>
      <c r="AA640" s="2223"/>
      <c r="AB640" s="2224"/>
      <c r="AC640" s="2006">
        <v>3</v>
      </c>
      <c r="AD640" s="2007"/>
      <c r="AE640" s="2008"/>
      <c r="AF640" s="1976"/>
      <c r="AG640" s="1977"/>
      <c r="AH640" s="1977"/>
      <c r="AI640" s="1977"/>
      <c r="AJ640" s="1978"/>
      <c r="AK640" s="2089"/>
      <c r="AL640" s="2090"/>
      <c r="AM640" s="2090"/>
      <c r="AN640" s="2091"/>
      <c r="AO640" s="2001">
        <v>7064139</v>
      </c>
      <c r="AP640" s="2001"/>
      <c r="AQ640" s="2001"/>
      <c r="AR640" s="2001"/>
      <c r="AS640" s="2001"/>
      <c r="AT640" s="239"/>
      <c r="AU640" s="239"/>
      <c r="AV640" s="239"/>
      <c r="AW640" s="239"/>
      <c r="AX640" s="239"/>
      <c r="AY640" s="239"/>
      <c r="AZ640" s="61"/>
      <c r="BA640" s="58" t="s">
        <v>1983</v>
      </c>
      <c r="BB640" s="61"/>
      <c r="BC640" s="61"/>
      <c r="BD640" s="61"/>
      <c r="BE640" s="61"/>
      <c r="BF640" s="61"/>
      <c r="BG640" s="61"/>
      <c r="BH640" s="61"/>
      <c r="BI640" s="61"/>
      <c r="BJ640" s="61"/>
      <c r="BK640" s="61"/>
      <c r="BL640" s="61"/>
      <c r="BM640" s="61"/>
      <c r="BN640" s="1861">
        <f>IF(J772="SRO/Studio",O772,0)</f>
        <v>1</v>
      </c>
      <c r="BO640" s="1862"/>
      <c r="BP640" s="1862"/>
      <c r="BQ640" s="1862"/>
      <c r="BR640" s="1863"/>
      <c r="BS640" s="1860">
        <f>IF(J772="1 Bedroom",O772,0)</f>
        <v>0</v>
      </c>
      <c r="BT640" s="1860"/>
      <c r="BU640" s="1860"/>
      <c r="BV640" s="1860"/>
      <c r="BW640" s="1860"/>
      <c r="BX640" s="1860">
        <f>IF(J772="2 Bedrooms",O772,0)</f>
        <v>0</v>
      </c>
      <c r="BY640" s="1860"/>
      <c r="BZ640" s="1860"/>
      <c r="CA640" s="1860"/>
      <c r="CB640" s="1860"/>
      <c r="CC640" s="1860">
        <f>IF(J772="3 Bedrooms",O772,0)</f>
        <v>0</v>
      </c>
      <c r="CD640" s="1860"/>
      <c r="CE640" s="1860"/>
      <c r="CF640" s="1860"/>
      <c r="CG640" s="1860"/>
      <c r="CH640" s="1860">
        <f>IF(J772="4 Bedrooms",O772,0)</f>
        <v>0</v>
      </c>
      <c r="CI640" s="1860"/>
      <c r="CJ640" s="1860"/>
      <c r="CK640" s="1860"/>
      <c r="CL640" s="1860"/>
      <c r="CM640" s="1860">
        <f>IF(J772="5 Bedrooms",O772,0)</f>
        <v>0</v>
      </c>
      <c r="CN640" s="1860"/>
      <c r="CO640" s="1860"/>
      <c r="CP640" s="1860"/>
      <c r="CQ640" s="1860"/>
      <c r="CR640" s="265"/>
      <c r="CS640" s="58"/>
      <c r="CT640" s="58"/>
      <c r="CU640" s="58"/>
      <c r="CV640" s="58"/>
      <c r="CW640" s="58"/>
      <c r="CX640" s="58"/>
      <c r="CY640" s="58"/>
      <c r="CZ640" s="58"/>
      <c r="DA640" s="58"/>
      <c r="DB640" s="58"/>
      <c r="DC640" s="58"/>
      <c r="DD640" s="58"/>
      <c r="DE640" s="58"/>
      <c r="DF640" s="58"/>
      <c r="DX640" s="2410">
        <f t="shared" si="22"/>
        <v>17.367088607594937</v>
      </c>
      <c r="DY640" s="2410"/>
      <c r="DZ640" s="2410"/>
      <c r="EA640" s="2410"/>
      <c r="EB640" s="2410"/>
      <c r="EC640" s="2410" t="e">
        <f t="shared" si="23"/>
        <v>#VALUE!</v>
      </c>
      <c r="ED640" s="2410"/>
      <c r="EE640" s="2410"/>
      <c r="EF640" s="2410"/>
      <c r="EG640" s="2410"/>
      <c r="EH640" s="2410" t="e">
        <f t="shared" si="24"/>
        <v>#VALUE!</v>
      </c>
      <c r="EI640" s="2410"/>
      <c r="EJ640" s="2410"/>
      <c r="EK640" s="2410"/>
      <c r="EL640" s="2410"/>
      <c r="EM640" s="2410" t="e">
        <f t="shared" si="25"/>
        <v>#VALUE!</v>
      </c>
      <c r="EN640" s="2410"/>
      <c r="EO640" s="2410"/>
      <c r="EP640" s="2410"/>
      <c r="EQ640" s="2410"/>
      <c r="ER640" s="2410" t="e">
        <f t="shared" si="26"/>
        <v>#VALUE!</v>
      </c>
      <c r="ES640" s="2410"/>
      <c r="ET640" s="2410"/>
      <c r="EU640" s="2410"/>
      <c r="EV640" s="2410"/>
      <c r="EW640" s="2410" t="e">
        <f t="shared" si="27"/>
        <v>#VALUE!</v>
      </c>
      <c r="EX640" s="2410"/>
      <c r="EY640" s="2410"/>
      <c r="EZ640" s="2410"/>
      <c r="FA640" s="2410"/>
    </row>
    <row r="641" spans="1:157" ht="13.2">
      <c r="B641" s="84" t="s">
        <v>804</v>
      </c>
      <c r="C641" s="1971" t="s">
        <v>2586</v>
      </c>
      <c r="D641" s="1878"/>
      <c r="E641" s="1878"/>
      <c r="F641" s="1878"/>
      <c r="G641" s="1878"/>
      <c r="H641" s="1878"/>
      <c r="I641" s="1878"/>
      <c r="J641" s="1878"/>
      <c r="K641" s="1878"/>
      <c r="L641" s="1878"/>
      <c r="M641" s="1878"/>
      <c r="N641" s="2236"/>
      <c r="O641" s="2226">
        <v>660</v>
      </c>
      <c r="P641" s="2227"/>
      <c r="Q641" s="2228"/>
      <c r="R641" s="1966">
        <v>660</v>
      </c>
      <c r="S641" s="1967"/>
      <c r="T641" s="1968"/>
      <c r="U641" s="2220">
        <v>1E-27</v>
      </c>
      <c r="V641" s="2221"/>
      <c r="W641" s="2222"/>
      <c r="X641" s="2152" t="s">
        <v>482</v>
      </c>
      <c r="Y641" s="2223"/>
      <c r="Z641" s="2223"/>
      <c r="AA641" s="2223"/>
      <c r="AB641" s="2224"/>
      <c r="AC641" s="2006">
        <v>4</v>
      </c>
      <c r="AD641" s="2007"/>
      <c r="AE641" s="2008"/>
      <c r="AF641" s="1976"/>
      <c r="AG641" s="1977"/>
      <c r="AH641" s="1977"/>
      <c r="AI641" s="1977"/>
      <c r="AJ641" s="1978"/>
      <c r="AK641" s="2089"/>
      <c r="AL641" s="2090"/>
      <c r="AM641" s="2090"/>
      <c r="AN641" s="2091"/>
      <c r="AO641" s="2001">
        <v>1000000</v>
      </c>
      <c r="AP641" s="2001"/>
      <c r="AQ641" s="2001"/>
      <c r="AR641" s="2001"/>
      <c r="AS641" s="2001"/>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1861">
        <f>IF(J773="SRO/Studio",O773,0)</f>
        <v>0</v>
      </c>
      <c r="BO641" s="1862"/>
      <c r="BP641" s="1862"/>
      <c r="BQ641" s="1862"/>
      <c r="BR641" s="1863"/>
      <c r="BS641" s="1860">
        <f>IF(J773="1 Bedroom",O773,0)</f>
        <v>0</v>
      </c>
      <c r="BT641" s="1860"/>
      <c r="BU641" s="1860"/>
      <c r="BV641" s="1860"/>
      <c r="BW641" s="1860"/>
      <c r="BX641" s="1860">
        <f>IF(J773="2 Bedrooms",O773,0)</f>
        <v>1</v>
      </c>
      <c r="BY641" s="1860"/>
      <c r="BZ641" s="1860"/>
      <c r="CA641" s="1860"/>
      <c r="CB641" s="1860"/>
      <c r="CC641" s="1860">
        <f>IF(J773="3 Bedrooms",O773,0)</f>
        <v>0</v>
      </c>
      <c r="CD641" s="1860"/>
      <c r="CE641" s="1860"/>
      <c r="CF641" s="1860"/>
      <c r="CG641" s="1860"/>
      <c r="CH641" s="1860">
        <f>IF(J773="4 Bedrooms",O773,0)</f>
        <v>0</v>
      </c>
      <c r="CI641" s="1860"/>
      <c r="CJ641" s="1860"/>
      <c r="CK641" s="1860"/>
      <c r="CL641" s="1860"/>
      <c r="CM641" s="1860">
        <f>IF(J773="5 Bedrooms",O773,0)</f>
        <v>0</v>
      </c>
      <c r="CN641" s="1860"/>
      <c r="CO641" s="1860"/>
      <c r="CP641" s="1860"/>
      <c r="CQ641" s="1860"/>
      <c r="CR641" s="265"/>
      <c r="CS641" s="58"/>
      <c r="CT641" s="58"/>
      <c r="CU641" s="58"/>
      <c r="CV641" s="58"/>
      <c r="CW641" s="58"/>
      <c r="CX641" s="58"/>
      <c r="CY641" s="58"/>
      <c r="CZ641" s="58"/>
      <c r="DA641" s="58"/>
      <c r="DB641" s="58"/>
      <c r="DC641" s="58"/>
      <c r="DD641" s="58"/>
      <c r="DE641" s="58"/>
      <c r="DF641" s="58"/>
      <c r="DX641" s="2410">
        <f t="shared" si="22"/>
        <v>196.74683544303795</v>
      </c>
      <c r="DY641" s="2410"/>
      <c r="DZ641" s="2410"/>
      <c r="EA641" s="2410"/>
      <c r="EB641" s="2410"/>
      <c r="EC641" s="2410" t="e">
        <f t="shared" si="23"/>
        <v>#VALUE!</v>
      </c>
      <c r="ED641" s="2410"/>
      <c r="EE641" s="2410"/>
      <c r="EF641" s="2410"/>
      <c r="EG641" s="2410"/>
      <c r="EH641" s="2410" t="e">
        <f t="shared" si="24"/>
        <v>#VALUE!</v>
      </c>
      <c r="EI641" s="2410"/>
      <c r="EJ641" s="2410"/>
      <c r="EK641" s="2410"/>
      <c r="EL641" s="2410"/>
      <c r="EM641" s="2410" t="e">
        <f t="shared" si="25"/>
        <v>#VALUE!</v>
      </c>
      <c r="EN641" s="2410"/>
      <c r="EO641" s="2410"/>
      <c r="EP641" s="2410"/>
      <c r="EQ641" s="2410"/>
      <c r="ER641" s="2410" t="e">
        <f t="shared" si="26"/>
        <v>#VALUE!</v>
      </c>
      <c r="ES641" s="2410"/>
      <c r="ET641" s="2410"/>
      <c r="EU641" s="2410"/>
      <c r="EV641" s="2410"/>
      <c r="EW641" s="2410" t="e">
        <f t="shared" si="27"/>
        <v>#VALUE!</v>
      </c>
      <c r="EX641" s="2410"/>
      <c r="EY641" s="2410"/>
      <c r="EZ641" s="2410"/>
      <c r="FA641" s="2410"/>
    </row>
    <row r="642" spans="1:157" ht="13.2">
      <c r="B642" s="84" t="s">
        <v>609</v>
      </c>
      <c r="C642" s="1971" t="s">
        <v>2601</v>
      </c>
      <c r="D642" s="1878"/>
      <c r="E642" s="1878"/>
      <c r="F642" s="1878"/>
      <c r="G642" s="1878"/>
      <c r="H642" s="1878"/>
      <c r="I642" s="1878"/>
      <c r="J642" s="1878"/>
      <c r="K642" s="1878"/>
      <c r="L642" s="1878"/>
      <c r="M642" s="1878"/>
      <c r="N642" s="2236"/>
      <c r="O642" s="2226">
        <v>660</v>
      </c>
      <c r="P642" s="2227"/>
      <c r="Q642" s="2228"/>
      <c r="R642" s="1966">
        <v>660</v>
      </c>
      <c r="S642" s="1967"/>
      <c r="T642" s="1968"/>
      <c r="U642" s="2220">
        <v>1E-27</v>
      </c>
      <c r="V642" s="2221"/>
      <c r="W642" s="2222"/>
      <c r="X642" s="2152" t="s">
        <v>482</v>
      </c>
      <c r="Y642" s="2223"/>
      <c r="Z642" s="2223"/>
      <c r="AA642" s="2223"/>
      <c r="AB642" s="2224"/>
      <c r="AC642" s="2006">
        <v>5</v>
      </c>
      <c r="AD642" s="2007"/>
      <c r="AE642" s="2008"/>
      <c r="AF642" s="1976"/>
      <c r="AG642" s="1977"/>
      <c r="AH642" s="1977"/>
      <c r="AI642" s="1977"/>
      <c r="AJ642" s="1978"/>
      <c r="AK642" s="2089"/>
      <c r="AL642" s="2090"/>
      <c r="AM642" s="2090"/>
      <c r="AN642" s="2091"/>
      <c r="AO642" s="2001">
        <v>1000000</v>
      </c>
      <c r="AP642" s="2001"/>
      <c r="AQ642" s="2001"/>
      <c r="AR642" s="2001"/>
      <c r="AS642" s="2001"/>
      <c r="AT642" s="239"/>
      <c r="AU642" s="239"/>
      <c r="AV642" s="239"/>
      <c r="AW642" s="239"/>
      <c r="AX642" s="239"/>
      <c r="AY642" s="239"/>
      <c r="AZ642" s="61"/>
      <c r="BA642" s="61"/>
      <c r="BB642" s="61"/>
      <c r="BC642" s="61"/>
      <c r="BD642" s="61"/>
      <c r="BE642" s="61"/>
      <c r="BF642" s="61"/>
      <c r="BG642" s="61"/>
      <c r="BH642" s="61"/>
      <c r="BI642" s="61"/>
      <c r="BJ642" s="61"/>
      <c r="BK642" s="61"/>
      <c r="BL642" s="61"/>
      <c r="BM642" s="61"/>
      <c r="BN642" s="1861">
        <f>IF(J774="SRO/Studio",O774,0)</f>
        <v>0</v>
      </c>
      <c r="BO642" s="1862"/>
      <c r="BP642" s="1862"/>
      <c r="BQ642" s="1862"/>
      <c r="BR642" s="1863"/>
      <c r="BS642" s="1860">
        <f>IF(J774="1 Bedroom",O774,0)</f>
        <v>0</v>
      </c>
      <c r="BT642" s="1860"/>
      <c r="BU642" s="1860"/>
      <c r="BV642" s="1860"/>
      <c r="BW642" s="1860"/>
      <c r="BX642" s="1860">
        <f>IF(J774="2 Bedrooms",O774,0)</f>
        <v>0</v>
      </c>
      <c r="BY642" s="1860"/>
      <c r="BZ642" s="1860"/>
      <c r="CA642" s="1860"/>
      <c r="CB642" s="1860"/>
      <c r="CC642" s="1860">
        <f>IF(J774="3 Bedrooms",O774,0)</f>
        <v>0</v>
      </c>
      <c r="CD642" s="1860"/>
      <c r="CE642" s="1860"/>
      <c r="CF642" s="1860"/>
      <c r="CG642" s="1860"/>
      <c r="CH642" s="1860">
        <f>IF(J774="4 Bedrooms",O774,0)</f>
        <v>0</v>
      </c>
      <c r="CI642" s="1860"/>
      <c r="CJ642" s="1860"/>
      <c r="CK642" s="1860"/>
      <c r="CL642" s="1860"/>
      <c r="CM642" s="1860">
        <f>IF(J774="5 Bedrooms",O774,0)</f>
        <v>0</v>
      </c>
      <c r="CN642" s="1860"/>
      <c r="CO642" s="1860"/>
      <c r="CP642" s="1860"/>
      <c r="CQ642" s="1860"/>
      <c r="CR642" s="1094"/>
      <c r="CV642" s="58"/>
      <c r="CW642" s="58"/>
      <c r="CX642" s="58"/>
      <c r="CY642" s="58"/>
      <c r="CZ642" s="58"/>
      <c r="DA642" s="58"/>
      <c r="DB642" s="58"/>
      <c r="DC642" s="58"/>
      <c r="DD642" s="58"/>
      <c r="DE642" s="58"/>
      <c r="DF642" s="58"/>
      <c r="DX642" s="2410">
        <f t="shared" si="22"/>
        <v>209.62025316455697</v>
      </c>
      <c r="DY642" s="2410"/>
      <c r="DZ642" s="2410"/>
      <c r="EA642" s="2410"/>
      <c r="EB642" s="2410"/>
      <c r="EC642" s="2410" t="e">
        <f t="shared" si="23"/>
        <v>#VALUE!</v>
      </c>
      <c r="ED642" s="2410"/>
      <c r="EE642" s="2410"/>
      <c r="EF642" s="2410"/>
      <c r="EG642" s="2410"/>
      <c r="EH642" s="2410" t="e">
        <f t="shared" si="24"/>
        <v>#VALUE!</v>
      </c>
      <c r="EI642" s="2410"/>
      <c r="EJ642" s="2410"/>
      <c r="EK642" s="2410"/>
      <c r="EL642" s="2410"/>
      <c r="EM642" s="2410" t="e">
        <f t="shared" si="25"/>
        <v>#VALUE!</v>
      </c>
      <c r="EN642" s="2410"/>
      <c r="EO642" s="2410"/>
      <c r="EP642" s="2410"/>
      <c r="EQ642" s="2410"/>
      <c r="ER642" s="2410" t="e">
        <f t="shared" si="26"/>
        <v>#VALUE!</v>
      </c>
      <c r="ES642" s="2410"/>
      <c r="ET642" s="2410"/>
      <c r="EU642" s="2410"/>
      <c r="EV642" s="2410"/>
      <c r="EW642" s="2410" t="e">
        <f t="shared" si="27"/>
        <v>#VALUE!</v>
      </c>
      <c r="EX642" s="2410"/>
      <c r="EY642" s="2410"/>
      <c r="EZ642" s="2410"/>
      <c r="FA642" s="2410"/>
    </row>
    <row r="643" spans="1:157" ht="13.2">
      <c r="B643" s="84" t="s">
        <v>479</v>
      </c>
      <c r="C643" s="1971" t="s">
        <v>2564</v>
      </c>
      <c r="D643" s="1878"/>
      <c r="E643" s="1878"/>
      <c r="F643" s="1878"/>
      <c r="G643" s="1878"/>
      <c r="H643" s="1878"/>
      <c r="I643" s="1878"/>
      <c r="J643" s="1878"/>
      <c r="K643" s="1878"/>
      <c r="L643" s="1878"/>
      <c r="M643" s="1878"/>
      <c r="N643" s="2236"/>
      <c r="O643" s="2226">
        <v>660</v>
      </c>
      <c r="P643" s="2227"/>
      <c r="Q643" s="2228"/>
      <c r="R643" s="1966">
        <v>660</v>
      </c>
      <c r="S643" s="1967"/>
      <c r="T643" s="1968"/>
      <c r="U643" s="2220">
        <v>0.03</v>
      </c>
      <c r="V643" s="2221"/>
      <c r="W643" s="2222"/>
      <c r="X643" s="2152" t="s">
        <v>481</v>
      </c>
      <c r="Y643" s="2223"/>
      <c r="Z643" s="2223"/>
      <c r="AA643" s="2223"/>
      <c r="AB643" s="2224"/>
      <c r="AC643" s="2006">
        <v>6</v>
      </c>
      <c r="AD643" s="2007"/>
      <c r="AE643" s="2008"/>
      <c r="AF643" s="1976"/>
      <c r="AG643" s="1977"/>
      <c r="AH643" s="1977"/>
      <c r="AI643" s="1977"/>
      <c r="AJ643" s="1978"/>
      <c r="AK643" s="2089"/>
      <c r="AL643" s="2090"/>
      <c r="AM643" s="2090"/>
      <c r="AN643" s="2091"/>
      <c r="AO643" s="2001">
        <v>2190300</v>
      </c>
      <c r="AP643" s="2001"/>
      <c r="AQ643" s="2001"/>
      <c r="AR643" s="2001"/>
      <c r="AS643" s="2001"/>
      <c r="AT643" s="239"/>
      <c r="AU643" s="239"/>
      <c r="AV643" s="239"/>
      <c r="AW643" s="239"/>
      <c r="AX643" s="239"/>
      <c r="AY643" s="239"/>
      <c r="AZ643" s="61"/>
      <c r="BA643" s="61"/>
      <c r="BB643" s="61"/>
      <c r="BC643" s="61"/>
      <c r="BD643" s="61"/>
      <c r="BE643" s="61"/>
      <c r="BF643" s="61"/>
      <c r="BG643" s="61"/>
      <c r="BH643" s="61"/>
      <c r="BI643" s="61"/>
      <c r="BJ643" s="61"/>
      <c r="BK643" s="61"/>
      <c r="BL643" s="61"/>
      <c r="BM643" s="61"/>
      <c r="BN643" s="1861">
        <f>IF(J775="SRO/Studio",O775,0)</f>
        <v>0</v>
      </c>
      <c r="BO643" s="1862"/>
      <c r="BP643" s="1862"/>
      <c r="BQ643" s="1862"/>
      <c r="BR643" s="1863"/>
      <c r="BS643" s="1860">
        <f>IF(J775="1 Bedroom",O775,0)</f>
        <v>0</v>
      </c>
      <c r="BT643" s="1860"/>
      <c r="BU643" s="1860"/>
      <c r="BV643" s="1860"/>
      <c r="BW643" s="1860"/>
      <c r="BX643" s="1860">
        <f>IF(J775="2 Bedrooms",O775,0)</f>
        <v>0</v>
      </c>
      <c r="BY643" s="1860"/>
      <c r="BZ643" s="1860"/>
      <c r="CA643" s="1860"/>
      <c r="CB643" s="1860"/>
      <c r="CC643" s="1860">
        <f>IF(J775="3 Bedrooms",O775,0)</f>
        <v>0</v>
      </c>
      <c r="CD643" s="1860"/>
      <c r="CE643" s="1860"/>
      <c r="CF643" s="1860"/>
      <c r="CG643" s="1860"/>
      <c r="CH643" s="1860">
        <f>IF(J775="4 Bedrooms",O775,0)</f>
        <v>0</v>
      </c>
      <c r="CI643" s="1860"/>
      <c r="CJ643" s="1860"/>
      <c r="CK643" s="1860"/>
      <c r="CL643" s="1860"/>
      <c r="CM643" s="1860">
        <f>IF(J775="5 Bedrooms",O775,0)</f>
        <v>0</v>
      </c>
      <c r="CN643" s="1860"/>
      <c r="CO643" s="1860"/>
      <c r="CP643" s="1860"/>
      <c r="CQ643" s="1860"/>
      <c r="CV643" s="58"/>
      <c r="CW643" s="58"/>
      <c r="CX643" s="58"/>
      <c r="CY643" s="58"/>
      <c r="CZ643" s="58"/>
      <c r="DA643" s="58"/>
      <c r="DB643" s="58"/>
      <c r="DC643" s="58"/>
      <c r="DD643" s="58"/>
      <c r="DE643" s="58"/>
      <c r="DF643" s="58"/>
      <c r="DX643" s="2410">
        <f t="shared" si="22"/>
        <v>675.64556962025313</v>
      </c>
      <c r="DY643" s="2410"/>
      <c r="DZ643" s="2410"/>
      <c r="EA643" s="2410"/>
      <c r="EB643" s="2410"/>
      <c r="EC643" s="2410" t="e">
        <f t="shared" si="23"/>
        <v>#VALUE!</v>
      </c>
      <c r="ED643" s="2410"/>
      <c r="EE643" s="2410"/>
      <c r="EF643" s="2410"/>
      <c r="EG643" s="2410"/>
      <c r="EH643" s="2410" t="e">
        <f t="shared" si="24"/>
        <v>#VALUE!</v>
      </c>
      <c r="EI643" s="2410"/>
      <c r="EJ643" s="2410"/>
      <c r="EK643" s="2410"/>
      <c r="EL643" s="2410"/>
      <c r="EM643" s="2410" t="e">
        <f t="shared" si="25"/>
        <v>#VALUE!</v>
      </c>
      <c r="EN643" s="2410"/>
      <c r="EO643" s="2410"/>
      <c r="EP643" s="2410"/>
      <c r="EQ643" s="2410"/>
      <c r="ER643" s="2410" t="e">
        <f t="shared" si="26"/>
        <v>#VALUE!</v>
      </c>
      <c r="ES643" s="2410"/>
      <c r="ET643" s="2410"/>
      <c r="EU643" s="2410"/>
      <c r="EV643" s="2410"/>
      <c r="EW643" s="2410" t="e">
        <f t="shared" si="27"/>
        <v>#VALUE!</v>
      </c>
      <c r="EX643" s="2410"/>
      <c r="EY643" s="2410"/>
      <c r="EZ643" s="2410"/>
      <c r="FA643" s="2410"/>
    </row>
    <row r="644" spans="1:157" ht="13.2">
      <c r="B644" s="84" t="s">
        <v>480</v>
      </c>
      <c r="C644" s="1971" t="s">
        <v>2748</v>
      </c>
      <c r="D644" s="1878"/>
      <c r="E644" s="1878"/>
      <c r="F644" s="1878"/>
      <c r="G644" s="1878"/>
      <c r="H644" s="1878"/>
      <c r="I644" s="1878"/>
      <c r="J644" s="1878"/>
      <c r="K644" s="1878"/>
      <c r="L644" s="1878"/>
      <c r="M644" s="1878"/>
      <c r="N644" s="2236"/>
      <c r="O644" s="2226"/>
      <c r="P644" s="2227"/>
      <c r="Q644" s="2228"/>
      <c r="R644" s="1966"/>
      <c r="S644" s="1967"/>
      <c r="T644" s="1968"/>
      <c r="U644" s="2220"/>
      <c r="V644" s="2221"/>
      <c r="W644" s="2222"/>
      <c r="X644" s="2152" t="s">
        <v>305</v>
      </c>
      <c r="Y644" s="2223"/>
      <c r="Z644" s="2223"/>
      <c r="AA644" s="2223"/>
      <c r="AB644" s="2224"/>
      <c r="AC644" s="2006"/>
      <c r="AD644" s="2007"/>
      <c r="AE644" s="2008"/>
      <c r="AF644" s="1976"/>
      <c r="AG644" s="1977"/>
      <c r="AH644" s="1977"/>
      <c r="AI644" s="1977"/>
      <c r="AJ644" s="1978"/>
      <c r="AK644" s="2089"/>
      <c r="AL644" s="2090"/>
      <c r="AM644" s="2090"/>
      <c r="AN644" s="2091"/>
      <c r="AO644" s="2001">
        <v>1360979</v>
      </c>
      <c r="AP644" s="2001"/>
      <c r="AQ644" s="2001"/>
      <c r="AR644" s="2001"/>
      <c r="AS644" s="2001"/>
      <c r="AT644" s="239"/>
      <c r="AU644" s="239"/>
      <c r="AV644" s="239"/>
      <c r="AW644" s="239"/>
      <c r="AX644" s="239"/>
      <c r="AY644" s="239"/>
      <c r="AZ644" s="61"/>
      <c r="BA644" s="61"/>
      <c r="BB644" s="61"/>
      <c r="BC644" s="61"/>
      <c r="BD644" s="61"/>
      <c r="BE644" s="61"/>
      <c r="BF644" s="61"/>
      <c r="BG644" s="61"/>
      <c r="BH644" s="61"/>
      <c r="BI644" s="61"/>
      <c r="BJ644" s="61"/>
      <c r="BK644" s="61"/>
      <c r="BL644" s="61"/>
      <c r="BM644" s="61"/>
      <c r="BN644" s="1864">
        <f>SUM(BN640:BR643)</f>
        <v>1</v>
      </c>
      <c r="BO644" s="1865"/>
      <c r="BP644" s="1865"/>
      <c r="BQ644" s="1865"/>
      <c r="BR644" s="1866"/>
      <c r="BS644" s="1857">
        <f>SUM(BS640:BW643)</f>
        <v>0</v>
      </c>
      <c r="BT644" s="1858"/>
      <c r="BU644" s="1858"/>
      <c r="BV644" s="1858"/>
      <c r="BW644" s="1859"/>
      <c r="BX644" s="1857">
        <f>SUM(BX640:CB643)</f>
        <v>1</v>
      </c>
      <c r="BY644" s="1858"/>
      <c r="BZ644" s="1858"/>
      <c r="CA644" s="1858"/>
      <c r="CB644" s="1859"/>
      <c r="CC644" s="1857">
        <f>SUM(CC640:CG643)</f>
        <v>0</v>
      </c>
      <c r="CD644" s="1858"/>
      <c r="CE644" s="1858"/>
      <c r="CF644" s="1858"/>
      <c r="CG644" s="1859"/>
      <c r="CH644" s="1857">
        <f>SUM(CH640:CL643)</f>
        <v>0</v>
      </c>
      <c r="CI644" s="1858"/>
      <c r="CJ644" s="1858"/>
      <c r="CK644" s="1858"/>
      <c r="CL644" s="1859"/>
      <c r="CM644" s="1857">
        <f>SUM(CM640:CQ643)</f>
        <v>0</v>
      </c>
      <c r="CN644" s="1858"/>
      <c r="CO644" s="1858"/>
      <c r="CP644" s="1858"/>
      <c r="CQ644" s="1859"/>
      <c r="CS644" s="920">
        <f>BN644+BS644+BX644+CC644+CH644+CM644</f>
        <v>2</v>
      </c>
      <c r="CT644" s="134" t="s">
        <v>2172</v>
      </c>
      <c r="CU644" s="58"/>
      <c r="CV644" s="58"/>
      <c r="CW644" s="58"/>
      <c r="CX644" s="58"/>
      <c r="CY644" s="58"/>
      <c r="CZ644" s="58"/>
      <c r="DA644" s="58"/>
      <c r="DB644" s="58"/>
      <c r="DC644" s="58"/>
      <c r="DD644" s="58"/>
      <c r="DE644" s="58"/>
      <c r="DF644" s="58"/>
      <c r="DX644" s="2410" t="e">
        <f t="shared" si="22"/>
        <v>#VALUE!</v>
      </c>
      <c r="DY644" s="2410"/>
      <c r="DZ644" s="2410"/>
      <c r="EA644" s="2410"/>
      <c r="EB644" s="2410"/>
      <c r="EC644" s="2410" t="e">
        <f t="shared" si="23"/>
        <v>#VALUE!</v>
      </c>
      <c r="ED644" s="2410"/>
      <c r="EE644" s="2410"/>
      <c r="EF644" s="2410"/>
      <c r="EG644" s="2410"/>
      <c r="EH644" s="2410">
        <f t="shared" si="24"/>
        <v>56.322580645161288</v>
      </c>
      <c r="EI644" s="2410"/>
      <c r="EJ644" s="2410"/>
      <c r="EK644" s="2410"/>
      <c r="EL644" s="2410"/>
      <c r="EM644" s="2410" t="e">
        <f t="shared" si="25"/>
        <v>#VALUE!</v>
      </c>
      <c r="EN644" s="2410"/>
      <c r="EO644" s="2410"/>
      <c r="EP644" s="2410"/>
      <c r="EQ644" s="2410"/>
      <c r="ER644" s="2410" t="e">
        <f t="shared" si="26"/>
        <v>#VALUE!</v>
      </c>
      <c r="ES644" s="2410"/>
      <c r="ET644" s="2410"/>
      <c r="EU644" s="2410"/>
      <c r="EV644" s="2410"/>
      <c r="EW644" s="2410" t="e">
        <f t="shared" si="27"/>
        <v>#VALUE!</v>
      </c>
      <c r="EX644" s="2410"/>
      <c r="EY644" s="2410"/>
      <c r="EZ644" s="2410"/>
      <c r="FA644" s="2410"/>
    </row>
    <row r="645" spans="1:157" ht="13.2">
      <c r="B645" s="84" t="s">
        <v>485</v>
      </c>
      <c r="C645" s="1971" t="s">
        <v>2565</v>
      </c>
      <c r="D645" s="1878"/>
      <c r="E645" s="1878"/>
      <c r="F645" s="1878"/>
      <c r="G645" s="1878"/>
      <c r="H645" s="1878"/>
      <c r="I645" s="1878"/>
      <c r="J645" s="1878"/>
      <c r="K645" s="1878"/>
      <c r="L645" s="1878"/>
      <c r="M645" s="1878"/>
      <c r="N645" s="2236"/>
      <c r="O645" s="2226">
        <v>660</v>
      </c>
      <c r="P645" s="2227"/>
      <c r="Q645" s="2228"/>
      <c r="R645" s="1966">
        <v>660</v>
      </c>
      <c r="S645" s="1967"/>
      <c r="T645" s="1968"/>
      <c r="U645" s="2220">
        <v>1E-27</v>
      </c>
      <c r="V645" s="2221"/>
      <c r="W645" s="2222"/>
      <c r="X645" s="2152" t="s">
        <v>481</v>
      </c>
      <c r="Y645" s="2223"/>
      <c r="Z645" s="2223"/>
      <c r="AA645" s="2223"/>
      <c r="AB645" s="2224"/>
      <c r="AC645" s="2006"/>
      <c r="AD645" s="2007"/>
      <c r="AE645" s="2008"/>
      <c r="AF645" s="1976"/>
      <c r="AG645" s="1977"/>
      <c r="AH645" s="1977"/>
      <c r="AI645" s="1977"/>
      <c r="AJ645" s="1978"/>
      <c r="AK645" s="2089"/>
      <c r="AL645" s="2090"/>
      <c r="AM645" s="2090"/>
      <c r="AN645" s="2091"/>
      <c r="AO645" s="2001">
        <f>170425+553577</f>
        <v>724002</v>
      </c>
      <c r="AP645" s="2001"/>
      <c r="AQ645" s="2001"/>
      <c r="AR645" s="2001"/>
      <c r="AS645" s="200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920">
        <f>BN644*1</f>
        <v>1</v>
      </c>
      <c r="BS645" s="58"/>
      <c r="BT645" s="58"/>
      <c r="BU645" s="58"/>
      <c r="BV645" s="58"/>
      <c r="BW645" s="920">
        <f>BS644*1</f>
        <v>0</v>
      </c>
      <c r="BX645" s="58"/>
      <c r="BY645" s="58"/>
      <c r="BZ645" s="58"/>
      <c r="CA645" s="58"/>
      <c r="CB645" s="920">
        <f>BX644*2</f>
        <v>2</v>
      </c>
      <c r="CC645" s="58"/>
      <c r="CD645" s="58"/>
      <c r="CE645" s="58"/>
      <c r="CF645" s="58"/>
      <c r="CG645" s="920">
        <f>CC644*3</f>
        <v>0</v>
      </c>
      <c r="CH645" s="58"/>
      <c r="CI645" s="58"/>
      <c r="CJ645" s="58"/>
      <c r="CK645" s="58"/>
      <c r="CL645" s="920">
        <f>CH644*4</f>
        <v>0</v>
      </c>
      <c r="CM645" s="58"/>
      <c r="CN645" s="58"/>
      <c r="CO645" s="58"/>
      <c r="CP645" s="58"/>
      <c r="CQ645" s="920">
        <f>CM644*5</f>
        <v>0</v>
      </c>
      <c r="CS645" s="920">
        <f>BR645+BW645+CB645+CG645+CL645+CQ645</f>
        <v>3</v>
      </c>
      <c r="CT645" s="134" t="s">
        <v>2174</v>
      </c>
      <c r="CU645" s="58"/>
      <c r="CV645" s="58"/>
      <c r="CW645" s="58"/>
      <c r="CX645" s="58"/>
      <c r="CY645" s="58"/>
      <c r="CZ645" s="58"/>
      <c r="DA645" s="58"/>
      <c r="DB645" s="58"/>
      <c r="DC645" s="58"/>
      <c r="DD645" s="58"/>
      <c r="DE645" s="58"/>
      <c r="DF645" s="58"/>
      <c r="DX645" s="2410" t="e">
        <f t="shared" si="22"/>
        <v>#VALUE!</v>
      </c>
      <c r="DY645" s="2410"/>
      <c r="DZ645" s="2410"/>
      <c r="EA645" s="2410"/>
      <c r="EB645" s="2410"/>
      <c r="EC645" s="2410" t="e">
        <f t="shared" si="23"/>
        <v>#VALUE!</v>
      </c>
      <c r="ED645" s="2410"/>
      <c r="EE645" s="2410"/>
      <c r="EF645" s="2410"/>
      <c r="EG645" s="2410"/>
      <c r="EH645" s="2410">
        <f t="shared" si="24"/>
        <v>56.322580645161288</v>
      </c>
      <c r="EI645" s="2410"/>
      <c r="EJ645" s="2410"/>
      <c r="EK645" s="2410"/>
      <c r="EL645" s="2410"/>
      <c r="EM645" s="2410" t="e">
        <f t="shared" si="25"/>
        <v>#VALUE!</v>
      </c>
      <c r="EN645" s="2410"/>
      <c r="EO645" s="2410"/>
      <c r="EP645" s="2410"/>
      <c r="EQ645" s="2410"/>
      <c r="ER645" s="2410" t="e">
        <f t="shared" si="26"/>
        <v>#VALUE!</v>
      </c>
      <c r="ES645" s="2410"/>
      <c r="ET645" s="2410"/>
      <c r="EU645" s="2410"/>
      <c r="EV645" s="2410"/>
      <c r="EW645" s="2410" t="e">
        <f t="shared" si="27"/>
        <v>#VALUE!</v>
      </c>
      <c r="EX645" s="2410"/>
      <c r="EY645" s="2410"/>
      <c r="EZ645" s="2410"/>
      <c r="FA645" s="2410"/>
    </row>
    <row r="646" spans="1:157" ht="13.2">
      <c r="B646" s="84" t="s">
        <v>671</v>
      </c>
      <c r="C646" s="1971"/>
      <c r="D646" s="1878"/>
      <c r="E646" s="1878"/>
      <c r="F646" s="1878"/>
      <c r="G646" s="1878"/>
      <c r="H646" s="1878"/>
      <c r="I646" s="1878"/>
      <c r="J646" s="1878"/>
      <c r="K646" s="1878"/>
      <c r="L646" s="1878"/>
      <c r="M646" s="1878"/>
      <c r="N646" s="2236"/>
      <c r="O646" s="2226"/>
      <c r="P646" s="2227"/>
      <c r="Q646" s="2228"/>
      <c r="R646" s="1966"/>
      <c r="S646" s="1967"/>
      <c r="T646" s="1968"/>
      <c r="U646" s="2220"/>
      <c r="V646" s="2221"/>
      <c r="W646" s="2222"/>
      <c r="X646" s="2152"/>
      <c r="Y646" s="2223"/>
      <c r="Z646" s="2223"/>
      <c r="AA646" s="2223"/>
      <c r="AB646" s="2224"/>
      <c r="AC646" s="2006"/>
      <c r="AD646" s="2007"/>
      <c r="AE646" s="2008"/>
      <c r="AF646" s="1976"/>
      <c r="AG646" s="1977"/>
      <c r="AH646" s="1977"/>
      <c r="AI646" s="1977"/>
      <c r="AJ646" s="1978"/>
      <c r="AK646" s="2089"/>
      <c r="AL646" s="2090"/>
      <c r="AM646" s="2090"/>
      <c r="AN646" s="2091"/>
      <c r="AO646" s="2001"/>
      <c r="AP646" s="2001"/>
      <c r="AQ646" s="2001"/>
      <c r="AR646" s="2001"/>
      <c r="AS646" s="200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410" t="e">
        <f t="shared" si="22"/>
        <v>#VALUE!</v>
      </c>
      <c r="DY646" s="2410"/>
      <c r="DZ646" s="2410"/>
      <c r="EA646" s="2410"/>
      <c r="EB646" s="2410"/>
      <c r="EC646" s="2410" t="e">
        <f t="shared" si="23"/>
        <v>#VALUE!</v>
      </c>
      <c r="ED646" s="2410"/>
      <c r="EE646" s="2410"/>
      <c r="EF646" s="2410"/>
      <c r="EG646" s="2410"/>
      <c r="EH646" s="2410">
        <f t="shared" si="24"/>
        <v>193.16129032258064</v>
      </c>
      <c r="EI646" s="2410"/>
      <c r="EJ646" s="2410"/>
      <c r="EK646" s="2410"/>
      <c r="EL646" s="2410"/>
      <c r="EM646" s="2410" t="e">
        <f t="shared" si="25"/>
        <v>#VALUE!</v>
      </c>
      <c r="EN646" s="2410"/>
      <c r="EO646" s="2410"/>
      <c r="EP646" s="2410"/>
      <c r="EQ646" s="2410"/>
      <c r="ER646" s="2410" t="e">
        <f t="shared" si="26"/>
        <v>#VALUE!</v>
      </c>
      <c r="ES646" s="2410"/>
      <c r="ET646" s="2410"/>
      <c r="EU646" s="2410"/>
      <c r="EV646" s="2410"/>
      <c r="EW646" s="2410" t="e">
        <f t="shared" si="27"/>
        <v>#VALUE!</v>
      </c>
      <c r="EX646" s="2410"/>
      <c r="EY646" s="2410"/>
      <c r="EZ646" s="2410"/>
      <c r="FA646" s="2410"/>
    </row>
    <row r="647" spans="1:157" ht="13.2">
      <c r="B647" s="84" t="s">
        <v>368</v>
      </c>
      <c r="C647" s="1971"/>
      <c r="D647" s="1878"/>
      <c r="E647" s="1878"/>
      <c r="F647" s="1878"/>
      <c r="G647" s="1878"/>
      <c r="H647" s="1878"/>
      <c r="I647" s="1878"/>
      <c r="J647" s="1878"/>
      <c r="K647" s="1878"/>
      <c r="L647" s="1878"/>
      <c r="M647" s="1878"/>
      <c r="N647" s="2236"/>
      <c r="O647" s="2226"/>
      <c r="P647" s="2227"/>
      <c r="Q647" s="2228"/>
      <c r="R647" s="1966"/>
      <c r="S647" s="1967"/>
      <c r="T647" s="1968"/>
      <c r="U647" s="2220"/>
      <c r="V647" s="2221"/>
      <c r="W647" s="2222"/>
      <c r="X647" s="2152"/>
      <c r="Y647" s="2223"/>
      <c r="Z647" s="2223"/>
      <c r="AA647" s="2223"/>
      <c r="AB647" s="2224"/>
      <c r="AC647" s="2006"/>
      <c r="AD647" s="2007"/>
      <c r="AE647" s="2008"/>
      <c r="AF647" s="1976"/>
      <c r="AG647" s="1977"/>
      <c r="AH647" s="1977"/>
      <c r="AI647" s="1977"/>
      <c r="AJ647" s="1978"/>
      <c r="AK647" s="2089"/>
      <c r="AL647" s="2090"/>
      <c r="AM647" s="2090"/>
      <c r="AN647" s="2091"/>
      <c r="AO647" s="2001"/>
      <c r="AP647" s="2001"/>
      <c r="AQ647" s="2001"/>
      <c r="AR647" s="2001"/>
      <c r="AS647" s="200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410" t="e">
        <f t="shared" si="22"/>
        <v>#VALUE!</v>
      </c>
      <c r="DY647" s="2410"/>
      <c r="DZ647" s="2410"/>
      <c r="EA647" s="2410"/>
      <c r="EB647" s="2410"/>
      <c r="EC647" s="2410" t="e">
        <f t="shared" si="23"/>
        <v>#VALUE!</v>
      </c>
      <c r="ED647" s="2410"/>
      <c r="EE647" s="2410"/>
      <c r="EF647" s="2410"/>
      <c r="EG647" s="2410"/>
      <c r="EH647" s="2410">
        <f t="shared" si="24"/>
        <v>524.9032258064517</v>
      </c>
      <c r="EI647" s="2410"/>
      <c r="EJ647" s="2410"/>
      <c r="EK647" s="2410"/>
      <c r="EL647" s="2410"/>
      <c r="EM647" s="2410" t="e">
        <f t="shared" si="25"/>
        <v>#VALUE!</v>
      </c>
      <c r="EN647" s="2410"/>
      <c r="EO647" s="2410"/>
      <c r="EP647" s="2410"/>
      <c r="EQ647" s="2410"/>
      <c r="ER647" s="2410" t="e">
        <f t="shared" si="26"/>
        <v>#VALUE!</v>
      </c>
      <c r="ES647" s="2410"/>
      <c r="ET647" s="2410"/>
      <c r="EU647" s="2410"/>
      <c r="EV647" s="2410"/>
      <c r="EW647" s="2410" t="e">
        <f t="shared" si="27"/>
        <v>#VALUE!</v>
      </c>
      <c r="EX647" s="2410"/>
      <c r="EY647" s="2410"/>
      <c r="EZ647" s="2410"/>
      <c r="FA647" s="2410"/>
    </row>
    <row r="648" spans="1:157" ht="13.2">
      <c r="B648" s="84" t="s">
        <v>369</v>
      </c>
      <c r="C648" s="1878"/>
      <c r="D648" s="1878"/>
      <c r="E648" s="1878"/>
      <c r="F648" s="1878"/>
      <c r="G648" s="1878"/>
      <c r="H648" s="1878"/>
      <c r="I648" s="1878"/>
      <c r="J648" s="1878"/>
      <c r="K648" s="1878"/>
      <c r="L648" s="1878"/>
      <c r="M648" s="1878"/>
      <c r="N648" s="2236"/>
      <c r="O648" s="2226"/>
      <c r="P648" s="2227"/>
      <c r="Q648" s="2228"/>
      <c r="R648" s="1966"/>
      <c r="S648" s="1967"/>
      <c r="T648" s="1968"/>
      <c r="U648" s="2220"/>
      <c r="V648" s="2221"/>
      <c r="W648" s="2222"/>
      <c r="X648" s="2152"/>
      <c r="Y648" s="2223"/>
      <c r="Z648" s="2223"/>
      <c r="AA648" s="2223"/>
      <c r="AB648" s="2224"/>
      <c r="AC648" s="2006"/>
      <c r="AD648" s="2007"/>
      <c r="AE648" s="2008"/>
      <c r="AF648" s="1976"/>
      <c r="AG648" s="1977"/>
      <c r="AH648" s="1977"/>
      <c r="AI648" s="1977"/>
      <c r="AJ648" s="1978"/>
      <c r="AK648" s="2089"/>
      <c r="AL648" s="2090"/>
      <c r="AM648" s="2090"/>
      <c r="AN648" s="2091"/>
      <c r="AO648" s="2001"/>
      <c r="AP648" s="2001"/>
      <c r="AQ648" s="2001"/>
      <c r="AR648" s="2001"/>
      <c r="AS648" s="2001"/>
      <c r="AT648" s="239"/>
      <c r="AU648" s="239"/>
      <c r="AV648" s="239"/>
      <c r="AW648" s="239"/>
      <c r="AX648" s="239"/>
      <c r="AY648" s="239"/>
      <c r="AZ648" s="58"/>
      <c r="BA648" s="58"/>
      <c r="BB648" s="58"/>
      <c r="BC648" s="58"/>
      <c r="BD648" s="58"/>
      <c r="BE648" s="58"/>
      <c r="BF648" s="58"/>
      <c r="BG648" s="58"/>
      <c r="BH648" s="58"/>
      <c r="BI648" s="58"/>
      <c r="BJ648" s="58"/>
      <c r="BK648" s="58"/>
      <c r="BL648" s="58"/>
      <c r="BM648" s="58"/>
      <c r="BN648" s="1861">
        <f t="shared" ref="BN648:BN657" si="28">IF(J786="SRO/Studio",O786,0)</f>
        <v>0</v>
      </c>
      <c r="BO648" s="1862"/>
      <c r="BP648" s="1862"/>
      <c r="BQ648" s="1862"/>
      <c r="BR648" s="1863"/>
      <c r="BS648" s="1860">
        <f t="shared" ref="BS648:BS657" si="29">IF(J786="1 Bedroom",O786,0)</f>
        <v>0</v>
      </c>
      <c r="BT648" s="1860"/>
      <c r="BU648" s="1860"/>
      <c r="BV648" s="1860"/>
      <c r="BW648" s="1860"/>
      <c r="BX648" s="1860">
        <f t="shared" ref="BX648:BX657" si="30">IF(J786="2 Bedrooms",O786,0)</f>
        <v>0</v>
      </c>
      <c r="BY648" s="1860"/>
      <c r="BZ648" s="1860"/>
      <c r="CA648" s="1860"/>
      <c r="CB648" s="1860"/>
      <c r="CC648" s="1860">
        <f t="shared" ref="CC648:CC657" si="31">IF(J786="3 Bedrooms",O786,0)</f>
        <v>0</v>
      </c>
      <c r="CD648" s="1860"/>
      <c r="CE648" s="1860"/>
      <c r="CF648" s="1860"/>
      <c r="CG648" s="1860"/>
      <c r="CH648" s="1860">
        <f t="shared" ref="CH648:CH657" si="32">IF(J786="4 Bedrooms",O786,0)</f>
        <v>0</v>
      </c>
      <c r="CI648" s="1860"/>
      <c r="CJ648" s="1860"/>
      <c r="CK648" s="1860"/>
      <c r="CL648" s="1860"/>
      <c r="CM648" s="1860">
        <f t="shared" ref="CM648:CM657" si="33">IF(J786="5 Bedrooms",O786,0)</f>
        <v>0</v>
      </c>
      <c r="CN648" s="1860"/>
      <c r="CO648" s="1860"/>
      <c r="CP648" s="1860"/>
      <c r="CQ648" s="1860"/>
      <c r="CR648" s="265"/>
      <c r="CS648" s="1861">
        <f>IF(AND(BN648&gt;=1,AH786&gt;=0.1,AH786&lt;=1),O786,0)</f>
        <v>0</v>
      </c>
      <c r="CT648" s="1862"/>
      <c r="CU648" s="1862"/>
      <c r="CV648" s="1862"/>
      <c r="CW648" s="1863"/>
      <c r="CX648" s="1861">
        <f>IF(AND(BS648&gt;=1,AH786&gt;=0.1,AH786&lt;=1),O786,0)</f>
        <v>0</v>
      </c>
      <c r="CY648" s="1862"/>
      <c r="CZ648" s="1862"/>
      <c r="DA648" s="1862"/>
      <c r="DB648" s="1863"/>
      <c r="DC648" s="1861">
        <f>IF(AND(BX648&gt;=1,AH786&gt;=0.1,AH786&lt;=1),O786,0)</f>
        <v>0</v>
      </c>
      <c r="DD648" s="1862"/>
      <c r="DE648" s="1862"/>
      <c r="DF648" s="1862"/>
      <c r="DG648" s="1863"/>
      <c r="DH648" s="1861">
        <f>IF(AND(CC648&gt;=1,AH786&gt;=0.1,AH786&lt;=1),O786,0)</f>
        <v>0</v>
      </c>
      <c r="DI648" s="1862"/>
      <c r="DJ648" s="1862"/>
      <c r="DK648" s="1862"/>
      <c r="DL648" s="1863"/>
      <c r="DM648" s="1861">
        <f>IF(AND(CH648&gt;=1,AH786&gt;=0.1,AH786&lt;=1),O786,0)</f>
        <v>0</v>
      </c>
      <c r="DN648" s="1862"/>
      <c r="DO648" s="1862"/>
      <c r="DP648" s="1862"/>
      <c r="DQ648" s="1863"/>
      <c r="DR648" s="1861">
        <f>IF(AND(CM648&gt;=1,AH786&gt;=0.1,AH786&lt;=1),O786,0)</f>
        <v>0</v>
      </c>
      <c r="DS648" s="1862"/>
      <c r="DT648" s="1862"/>
      <c r="DU648" s="1862"/>
      <c r="DV648" s="1863"/>
      <c r="DX648" s="2410" t="e">
        <f t="shared" si="22"/>
        <v>#VALUE!</v>
      </c>
      <c r="DY648" s="2410"/>
      <c r="DZ648" s="2410"/>
      <c r="EA648" s="2410"/>
      <c r="EB648" s="2410"/>
      <c r="EC648" s="2410" t="e">
        <f t="shared" si="23"/>
        <v>#VALUE!</v>
      </c>
      <c r="ED648" s="2410"/>
      <c r="EE648" s="2410"/>
      <c r="EF648" s="2410"/>
      <c r="EG648" s="2410"/>
      <c r="EH648" s="2410">
        <f t="shared" si="24"/>
        <v>957.87096774193549</v>
      </c>
      <c r="EI648" s="2410"/>
      <c r="EJ648" s="2410"/>
      <c r="EK648" s="2410"/>
      <c r="EL648" s="2410"/>
      <c r="EM648" s="2410" t="e">
        <f t="shared" si="25"/>
        <v>#VALUE!</v>
      </c>
      <c r="EN648" s="2410"/>
      <c r="EO648" s="2410"/>
      <c r="EP648" s="2410"/>
      <c r="EQ648" s="2410"/>
      <c r="ER648" s="2410" t="e">
        <f t="shared" si="26"/>
        <v>#VALUE!</v>
      </c>
      <c r="ES648" s="2410"/>
      <c r="ET648" s="2410"/>
      <c r="EU648" s="2410"/>
      <c r="EV648" s="2410"/>
      <c r="EW648" s="2410" t="e">
        <f t="shared" si="27"/>
        <v>#VALUE!</v>
      </c>
      <c r="EX648" s="2410"/>
      <c r="EY648" s="2410"/>
      <c r="EZ648" s="2410"/>
      <c r="FA648" s="2410"/>
    </row>
    <row r="649" spans="1:157" ht="13.2">
      <c r="B649" s="1979" t="s">
        <v>133</v>
      </c>
      <c r="C649" s="1980"/>
      <c r="D649" s="1980"/>
      <c r="E649" s="1980"/>
      <c r="F649" s="1980"/>
      <c r="G649" s="1980"/>
      <c r="H649" s="1980"/>
      <c r="I649" s="1980"/>
      <c r="J649" s="1980"/>
      <c r="K649" s="1980"/>
      <c r="L649" s="1980"/>
      <c r="M649" s="1980"/>
      <c r="N649" s="1980"/>
      <c r="O649" s="1980"/>
      <c r="P649" s="1980"/>
      <c r="Q649" s="1980"/>
      <c r="R649" s="1980"/>
      <c r="S649" s="1980"/>
      <c r="T649" s="1980"/>
      <c r="U649" s="1980"/>
      <c r="V649" s="1980"/>
      <c r="W649" s="1980"/>
      <c r="X649" s="1980"/>
      <c r="Y649" s="1980"/>
      <c r="Z649" s="1980"/>
      <c r="AA649" s="1980"/>
      <c r="AB649" s="1980"/>
      <c r="AC649" s="1980"/>
      <c r="AD649" s="1980"/>
      <c r="AE649" s="1980"/>
      <c r="AF649" s="1980"/>
      <c r="AG649" s="1980"/>
      <c r="AH649" s="1980"/>
      <c r="AI649" s="1980"/>
      <c r="AJ649" s="1980"/>
      <c r="AK649" s="1980"/>
      <c r="AL649" s="1980"/>
      <c r="AM649" s="1980"/>
      <c r="AN649" s="1981"/>
      <c r="AO649" s="2014">
        <f>SUM(AO637:AR648)</f>
        <v>48592420</v>
      </c>
      <c r="AP649" s="2015"/>
      <c r="AQ649" s="2015"/>
      <c r="AR649" s="2015"/>
      <c r="AS649" s="2016"/>
      <c r="AZ649" s="58"/>
      <c r="BA649" s="58"/>
      <c r="BB649" s="58"/>
      <c r="BC649" s="58"/>
      <c r="BD649" s="58"/>
      <c r="BE649" s="58"/>
      <c r="BF649" s="58"/>
      <c r="BG649" s="58"/>
      <c r="BH649" s="58"/>
      <c r="BI649" s="58"/>
      <c r="BJ649" s="58"/>
      <c r="BK649" s="58"/>
      <c r="BL649" s="58"/>
      <c r="BM649" s="58"/>
      <c r="BN649" s="1861">
        <f t="shared" si="28"/>
        <v>0</v>
      </c>
      <c r="BO649" s="1862"/>
      <c r="BP649" s="1862"/>
      <c r="BQ649" s="1862"/>
      <c r="BR649" s="1863"/>
      <c r="BS649" s="1860">
        <f t="shared" si="29"/>
        <v>0</v>
      </c>
      <c r="BT649" s="1860"/>
      <c r="BU649" s="1860"/>
      <c r="BV649" s="1860"/>
      <c r="BW649" s="1860"/>
      <c r="BX649" s="1860">
        <f t="shared" si="30"/>
        <v>0</v>
      </c>
      <c r="BY649" s="1860"/>
      <c r="BZ649" s="1860"/>
      <c r="CA649" s="1860"/>
      <c r="CB649" s="1860"/>
      <c r="CC649" s="1860">
        <f t="shared" si="31"/>
        <v>0</v>
      </c>
      <c r="CD649" s="1860"/>
      <c r="CE649" s="1860"/>
      <c r="CF649" s="1860"/>
      <c r="CG649" s="1860"/>
      <c r="CH649" s="1860">
        <f t="shared" si="32"/>
        <v>0</v>
      </c>
      <c r="CI649" s="1860"/>
      <c r="CJ649" s="1860"/>
      <c r="CK649" s="1860"/>
      <c r="CL649" s="1860"/>
      <c r="CM649" s="1860">
        <f t="shared" si="33"/>
        <v>0</v>
      </c>
      <c r="CN649" s="1860"/>
      <c r="CO649" s="1860"/>
      <c r="CP649" s="1860"/>
      <c r="CQ649" s="1860"/>
      <c r="CR649" s="265"/>
      <c r="CS649" s="1861">
        <f t="shared" ref="CS649:CS657" si="34">IF(AND(BN649&gt;=1,AH787&gt;=0.1,AH787&lt;=1),O787,0)</f>
        <v>0</v>
      </c>
      <c r="CT649" s="1862"/>
      <c r="CU649" s="1862"/>
      <c r="CV649" s="1862"/>
      <c r="CW649" s="1863"/>
      <c r="CX649" s="1861">
        <f t="shared" ref="CX649:CX657" si="35">IF(AND(BS649&gt;=1,AH787&gt;=0.1,AH787&lt;=1),O787,0)</f>
        <v>0</v>
      </c>
      <c r="CY649" s="1862"/>
      <c r="CZ649" s="1862"/>
      <c r="DA649" s="1862"/>
      <c r="DB649" s="1863"/>
      <c r="DC649" s="1861">
        <f t="shared" ref="DC649:DC657" si="36">IF(AND(BX649&gt;=1,AH787&gt;=0.1,AH787&lt;=1),O787,0)</f>
        <v>0</v>
      </c>
      <c r="DD649" s="1862"/>
      <c r="DE649" s="1862"/>
      <c r="DF649" s="1862"/>
      <c r="DG649" s="1863"/>
      <c r="DH649" s="1861">
        <f t="shared" ref="DH649:DH657" si="37">IF(AND(CC649&gt;=1,AH787&gt;=0.1,AH787&lt;=1),O787,0)</f>
        <v>0</v>
      </c>
      <c r="DI649" s="1862"/>
      <c r="DJ649" s="1862"/>
      <c r="DK649" s="1862"/>
      <c r="DL649" s="1863"/>
      <c r="DM649" s="1861">
        <f t="shared" ref="DM649:DM657" si="38">IF(AND(CH649&gt;=1,AH787&gt;=0.1,AH787&lt;=1),O787,0)</f>
        <v>0</v>
      </c>
      <c r="DN649" s="1862"/>
      <c r="DO649" s="1862"/>
      <c r="DP649" s="1862"/>
      <c r="DQ649" s="1863"/>
      <c r="DR649" s="1861">
        <f t="shared" ref="DR649:DR657" si="39">IF(AND(CM649&gt;=1,AH787&gt;=0.1,AH787&lt;=1),O787,0)</f>
        <v>0</v>
      </c>
      <c r="DS649" s="1862"/>
      <c r="DT649" s="1862"/>
      <c r="DU649" s="1862"/>
      <c r="DV649" s="1863"/>
      <c r="DX649" s="2410" t="e">
        <f t="shared" si="22"/>
        <v>#VALUE!</v>
      </c>
      <c r="DY649" s="2410"/>
      <c r="DZ649" s="2410"/>
      <c r="EA649" s="2410"/>
      <c r="EB649" s="2410"/>
      <c r="EC649" s="2410" t="e">
        <f t="shared" si="23"/>
        <v>#VALUE!</v>
      </c>
      <c r="ED649" s="2410"/>
      <c r="EE649" s="2410"/>
      <c r="EF649" s="2410"/>
      <c r="EG649" s="2410"/>
      <c r="EH649" s="2410" t="e">
        <f t="shared" si="24"/>
        <v>#VALUE!</v>
      </c>
      <c r="EI649" s="2410"/>
      <c r="EJ649" s="2410"/>
      <c r="EK649" s="2410"/>
      <c r="EL649" s="2410"/>
      <c r="EM649" s="2410" t="e">
        <f t="shared" si="25"/>
        <v>#VALUE!</v>
      </c>
      <c r="EN649" s="2410"/>
      <c r="EO649" s="2410"/>
      <c r="EP649" s="2410"/>
      <c r="EQ649" s="2410"/>
      <c r="ER649" s="2410" t="e">
        <f t="shared" si="26"/>
        <v>#VALUE!</v>
      </c>
      <c r="ES649" s="2410"/>
      <c r="ET649" s="2410"/>
      <c r="EU649" s="2410"/>
      <c r="EV649" s="2410"/>
      <c r="EW649" s="2410" t="e">
        <f t="shared" si="27"/>
        <v>#VALUE!</v>
      </c>
      <c r="EX649" s="2410"/>
      <c r="EY649" s="2410"/>
      <c r="EZ649" s="2410"/>
      <c r="FA649" s="2410"/>
    </row>
    <row r="650" spans="1:157" ht="12.75" customHeight="1">
      <c r="B650" s="1979" t="s">
        <v>272</v>
      </c>
      <c r="C650" s="1980"/>
      <c r="D650" s="1980"/>
      <c r="E650" s="1980"/>
      <c r="F650" s="1980"/>
      <c r="G650" s="1980"/>
      <c r="H650" s="1980"/>
      <c r="I650" s="1980"/>
      <c r="J650" s="1980"/>
      <c r="K650" s="1980"/>
      <c r="L650" s="1980"/>
      <c r="M650" s="1980"/>
      <c r="N650" s="1980"/>
      <c r="O650" s="1980"/>
      <c r="P650" s="1980"/>
      <c r="Q650" s="1980"/>
      <c r="R650" s="1980"/>
      <c r="S650" s="1980"/>
      <c r="T650" s="1980"/>
      <c r="U650" s="1980"/>
      <c r="V650" s="1980"/>
      <c r="W650" s="1980"/>
      <c r="X650" s="1980"/>
      <c r="Y650" s="1980"/>
      <c r="Z650" s="1980"/>
      <c r="AA650" s="1980"/>
      <c r="AB650" s="1980"/>
      <c r="AC650" s="1980"/>
      <c r="AD650" s="1980"/>
      <c r="AE650" s="1980"/>
      <c r="AF650" s="1980"/>
      <c r="AG650" s="1980"/>
      <c r="AH650" s="1980"/>
      <c r="AI650" s="1980"/>
      <c r="AJ650" s="1980"/>
      <c r="AK650" s="1980"/>
      <c r="AL650" s="1980"/>
      <c r="AM650" s="1980"/>
      <c r="AN650" s="1981"/>
      <c r="AO650" s="1880">
        <v>41731404</v>
      </c>
      <c r="AP650" s="1881"/>
      <c r="AQ650" s="1881"/>
      <c r="AR650" s="1881"/>
      <c r="AS650" s="1882"/>
      <c r="AZ650" s="61"/>
      <c r="BA650" s="61"/>
      <c r="BB650" s="61"/>
      <c r="BC650" s="61"/>
      <c r="BD650" s="61"/>
      <c r="BE650" s="61"/>
      <c r="BF650" s="61"/>
      <c r="BG650" s="61"/>
      <c r="BH650" s="61"/>
      <c r="BI650" s="61"/>
      <c r="BJ650" s="61"/>
      <c r="BK650" s="61"/>
      <c r="BL650" s="61"/>
      <c r="BM650" s="61"/>
      <c r="BN650" s="1861">
        <f t="shared" si="28"/>
        <v>0</v>
      </c>
      <c r="BO650" s="1862"/>
      <c r="BP650" s="1862"/>
      <c r="BQ650" s="1862"/>
      <c r="BR650" s="1863"/>
      <c r="BS650" s="1860">
        <f t="shared" si="29"/>
        <v>0</v>
      </c>
      <c r="BT650" s="1860"/>
      <c r="BU650" s="1860"/>
      <c r="BV650" s="1860"/>
      <c r="BW650" s="1860"/>
      <c r="BX650" s="1860">
        <f t="shared" si="30"/>
        <v>0</v>
      </c>
      <c r="BY650" s="1860"/>
      <c r="BZ650" s="1860"/>
      <c r="CA650" s="1860"/>
      <c r="CB650" s="1860"/>
      <c r="CC650" s="1860">
        <f t="shared" si="31"/>
        <v>0</v>
      </c>
      <c r="CD650" s="1860"/>
      <c r="CE650" s="1860"/>
      <c r="CF650" s="1860"/>
      <c r="CG650" s="1860"/>
      <c r="CH650" s="1860">
        <f t="shared" si="32"/>
        <v>0</v>
      </c>
      <c r="CI650" s="1860"/>
      <c r="CJ650" s="1860"/>
      <c r="CK650" s="1860"/>
      <c r="CL650" s="1860"/>
      <c r="CM650" s="1860">
        <f t="shared" si="33"/>
        <v>0</v>
      </c>
      <c r="CN650" s="1860"/>
      <c r="CO650" s="1860"/>
      <c r="CP650" s="1860"/>
      <c r="CQ650" s="1860"/>
      <c r="CR650" s="265"/>
      <c r="CS650" s="1861">
        <f t="shared" si="34"/>
        <v>0</v>
      </c>
      <c r="CT650" s="1862"/>
      <c r="CU650" s="1862"/>
      <c r="CV650" s="1862"/>
      <c r="CW650" s="1863"/>
      <c r="CX650" s="1861">
        <f t="shared" si="35"/>
        <v>0</v>
      </c>
      <c r="CY650" s="1862"/>
      <c r="CZ650" s="1862"/>
      <c r="DA650" s="1862"/>
      <c r="DB650" s="1863"/>
      <c r="DC650" s="1861">
        <f t="shared" si="36"/>
        <v>0</v>
      </c>
      <c r="DD650" s="1862"/>
      <c r="DE650" s="1862"/>
      <c r="DF650" s="1862"/>
      <c r="DG650" s="1863"/>
      <c r="DH650" s="1861">
        <f t="shared" si="37"/>
        <v>0</v>
      </c>
      <c r="DI650" s="1862"/>
      <c r="DJ650" s="1862"/>
      <c r="DK650" s="1862"/>
      <c r="DL650" s="1863"/>
      <c r="DM650" s="1861">
        <f t="shared" si="38"/>
        <v>0</v>
      </c>
      <c r="DN650" s="1862"/>
      <c r="DO650" s="1862"/>
      <c r="DP650" s="1862"/>
      <c r="DQ650" s="1863"/>
      <c r="DR650" s="1861">
        <f t="shared" si="39"/>
        <v>0</v>
      </c>
      <c r="DS650" s="1862"/>
      <c r="DT650" s="1862"/>
      <c r="DU650" s="1862"/>
      <c r="DV650" s="1863"/>
      <c r="DX650" s="2410" t="e">
        <f t="shared" si="22"/>
        <v>#VALUE!</v>
      </c>
      <c r="DY650" s="2410"/>
      <c r="DZ650" s="2410"/>
      <c r="EA650" s="2410"/>
      <c r="EB650" s="2410"/>
      <c r="EC650" s="2410" t="e">
        <f t="shared" si="23"/>
        <v>#VALUE!</v>
      </c>
      <c r="ED650" s="2410"/>
      <c r="EE650" s="2410"/>
      <c r="EF650" s="2410"/>
      <c r="EG650" s="2410"/>
      <c r="EH650" s="2410" t="e">
        <f t="shared" si="24"/>
        <v>#VALUE!</v>
      </c>
      <c r="EI650" s="2410"/>
      <c r="EJ650" s="2410"/>
      <c r="EK650" s="2410"/>
      <c r="EL650" s="2410"/>
      <c r="EM650" s="2410" t="e">
        <f t="shared" si="25"/>
        <v>#VALUE!</v>
      </c>
      <c r="EN650" s="2410"/>
      <c r="EO650" s="2410"/>
      <c r="EP650" s="2410"/>
      <c r="EQ650" s="2410"/>
      <c r="ER650" s="2410" t="e">
        <f t="shared" si="26"/>
        <v>#VALUE!</v>
      </c>
      <c r="ES650" s="2410"/>
      <c r="ET650" s="2410"/>
      <c r="EU650" s="2410"/>
      <c r="EV650" s="2410"/>
      <c r="EW650" s="2410" t="e">
        <f t="shared" si="27"/>
        <v>#VALUE!</v>
      </c>
      <c r="EX650" s="2410"/>
      <c r="EY650" s="2410"/>
      <c r="EZ650" s="2410"/>
      <c r="FA650" s="2410"/>
    </row>
    <row r="651" spans="1:157" ht="12.75" customHeight="1">
      <c r="B651" s="2095" t="s">
        <v>273</v>
      </c>
      <c r="C651" s="2017"/>
      <c r="D651" s="2017"/>
      <c r="E651" s="2017"/>
      <c r="F651" s="2017"/>
      <c r="G651" s="2017"/>
      <c r="H651" s="2017"/>
      <c r="I651" s="2017"/>
      <c r="J651" s="2017"/>
      <c r="K651" s="2017"/>
      <c r="L651" s="2017"/>
      <c r="M651" s="2017"/>
      <c r="N651" s="2017"/>
      <c r="O651" s="2017"/>
      <c r="P651" s="2017"/>
      <c r="Q651" s="2017"/>
      <c r="R651" s="2017"/>
      <c r="S651" s="2017"/>
      <c r="T651" s="2017"/>
      <c r="U651" s="2017"/>
      <c r="V651" s="2017"/>
      <c r="W651" s="2017"/>
      <c r="X651" s="2017"/>
      <c r="Y651" s="2017"/>
      <c r="Z651" s="2017"/>
      <c r="AA651" s="2017"/>
      <c r="AB651" s="2017"/>
      <c r="AC651" s="2017"/>
      <c r="AD651" s="2017"/>
      <c r="AE651" s="2017"/>
      <c r="AF651" s="2017"/>
      <c r="AG651" s="2017"/>
      <c r="AH651" s="2017"/>
      <c r="AI651" s="2017"/>
      <c r="AJ651" s="2017"/>
      <c r="AK651" s="2017"/>
      <c r="AL651" s="2017"/>
      <c r="AM651" s="2017"/>
      <c r="AN651" s="2096"/>
      <c r="AO651" s="2014">
        <f>AO649+AO650</f>
        <v>90323824</v>
      </c>
      <c r="AP651" s="2015"/>
      <c r="AQ651" s="2015"/>
      <c r="AR651" s="2015"/>
      <c r="AS651" s="2016"/>
      <c r="AZ651" s="61"/>
      <c r="BA651" s="61"/>
      <c r="BB651" s="61"/>
      <c r="BC651" s="61"/>
      <c r="BD651" s="61"/>
      <c r="BE651" s="61"/>
      <c r="BF651" s="61"/>
      <c r="BG651" s="61"/>
      <c r="BH651" s="61"/>
      <c r="BI651" s="61"/>
      <c r="BJ651" s="61"/>
      <c r="BK651" s="61"/>
      <c r="BL651" s="61"/>
      <c r="BM651" s="61"/>
      <c r="BN651" s="1861">
        <f t="shared" si="28"/>
        <v>0</v>
      </c>
      <c r="BO651" s="1862"/>
      <c r="BP651" s="1862"/>
      <c r="BQ651" s="1862"/>
      <c r="BR651" s="1863"/>
      <c r="BS651" s="1860">
        <f t="shared" si="29"/>
        <v>0</v>
      </c>
      <c r="BT651" s="1860"/>
      <c r="BU651" s="1860"/>
      <c r="BV651" s="1860"/>
      <c r="BW651" s="1860"/>
      <c r="BX651" s="1860">
        <f t="shared" si="30"/>
        <v>0</v>
      </c>
      <c r="BY651" s="1860"/>
      <c r="BZ651" s="1860"/>
      <c r="CA651" s="1860"/>
      <c r="CB651" s="1860"/>
      <c r="CC651" s="1860">
        <f t="shared" si="31"/>
        <v>0</v>
      </c>
      <c r="CD651" s="1860"/>
      <c r="CE651" s="1860"/>
      <c r="CF651" s="1860"/>
      <c r="CG651" s="1860"/>
      <c r="CH651" s="1860">
        <f t="shared" si="32"/>
        <v>0</v>
      </c>
      <c r="CI651" s="1860"/>
      <c r="CJ651" s="1860"/>
      <c r="CK651" s="1860"/>
      <c r="CL651" s="1860"/>
      <c r="CM651" s="1860">
        <f t="shared" si="33"/>
        <v>0</v>
      </c>
      <c r="CN651" s="1860"/>
      <c r="CO651" s="1860"/>
      <c r="CP651" s="1860"/>
      <c r="CQ651" s="1860"/>
      <c r="CR651" s="265"/>
      <c r="CS651" s="1861">
        <f t="shared" si="34"/>
        <v>0</v>
      </c>
      <c r="CT651" s="1862"/>
      <c r="CU651" s="1862"/>
      <c r="CV651" s="1862"/>
      <c r="CW651" s="1863"/>
      <c r="CX651" s="1861">
        <f t="shared" si="35"/>
        <v>0</v>
      </c>
      <c r="CY651" s="1862"/>
      <c r="CZ651" s="1862"/>
      <c r="DA651" s="1862"/>
      <c r="DB651" s="1863"/>
      <c r="DC651" s="1861">
        <f t="shared" si="36"/>
        <v>0</v>
      </c>
      <c r="DD651" s="1862"/>
      <c r="DE651" s="1862"/>
      <c r="DF651" s="1862"/>
      <c r="DG651" s="1863"/>
      <c r="DH651" s="1861">
        <f t="shared" si="37"/>
        <v>0</v>
      </c>
      <c r="DI651" s="1862"/>
      <c r="DJ651" s="1862"/>
      <c r="DK651" s="1862"/>
      <c r="DL651" s="1863"/>
      <c r="DM651" s="1861">
        <f t="shared" si="38"/>
        <v>0</v>
      </c>
      <c r="DN651" s="1862"/>
      <c r="DO651" s="1862"/>
      <c r="DP651" s="1862"/>
      <c r="DQ651" s="1863"/>
      <c r="DR651" s="1861">
        <f t="shared" si="39"/>
        <v>0</v>
      </c>
      <c r="DS651" s="1862"/>
      <c r="DT651" s="1862"/>
      <c r="DU651" s="1862"/>
      <c r="DV651" s="1863"/>
      <c r="DX651" s="2410" t="e">
        <f t="shared" si="22"/>
        <v>#VALUE!</v>
      </c>
      <c r="DY651" s="2410"/>
      <c r="DZ651" s="2410"/>
      <c r="EA651" s="2410"/>
      <c r="EB651" s="2410"/>
      <c r="EC651" s="2410" t="e">
        <f t="shared" si="23"/>
        <v>#VALUE!</v>
      </c>
      <c r="ED651" s="2410"/>
      <c r="EE651" s="2410"/>
      <c r="EF651" s="2410"/>
      <c r="EG651" s="2410"/>
      <c r="EH651" s="2410" t="e">
        <f t="shared" si="24"/>
        <v>#VALUE!</v>
      </c>
      <c r="EI651" s="2410"/>
      <c r="EJ651" s="2410"/>
      <c r="EK651" s="2410"/>
      <c r="EL651" s="2410"/>
      <c r="EM651" s="2410" t="e">
        <f t="shared" si="25"/>
        <v>#VALUE!</v>
      </c>
      <c r="EN651" s="2410"/>
      <c r="EO651" s="2410"/>
      <c r="EP651" s="2410"/>
      <c r="EQ651" s="2410"/>
      <c r="ER651" s="2410" t="e">
        <f t="shared" si="26"/>
        <v>#VALUE!</v>
      </c>
      <c r="ES651" s="2410"/>
      <c r="ET651" s="2410"/>
      <c r="EU651" s="2410"/>
      <c r="EV651" s="2410"/>
      <c r="EW651" s="2410" t="e">
        <f t="shared" si="27"/>
        <v>#VALUE!</v>
      </c>
      <c r="EX651" s="2410"/>
      <c r="EY651" s="2410"/>
      <c r="EZ651" s="2410"/>
      <c r="FA651" s="2410"/>
    </row>
    <row r="652" spans="1:157" ht="13.2">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861">
        <f t="shared" si="28"/>
        <v>0</v>
      </c>
      <c r="BO652" s="1862"/>
      <c r="BP652" s="1862"/>
      <c r="BQ652" s="1862"/>
      <c r="BR652" s="1863"/>
      <c r="BS652" s="1860">
        <f t="shared" si="29"/>
        <v>0</v>
      </c>
      <c r="BT652" s="1860"/>
      <c r="BU652" s="1860"/>
      <c r="BV652" s="1860"/>
      <c r="BW652" s="1860"/>
      <c r="BX652" s="1860">
        <f t="shared" si="30"/>
        <v>0</v>
      </c>
      <c r="BY652" s="1860"/>
      <c r="BZ652" s="1860"/>
      <c r="CA652" s="1860"/>
      <c r="CB652" s="1860"/>
      <c r="CC652" s="1860">
        <f t="shared" si="31"/>
        <v>0</v>
      </c>
      <c r="CD652" s="1860"/>
      <c r="CE652" s="1860"/>
      <c r="CF652" s="1860"/>
      <c r="CG652" s="1860"/>
      <c r="CH652" s="1860">
        <f t="shared" si="32"/>
        <v>0</v>
      </c>
      <c r="CI652" s="1860"/>
      <c r="CJ652" s="1860"/>
      <c r="CK652" s="1860"/>
      <c r="CL652" s="1860"/>
      <c r="CM652" s="1860">
        <f t="shared" si="33"/>
        <v>0</v>
      </c>
      <c r="CN652" s="1860"/>
      <c r="CO652" s="1860"/>
      <c r="CP652" s="1860"/>
      <c r="CQ652" s="1860"/>
      <c r="CR652" s="265"/>
      <c r="CS652" s="1861">
        <f t="shared" si="34"/>
        <v>0</v>
      </c>
      <c r="CT652" s="1862"/>
      <c r="CU652" s="1862"/>
      <c r="CV652" s="1862"/>
      <c r="CW652" s="1863"/>
      <c r="CX652" s="1861">
        <f t="shared" si="35"/>
        <v>0</v>
      </c>
      <c r="CY652" s="1862"/>
      <c r="CZ652" s="1862"/>
      <c r="DA652" s="1862"/>
      <c r="DB652" s="1863"/>
      <c r="DC652" s="1861">
        <f t="shared" si="36"/>
        <v>0</v>
      </c>
      <c r="DD652" s="1862"/>
      <c r="DE652" s="1862"/>
      <c r="DF652" s="1862"/>
      <c r="DG652" s="1863"/>
      <c r="DH652" s="1861">
        <f t="shared" si="37"/>
        <v>0</v>
      </c>
      <c r="DI652" s="1862"/>
      <c r="DJ652" s="1862"/>
      <c r="DK652" s="1862"/>
      <c r="DL652" s="1863"/>
      <c r="DM652" s="1861">
        <f t="shared" si="38"/>
        <v>0</v>
      </c>
      <c r="DN652" s="1862"/>
      <c r="DO652" s="1862"/>
      <c r="DP652" s="1862"/>
      <c r="DQ652" s="1863"/>
      <c r="DR652" s="1861">
        <f t="shared" si="39"/>
        <v>0</v>
      </c>
      <c r="DS652" s="1862"/>
      <c r="DT652" s="1862"/>
      <c r="DU652" s="1862"/>
      <c r="DV652" s="1863"/>
      <c r="DX652" s="2410" t="e">
        <f t="shared" si="22"/>
        <v>#VALUE!</v>
      </c>
      <c r="DY652" s="2410"/>
      <c r="DZ652" s="2410"/>
      <c r="EA652" s="2410"/>
      <c r="EB652" s="2410"/>
      <c r="EC652" s="2410" t="e">
        <f t="shared" si="23"/>
        <v>#VALUE!</v>
      </c>
      <c r="ED652" s="2410"/>
      <c r="EE652" s="2410"/>
      <c r="EF652" s="2410"/>
      <c r="EG652" s="2410"/>
      <c r="EH652" s="2410" t="e">
        <f t="shared" si="24"/>
        <v>#VALUE!</v>
      </c>
      <c r="EI652" s="2410"/>
      <c r="EJ652" s="2410"/>
      <c r="EK652" s="2410"/>
      <c r="EL652" s="2410"/>
      <c r="EM652" s="2410" t="e">
        <f t="shared" si="25"/>
        <v>#VALUE!</v>
      </c>
      <c r="EN652" s="2410"/>
      <c r="EO652" s="2410"/>
      <c r="EP652" s="2410"/>
      <c r="EQ652" s="2410"/>
      <c r="ER652" s="2410" t="e">
        <f t="shared" si="26"/>
        <v>#VALUE!</v>
      </c>
      <c r="ES652" s="2410"/>
      <c r="ET652" s="2410"/>
      <c r="EU652" s="2410"/>
      <c r="EV652" s="2410"/>
      <c r="EW652" s="2410" t="e">
        <f t="shared" si="27"/>
        <v>#VALUE!</v>
      </c>
      <c r="EX652" s="2410"/>
      <c r="EY652" s="2410"/>
      <c r="EZ652" s="2410"/>
      <c r="FA652" s="2410"/>
    </row>
    <row r="653" spans="1:157" ht="13.2">
      <c r="A653" s="87" t="s">
        <v>117</v>
      </c>
      <c r="B653" s="12" t="s">
        <v>487</v>
      </c>
      <c r="G653" s="1888" t="str">
        <f>C637</f>
        <v>Tax-Exempt Perm Loan</v>
      </c>
      <c r="H653" s="1888"/>
      <c r="I653" s="1888"/>
      <c r="J653" s="1888"/>
      <c r="K653" s="1888"/>
      <c r="L653" s="1888"/>
      <c r="M653" s="1888"/>
      <c r="N653" s="1888"/>
      <c r="O653" s="1888"/>
      <c r="P653" s="1888"/>
      <c r="Q653" s="1888"/>
      <c r="R653" s="1888"/>
      <c r="S653" s="14"/>
      <c r="T653" s="87" t="s">
        <v>118</v>
      </c>
      <c r="U653" s="12" t="s">
        <v>487</v>
      </c>
      <c r="Z653" s="1888" t="str">
        <f>C638</f>
        <v>HCD AHSC</v>
      </c>
      <c r="AA653" s="1888"/>
      <c r="AB653" s="1888"/>
      <c r="AC653" s="1888"/>
      <c r="AD653" s="1888"/>
      <c r="AE653" s="1888"/>
      <c r="AF653" s="1888"/>
      <c r="AG653" s="1888"/>
      <c r="AH653" s="1888"/>
      <c r="AI653" s="1888"/>
      <c r="AJ653" s="1888"/>
      <c r="AK653" s="1888"/>
      <c r="AZ653" s="61"/>
      <c r="BA653" s="61"/>
      <c r="BB653" s="61"/>
      <c r="BC653" s="61"/>
      <c r="BD653" s="61"/>
      <c r="BE653" s="61"/>
      <c r="BF653" s="61"/>
      <c r="BG653" s="61"/>
      <c r="BH653" s="61"/>
      <c r="BI653" s="61"/>
      <c r="BJ653" s="61"/>
      <c r="BK653" s="61"/>
      <c r="BL653" s="61"/>
      <c r="BM653" s="61"/>
      <c r="BN653" s="1861">
        <f t="shared" si="28"/>
        <v>0</v>
      </c>
      <c r="BO653" s="1862"/>
      <c r="BP653" s="1862"/>
      <c r="BQ653" s="1862"/>
      <c r="BR653" s="1863"/>
      <c r="BS653" s="1860">
        <f t="shared" si="29"/>
        <v>0</v>
      </c>
      <c r="BT653" s="1860"/>
      <c r="BU653" s="1860"/>
      <c r="BV653" s="1860"/>
      <c r="BW653" s="1860"/>
      <c r="BX653" s="1860">
        <f t="shared" si="30"/>
        <v>0</v>
      </c>
      <c r="BY653" s="1860"/>
      <c r="BZ653" s="1860"/>
      <c r="CA653" s="1860"/>
      <c r="CB653" s="1860"/>
      <c r="CC653" s="1860">
        <f t="shared" si="31"/>
        <v>0</v>
      </c>
      <c r="CD653" s="1860"/>
      <c r="CE653" s="1860"/>
      <c r="CF653" s="1860"/>
      <c r="CG653" s="1860"/>
      <c r="CH653" s="1860">
        <f t="shared" si="32"/>
        <v>0</v>
      </c>
      <c r="CI653" s="1860"/>
      <c r="CJ653" s="1860"/>
      <c r="CK653" s="1860"/>
      <c r="CL653" s="1860"/>
      <c r="CM653" s="1860">
        <f t="shared" si="33"/>
        <v>0</v>
      </c>
      <c r="CN653" s="1860"/>
      <c r="CO653" s="1860"/>
      <c r="CP653" s="1860"/>
      <c r="CQ653" s="1860"/>
      <c r="CR653" s="265"/>
      <c r="CS653" s="1861">
        <f t="shared" si="34"/>
        <v>0</v>
      </c>
      <c r="CT653" s="1862"/>
      <c r="CU653" s="1862"/>
      <c r="CV653" s="1862"/>
      <c r="CW653" s="1863"/>
      <c r="CX653" s="1861">
        <f t="shared" si="35"/>
        <v>0</v>
      </c>
      <c r="CY653" s="1862"/>
      <c r="CZ653" s="1862"/>
      <c r="DA653" s="1862"/>
      <c r="DB653" s="1863"/>
      <c r="DC653" s="1861">
        <f t="shared" si="36"/>
        <v>0</v>
      </c>
      <c r="DD653" s="1862"/>
      <c r="DE653" s="1862"/>
      <c r="DF653" s="1862"/>
      <c r="DG653" s="1863"/>
      <c r="DH653" s="1861">
        <f t="shared" si="37"/>
        <v>0</v>
      </c>
      <c r="DI653" s="1862"/>
      <c r="DJ653" s="1862"/>
      <c r="DK653" s="1862"/>
      <c r="DL653" s="1863"/>
      <c r="DM653" s="1861">
        <f t="shared" si="38"/>
        <v>0</v>
      </c>
      <c r="DN653" s="1862"/>
      <c r="DO653" s="1862"/>
      <c r="DP653" s="1862"/>
      <c r="DQ653" s="1863"/>
      <c r="DR653" s="1861">
        <f t="shared" si="39"/>
        <v>0</v>
      </c>
      <c r="DS653" s="1862"/>
      <c r="DT653" s="1862"/>
      <c r="DU653" s="1862"/>
      <c r="DV653" s="1863"/>
      <c r="DX653" s="2410" t="e">
        <f t="shared" si="22"/>
        <v>#VALUE!</v>
      </c>
      <c r="DY653" s="2410"/>
      <c r="DZ653" s="2410"/>
      <c r="EA653" s="2410"/>
      <c r="EB653" s="2410"/>
      <c r="EC653" s="2410" t="e">
        <f t="shared" si="23"/>
        <v>#VALUE!</v>
      </c>
      <c r="ED653" s="2410"/>
      <c r="EE653" s="2410"/>
      <c r="EF653" s="2410"/>
      <c r="EG653" s="2410"/>
      <c r="EH653" s="2410" t="e">
        <f t="shared" si="24"/>
        <v>#VALUE!</v>
      </c>
      <c r="EI653" s="2410"/>
      <c r="EJ653" s="2410"/>
      <c r="EK653" s="2410"/>
      <c r="EL653" s="2410"/>
      <c r="EM653" s="2410" t="e">
        <f t="shared" si="25"/>
        <v>#VALUE!</v>
      </c>
      <c r="EN653" s="2410"/>
      <c r="EO653" s="2410"/>
      <c r="EP653" s="2410"/>
      <c r="EQ653" s="2410"/>
      <c r="ER653" s="2410" t="e">
        <f t="shared" si="26"/>
        <v>#VALUE!</v>
      </c>
      <c r="ES653" s="2410"/>
      <c r="ET653" s="2410"/>
      <c r="EU653" s="2410"/>
      <c r="EV653" s="2410"/>
      <c r="EW653" s="2410" t="e">
        <f t="shared" si="27"/>
        <v>#VALUE!</v>
      </c>
      <c r="EX653" s="2410"/>
      <c r="EY653" s="2410"/>
      <c r="EZ653" s="2410"/>
      <c r="FA653" s="2410"/>
    </row>
    <row r="654" spans="1:157" ht="13.2">
      <c r="A654" s="35"/>
      <c r="B654" s="12" t="s">
        <v>90</v>
      </c>
      <c r="G654" s="1887" t="s">
        <v>2569</v>
      </c>
      <c r="H654" s="1887"/>
      <c r="I654" s="1887"/>
      <c r="J654" s="1887"/>
      <c r="K654" s="1887"/>
      <c r="L654" s="1887"/>
      <c r="M654" s="1887"/>
      <c r="N654" s="1887"/>
      <c r="O654" s="1887"/>
      <c r="P654" s="1887"/>
      <c r="Q654" s="1887"/>
      <c r="R654" s="1887"/>
      <c r="S654" s="14"/>
      <c r="T654" s="35"/>
      <c r="U654" s="12" t="s">
        <v>90</v>
      </c>
      <c r="Z654" s="1887" t="s">
        <v>2587</v>
      </c>
      <c r="AA654" s="1887"/>
      <c r="AB654" s="1887"/>
      <c r="AC654" s="1887"/>
      <c r="AD654" s="1887"/>
      <c r="AE654" s="1887"/>
      <c r="AF654" s="1887"/>
      <c r="AG654" s="1887"/>
      <c r="AH654" s="1887"/>
      <c r="AI654" s="1887"/>
      <c r="AJ654" s="1887"/>
      <c r="AK654" s="1887"/>
      <c r="AZ654" s="61"/>
      <c r="BA654" s="61"/>
      <c r="BB654" s="61"/>
      <c r="BC654" s="61"/>
      <c r="BD654" s="61"/>
      <c r="BE654" s="61"/>
      <c r="BF654" s="61"/>
      <c r="BG654" s="61"/>
      <c r="BH654" s="61"/>
      <c r="BI654" s="61"/>
      <c r="BJ654" s="61"/>
      <c r="BK654" s="61"/>
      <c r="BL654" s="61"/>
      <c r="BM654" s="61"/>
      <c r="BN654" s="1861">
        <f t="shared" si="28"/>
        <v>0</v>
      </c>
      <c r="BO654" s="1862"/>
      <c r="BP654" s="1862"/>
      <c r="BQ654" s="1862"/>
      <c r="BR654" s="1863"/>
      <c r="BS654" s="1860">
        <f t="shared" si="29"/>
        <v>0</v>
      </c>
      <c r="BT654" s="1860"/>
      <c r="BU654" s="1860"/>
      <c r="BV654" s="1860"/>
      <c r="BW654" s="1860"/>
      <c r="BX654" s="1860">
        <f t="shared" si="30"/>
        <v>0</v>
      </c>
      <c r="BY654" s="1860"/>
      <c r="BZ654" s="1860"/>
      <c r="CA654" s="1860"/>
      <c r="CB654" s="1860"/>
      <c r="CC654" s="1860">
        <f t="shared" si="31"/>
        <v>0</v>
      </c>
      <c r="CD654" s="1860"/>
      <c r="CE654" s="1860"/>
      <c r="CF654" s="1860"/>
      <c r="CG654" s="1860"/>
      <c r="CH654" s="1860">
        <f t="shared" si="32"/>
        <v>0</v>
      </c>
      <c r="CI654" s="1860"/>
      <c r="CJ654" s="1860"/>
      <c r="CK654" s="1860"/>
      <c r="CL654" s="1860"/>
      <c r="CM654" s="1860">
        <f t="shared" si="33"/>
        <v>0</v>
      </c>
      <c r="CN654" s="1860"/>
      <c r="CO654" s="1860"/>
      <c r="CP654" s="1860"/>
      <c r="CQ654" s="1860"/>
      <c r="CR654" s="265"/>
      <c r="CS654" s="1861">
        <f t="shared" si="34"/>
        <v>0</v>
      </c>
      <c r="CT654" s="1862"/>
      <c r="CU654" s="1862"/>
      <c r="CV654" s="1862"/>
      <c r="CW654" s="1863"/>
      <c r="CX654" s="1861">
        <f t="shared" si="35"/>
        <v>0</v>
      </c>
      <c r="CY654" s="1862"/>
      <c r="CZ654" s="1862"/>
      <c r="DA654" s="1862"/>
      <c r="DB654" s="1863"/>
      <c r="DC654" s="1861">
        <f t="shared" si="36"/>
        <v>0</v>
      </c>
      <c r="DD654" s="1862"/>
      <c r="DE654" s="1862"/>
      <c r="DF654" s="1862"/>
      <c r="DG654" s="1863"/>
      <c r="DH654" s="1861">
        <f t="shared" si="37"/>
        <v>0</v>
      </c>
      <c r="DI654" s="1862"/>
      <c r="DJ654" s="1862"/>
      <c r="DK654" s="1862"/>
      <c r="DL654" s="1863"/>
      <c r="DM654" s="1861">
        <f t="shared" si="38"/>
        <v>0</v>
      </c>
      <c r="DN654" s="1862"/>
      <c r="DO654" s="1862"/>
      <c r="DP654" s="1862"/>
      <c r="DQ654" s="1863"/>
      <c r="DR654" s="1861">
        <f t="shared" si="39"/>
        <v>0</v>
      </c>
      <c r="DS654" s="1862"/>
      <c r="DT654" s="1862"/>
      <c r="DU654" s="1862"/>
      <c r="DV654" s="1863"/>
      <c r="DX654" s="2410" t="e">
        <f t="shared" si="22"/>
        <v>#VALUE!</v>
      </c>
      <c r="DY654" s="2410"/>
      <c r="DZ654" s="2410"/>
      <c r="EA654" s="2410"/>
      <c r="EB654" s="2410"/>
      <c r="EC654" s="2410" t="e">
        <f t="shared" si="23"/>
        <v>#VALUE!</v>
      </c>
      <c r="ED654" s="2410"/>
      <c r="EE654" s="2410"/>
      <c r="EF654" s="2410"/>
      <c r="EG654" s="2410"/>
      <c r="EH654" s="2410" t="e">
        <f t="shared" si="24"/>
        <v>#VALUE!</v>
      </c>
      <c r="EI654" s="2410"/>
      <c r="EJ654" s="2410"/>
      <c r="EK654" s="2410"/>
      <c r="EL654" s="2410"/>
      <c r="EM654" s="2410" t="e">
        <f t="shared" si="25"/>
        <v>#VALUE!</v>
      </c>
      <c r="EN654" s="2410"/>
      <c r="EO654" s="2410"/>
      <c r="EP654" s="2410"/>
      <c r="EQ654" s="2410"/>
      <c r="ER654" s="2410" t="e">
        <f t="shared" si="26"/>
        <v>#VALUE!</v>
      </c>
      <c r="ES654" s="2410"/>
      <c r="ET654" s="2410"/>
      <c r="EU654" s="2410"/>
      <c r="EV654" s="2410"/>
      <c r="EW654" s="2410" t="e">
        <f t="shared" si="27"/>
        <v>#VALUE!</v>
      </c>
      <c r="EX654" s="2410"/>
      <c r="EY654" s="2410"/>
      <c r="EZ654" s="2410"/>
      <c r="FA654" s="2410"/>
    </row>
    <row r="655" spans="1:157" ht="13.2">
      <c r="A655" s="35"/>
      <c r="B655" s="12" t="s">
        <v>605</v>
      </c>
      <c r="G655" s="1887" t="s">
        <v>2570</v>
      </c>
      <c r="H655" s="1887"/>
      <c r="I655" s="1887"/>
      <c r="J655" s="1887"/>
      <c r="K655" s="1887"/>
      <c r="L655" s="1887"/>
      <c r="M655" s="1887"/>
      <c r="N655" s="1887"/>
      <c r="O655" s="1887"/>
      <c r="P655" s="1887"/>
      <c r="Q655" s="1887"/>
      <c r="R655" s="1887"/>
      <c r="S655" s="88"/>
      <c r="T655" s="35"/>
      <c r="U655" s="12" t="s">
        <v>605</v>
      </c>
      <c r="Z655" s="1889" t="s">
        <v>2588</v>
      </c>
      <c r="AA655" s="1889"/>
      <c r="AB655" s="1889"/>
      <c r="AC655" s="1889"/>
      <c r="AD655" s="1889"/>
      <c r="AE655" s="1889"/>
      <c r="AF655" s="1889"/>
      <c r="AG655" s="1889"/>
      <c r="AH655" s="1889"/>
      <c r="AI655" s="1889"/>
      <c r="AJ655" s="1889"/>
      <c r="AK655" s="1889"/>
      <c r="AZ655" s="61"/>
      <c r="BA655" s="61"/>
      <c r="BB655" s="61"/>
      <c r="BC655" s="61"/>
      <c r="BD655" s="61"/>
      <c r="BE655" s="61"/>
      <c r="BF655" s="61"/>
      <c r="BG655" s="61"/>
      <c r="BH655" s="61"/>
      <c r="BI655" s="61"/>
      <c r="BJ655" s="61"/>
      <c r="BK655" s="61"/>
      <c r="BL655" s="61"/>
      <c r="BM655" s="61"/>
      <c r="BN655" s="1861">
        <f t="shared" si="28"/>
        <v>0</v>
      </c>
      <c r="BO655" s="1862"/>
      <c r="BP655" s="1862"/>
      <c r="BQ655" s="1862"/>
      <c r="BR655" s="1863"/>
      <c r="BS655" s="1860">
        <f t="shared" si="29"/>
        <v>0</v>
      </c>
      <c r="BT655" s="1860"/>
      <c r="BU655" s="1860"/>
      <c r="BV655" s="1860"/>
      <c r="BW655" s="1860"/>
      <c r="BX655" s="1860">
        <f t="shared" si="30"/>
        <v>0</v>
      </c>
      <c r="BY655" s="1860"/>
      <c r="BZ655" s="1860"/>
      <c r="CA655" s="1860"/>
      <c r="CB655" s="1860"/>
      <c r="CC655" s="1860">
        <f t="shared" si="31"/>
        <v>0</v>
      </c>
      <c r="CD655" s="1860"/>
      <c r="CE655" s="1860"/>
      <c r="CF655" s="1860"/>
      <c r="CG655" s="1860"/>
      <c r="CH655" s="1860">
        <f t="shared" si="32"/>
        <v>0</v>
      </c>
      <c r="CI655" s="1860"/>
      <c r="CJ655" s="1860"/>
      <c r="CK655" s="1860"/>
      <c r="CL655" s="1860"/>
      <c r="CM655" s="1860">
        <f t="shared" si="33"/>
        <v>0</v>
      </c>
      <c r="CN655" s="1860"/>
      <c r="CO655" s="1860"/>
      <c r="CP655" s="1860"/>
      <c r="CQ655" s="1860"/>
      <c r="CR655" s="265"/>
      <c r="CS655" s="1861">
        <f t="shared" si="34"/>
        <v>0</v>
      </c>
      <c r="CT655" s="1862"/>
      <c r="CU655" s="1862"/>
      <c r="CV655" s="1862"/>
      <c r="CW655" s="1863"/>
      <c r="CX655" s="1861">
        <f t="shared" si="35"/>
        <v>0</v>
      </c>
      <c r="CY655" s="1862"/>
      <c r="CZ655" s="1862"/>
      <c r="DA655" s="1862"/>
      <c r="DB655" s="1863"/>
      <c r="DC655" s="1861">
        <f t="shared" si="36"/>
        <v>0</v>
      </c>
      <c r="DD655" s="1862"/>
      <c r="DE655" s="1862"/>
      <c r="DF655" s="1862"/>
      <c r="DG655" s="1863"/>
      <c r="DH655" s="1861">
        <f t="shared" si="37"/>
        <v>0</v>
      </c>
      <c r="DI655" s="1862"/>
      <c r="DJ655" s="1862"/>
      <c r="DK655" s="1862"/>
      <c r="DL655" s="1863"/>
      <c r="DM655" s="1861">
        <f t="shared" si="38"/>
        <v>0</v>
      </c>
      <c r="DN655" s="1862"/>
      <c r="DO655" s="1862"/>
      <c r="DP655" s="1862"/>
      <c r="DQ655" s="1863"/>
      <c r="DR655" s="1861">
        <f t="shared" si="39"/>
        <v>0</v>
      </c>
      <c r="DS655" s="1862"/>
      <c r="DT655" s="1862"/>
      <c r="DU655" s="1862"/>
      <c r="DV655" s="1863"/>
      <c r="DX655" s="2410" t="e">
        <f t="shared" si="22"/>
        <v>#VALUE!</v>
      </c>
      <c r="DY655" s="2410"/>
      <c r="DZ655" s="2410"/>
      <c r="EA655" s="2410"/>
      <c r="EB655" s="2410"/>
      <c r="EC655" s="2410" t="e">
        <f t="shared" si="23"/>
        <v>#VALUE!</v>
      </c>
      <c r="ED655" s="2410"/>
      <c r="EE655" s="2410"/>
      <c r="EF655" s="2410"/>
      <c r="EG655" s="2410"/>
      <c r="EH655" s="2410" t="e">
        <f t="shared" si="24"/>
        <v>#VALUE!</v>
      </c>
      <c r="EI655" s="2410"/>
      <c r="EJ655" s="2410"/>
      <c r="EK655" s="2410"/>
      <c r="EL655" s="2410"/>
      <c r="EM655" s="2410" t="e">
        <f t="shared" si="25"/>
        <v>#VALUE!</v>
      </c>
      <c r="EN655" s="2410"/>
      <c r="EO655" s="2410"/>
      <c r="EP655" s="2410"/>
      <c r="EQ655" s="2410"/>
      <c r="ER655" s="2410" t="e">
        <f t="shared" si="26"/>
        <v>#VALUE!</v>
      </c>
      <c r="ES655" s="2410"/>
      <c r="ET655" s="2410"/>
      <c r="EU655" s="2410"/>
      <c r="EV655" s="2410"/>
      <c r="EW655" s="2410" t="e">
        <f t="shared" si="27"/>
        <v>#VALUE!</v>
      </c>
      <c r="EX655" s="2410"/>
      <c r="EY655" s="2410"/>
      <c r="EZ655" s="2410"/>
      <c r="FA655" s="2410"/>
    </row>
    <row r="656" spans="1:157" ht="13.2">
      <c r="A656" s="35"/>
      <c r="B656" s="12" t="s">
        <v>17</v>
      </c>
      <c r="G656" s="1887" t="s">
        <v>2571</v>
      </c>
      <c r="H656" s="1887"/>
      <c r="I656" s="1887"/>
      <c r="J656" s="1887"/>
      <c r="K656" s="1887"/>
      <c r="L656" s="1887"/>
      <c r="M656" s="1887"/>
      <c r="N656" s="1887"/>
      <c r="O656" s="1887"/>
      <c r="P656" s="1887"/>
      <c r="Q656" s="1887"/>
      <c r="R656" s="1887"/>
      <c r="S656" s="14"/>
      <c r="T656" s="35"/>
      <c r="U656" s="12" t="s">
        <v>17</v>
      </c>
      <c r="Z656" s="1889" t="s">
        <v>2589</v>
      </c>
      <c r="AA656" s="1889"/>
      <c r="AB656" s="1889"/>
      <c r="AC656" s="1889"/>
      <c r="AD656" s="1889"/>
      <c r="AE656" s="1889"/>
      <c r="AF656" s="1889"/>
      <c r="AG656" s="1889"/>
      <c r="AH656" s="1889"/>
      <c r="AI656" s="1889"/>
      <c r="AJ656" s="1889"/>
      <c r="AK656" s="1889"/>
      <c r="AZ656" s="61"/>
      <c r="BA656" s="61"/>
      <c r="BB656" s="61"/>
      <c r="BC656" s="61"/>
      <c r="BD656" s="61"/>
      <c r="BE656" s="61"/>
      <c r="BF656" s="61"/>
      <c r="BG656" s="61"/>
      <c r="BH656" s="61"/>
      <c r="BI656" s="61"/>
      <c r="BJ656" s="61"/>
      <c r="BK656" s="61"/>
      <c r="BL656" s="61"/>
      <c r="BM656" s="61"/>
      <c r="BN656" s="1861">
        <f t="shared" si="28"/>
        <v>0</v>
      </c>
      <c r="BO656" s="1862"/>
      <c r="BP656" s="1862"/>
      <c r="BQ656" s="1862"/>
      <c r="BR656" s="1863"/>
      <c r="BS656" s="1860">
        <f t="shared" si="29"/>
        <v>0</v>
      </c>
      <c r="BT656" s="1860"/>
      <c r="BU656" s="1860"/>
      <c r="BV656" s="1860"/>
      <c r="BW656" s="1860"/>
      <c r="BX656" s="1860">
        <f t="shared" si="30"/>
        <v>0</v>
      </c>
      <c r="BY656" s="1860"/>
      <c r="BZ656" s="1860"/>
      <c r="CA656" s="1860"/>
      <c r="CB656" s="1860"/>
      <c r="CC656" s="1860">
        <f t="shared" si="31"/>
        <v>0</v>
      </c>
      <c r="CD656" s="1860"/>
      <c r="CE656" s="1860"/>
      <c r="CF656" s="1860"/>
      <c r="CG656" s="1860"/>
      <c r="CH656" s="1860">
        <f t="shared" si="32"/>
        <v>0</v>
      </c>
      <c r="CI656" s="1860"/>
      <c r="CJ656" s="1860"/>
      <c r="CK656" s="1860"/>
      <c r="CL656" s="1860"/>
      <c r="CM656" s="1860">
        <f t="shared" si="33"/>
        <v>0</v>
      </c>
      <c r="CN656" s="1860"/>
      <c r="CO656" s="1860"/>
      <c r="CP656" s="1860"/>
      <c r="CQ656" s="1860"/>
      <c r="CR656" s="265"/>
      <c r="CS656" s="1861">
        <f t="shared" si="34"/>
        <v>0</v>
      </c>
      <c r="CT656" s="1862"/>
      <c r="CU656" s="1862"/>
      <c r="CV656" s="1862"/>
      <c r="CW656" s="1863"/>
      <c r="CX656" s="1861">
        <f t="shared" si="35"/>
        <v>0</v>
      </c>
      <c r="CY656" s="1862"/>
      <c r="CZ656" s="1862"/>
      <c r="DA656" s="1862"/>
      <c r="DB656" s="1863"/>
      <c r="DC656" s="1861">
        <f t="shared" si="36"/>
        <v>0</v>
      </c>
      <c r="DD656" s="1862"/>
      <c r="DE656" s="1862"/>
      <c r="DF656" s="1862"/>
      <c r="DG656" s="1863"/>
      <c r="DH656" s="1861">
        <f t="shared" si="37"/>
        <v>0</v>
      </c>
      <c r="DI656" s="1862"/>
      <c r="DJ656" s="1862"/>
      <c r="DK656" s="1862"/>
      <c r="DL656" s="1863"/>
      <c r="DM656" s="1861">
        <f t="shared" si="38"/>
        <v>0</v>
      </c>
      <c r="DN656" s="1862"/>
      <c r="DO656" s="1862"/>
      <c r="DP656" s="1862"/>
      <c r="DQ656" s="1863"/>
      <c r="DR656" s="1861">
        <f t="shared" si="39"/>
        <v>0</v>
      </c>
      <c r="DS656" s="1862"/>
      <c r="DT656" s="1862"/>
      <c r="DU656" s="1862"/>
      <c r="DV656" s="1863"/>
      <c r="DX656" s="2410" t="e">
        <f t="shared" si="22"/>
        <v>#VALUE!</v>
      </c>
      <c r="DY656" s="2410"/>
      <c r="DZ656" s="2410"/>
      <c r="EA656" s="2410"/>
      <c r="EB656" s="2410"/>
      <c r="EC656" s="2410" t="e">
        <f t="shared" si="23"/>
        <v>#VALUE!</v>
      </c>
      <c r="ED656" s="2410"/>
      <c r="EE656" s="2410"/>
      <c r="EF656" s="2410"/>
      <c r="EG656" s="2410"/>
      <c r="EH656" s="2410" t="e">
        <f t="shared" si="24"/>
        <v>#VALUE!</v>
      </c>
      <c r="EI656" s="2410"/>
      <c r="EJ656" s="2410"/>
      <c r="EK656" s="2410"/>
      <c r="EL656" s="2410"/>
      <c r="EM656" s="2410" t="e">
        <f t="shared" si="25"/>
        <v>#VALUE!</v>
      </c>
      <c r="EN656" s="2410"/>
      <c r="EO656" s="2410"/>
      <c r="EP656" s="2410"/>
      <c r="EQ656" s="2410"/>
      <c r="ER656" s="2410" t="e">
        <f t="shared" si="26"/>
        <v>#VALUE!</v>
      </c>
      <c r="ES656" s="2410"/>
      <c r="ET656" s="2410"/>
      <c r="EU656" s="2410"/>
      <c r="EV656" s="2410"/>
      <c r="EW656" s="2410" t="e">
        <f t="shared" si="27"/>
        <v>#VALUE!</v>
      </c>
      <c r="EX656" s="2410"/>
      <c r="EY656" s="2410"/>
      <c r="EZ656" s="2410"/>
      <c r="FA656" s="2410"/>
    </row>
    <row r="657" spans="1:157" ht="13.2">
      <c r="A657" s="35"/>
      <c r="B657" s="12" t="s">
        <v>321</v>
      </c>
      <c r="G657" s="1997" t="s">
        <v>2572</v>
      </c>
      <c r="H657" s="1912"/>
      <c r="I657" s="1912"/>
      <c r="J657" s="1912"/>
      <c r="K657" s="1912"/>
      <c r="L657" s="1912"/>
      <c r="O657" s="137" t="s">
        <v>211</v>
      </c>
      <c r="P657" s="1878"/>
      <c r="Q657" s="1878"/>
      <c r="R657" s="1878"/>
      <c r="S657" s="16"/>
      <c r="T657" s="35"/>
      <c r="U657" s="12" t="s">
        <v>321</v>
      </c>
      <c r="Z657" s="1997" t="s">
        <v>2590</v>
      </c>
      <c r="AA657" s="1912"/>
      <c r="AB657" s="1912"/>
      <c r="AC657" s="1912"/>
      <c r="AD657" s="1912"/>
      <c r="AE657" s="1912"/>
      <c r="AH657" s="137" t="s">
        <v>211</v>
      </c>
      <c r="AI657" s="1878"/>
      <c r="AJ657" s="1878"/>
      <c r="AK657" s="1878"/>
      <c r="AZ657" s="61"/>
      <c r="BA657" s="61"/>
      <c r="BB657" s="61"/>
      <c r="BC657" s="61"/>
      <c r="BD657" s="61"/>
      <c r="BE657" s="61"/>
      <c r="BF657" s="61"/>
      <c r="BG657" s="61"/>
      <c r="BH657" s="61"/>
      <c r="BI657" s="61"/>
      <c r="BJ657" s="61"/>
      <c r="BK657" s="61"/>
      <c r="BL657" s="61"/>
      <c r="BM657" s="61"/>
      <c r="BN657" s="1861">
        <f t="shared" si="28"/>
        <v>0</v>
      </c>
      <c r="BO657" s="1862"/>
      <c r="BP657" s="1862"/>
      <c r="BQ657" s="1862"/>
      <c r="BR657" s="1863"/>
      <c r="BS657" s="1860">
        <f t="shared" si="29"/>
        <v>0</v>
      </c>
      <c r="BT657" s="1860"/>
      <c r="BU657" s="1860"/>
      <c r="BV657" s="1860"/>
      <c r="BW657" s="1860"/>
      <c r="BX657" s="1860">
        <f t="shared" si="30"/>
        <v>0</v>
      </c>
      <c r="BY657" s="1860"/>
      <c r="BZ657" s="1860"/>
      <c r="CA657" s="1860"/>
      <c r="CB657" s="1860"/>
      <c r="CC657" s="1860">
        <f t="shared" si="31"/>
        <v>0</v>
      </c>
      <c r="CD657" s="1860"/>
      <c r="CE657" s="1860"/>
      <c r="CF657" s="1860"/>
      <c r="CG657" s="1860"/>
      <c r="CH657" s="1860">
        <f t="shared" si="32"/>
        <v>0</v>
      </c>
      <c r="CI657" s="1860"/>
      <c r="CJ657" s="1860"/>
      <c r="CK657" s="1860"/>
      <c r="CL657" s="1860"/>
      <c r="CM657" s="1860">
        <f t="shared" si="33"/>
        <v>0</v>
      </c>
      <c r="CN657" s="1860"/>
      <c r="CO657" s="1860"/>
      <c r="CP657" s="1860"/>
      <c r="CQ657" s="1860"/>
      <c r="CR657" s="265"/>
      <c r="CS657" s="1861">
        <f t="shared" si="34"/>
        <v>0</v>
      </c>
      <c r="CT657" s="1862"/>
      <c r="CU657" s="1862"/>
      <c r="CV657" s="1862"/>
      <c r="CW657" s="1863"/>
      <c r="CX657" s="1861">
        <f t="shared" si="35"/>
        <v>0</v>
      </c>
      <c r="CY657" s="1862"/>
      <c r="CZ657" s="1862"/>
      <c r="DA657" s="1862"/>
      <c r="DB657" s="1863"/>
      <c r="DC657" s="1861">
        <f t="shared" si="36"/>
        <v>0</v>
      </c>
      <c r="DD657" s="1862"/>
      <c r="DE657" s="1862"/>
      <c r="DF657" s="1862"/>
      <c r="DG657" s="1863"/>
      <c r="DH657" s="1861">
        <f t="shared" si="37"/>
        <v>0</v>
      </c>
      <c r="DI657" s="1862"/>
      <c r="DJ657" s="1862"/>
      <c r="DK657" s="1862"/>
      <c r="DL657" s="1863"/>
      <c r="DM657" s="1861">
        <f t="shared" si="38"/>
        <v>0</v>
      </c>
      <c r="DN657" s="1862"/>
      <c r="DO657" s="1862"/>
      <c r="DP657" s="1862"/>
      <c r="DQ657" s="1863"/>
      <c r="DR657" s="1861">
        <f t="shared" si="39"/>
        <v>0</v>
      </c>
      <c r="DS657" s="1862"/>
      <c r="DT657" s="1862"/>
      <c r="DU657" s="1862"/>
      <c r="DV657" s="1863"/>
      <c r="DX657" s="2410" t="e">
        <f t="shared" si="22"/>
        <v>#VALUE!</v>
      </c>
      <c r="DY657" s="2410"/>
      <c r="DZ657" s="2410"/>
      <c r="EA657" s="2410"/>
      <c r="EB657" s="2410"/>
      <c r="EC657" s="2410" t="e">
        <f t="shared" si="23"/>
        <v>#VALUE!</v>
      </c>
      <c r="ED657" s="2410"/>
      <c r="EE657" s="2410"/>
      <c r="EF657" s="2410"/>
      <c r="EG657" s="2410"/>
      <c r="EH657" s="2410" t="e">
        <f t="shared" si="24"/>
        <v>#VALUE!</v>
      </c>
      <c r="EI657" s="2410"/>
      <c r="EJ657" s="2410"/>
      <c r="EK657" s="2410"/>
      <c r="EL657" s="2410"/>
      <c r="EM657" s="2410" t="e">
        <f t="shared" si="25"/>
        <v>#VALUE!</v>
      </c>
      <c r="EN657" s="2410"/>
      <c r="EO657" s="2410"/>
      <c r="EP657" s="2410"/>
      <c r="EQ657" s="2410"/>
      <c r="ER657" s="2410" t="e">
        <f t="shared" si="26"/>
        <v>#VALUE!</v>
      </c>
      <c r="ES657" s="2410"/>
      <c r="ET657" s="2410"/>
      <c r="EU657" s="2410"/>
      <c r="EV657" s="2410"/>
      <c r="EW657" s="2410" t="e">
        <f t="shared" si="27"/>
        <v>#VALUE!</v>
      </c>
      <c r="EX657" s="2410"/>
      <c r="EY657" s="2410"/>
      <c r="EZ657" s="2410"/>
      <c r="FA657" s="2410"/>
    </row>
    <row r="658" spans="1:157" ht="13.2">
      <c r="A658" s="35"/>
      <c r="B658" s="12" t="s">
        <v>18</v>
      </c>
      <c r="H658" s="1887" t="s">
        <v>2591</v>
      </c>
      <c r="I658" s="1887"/>
      <c r="J658" s="1887"/>
      <c r="K658" s="1887"/>
      <c r="L658" s="1887"/>
      <c r="M658" s="1887"/>
      <c r="N658" s="1887"/>
      <c r="O658" s="1887"/>
      <c r="P658" s="1887"/>
      <c r="Q658" s="1887"/>
      <c r="R658" s="1887"/>
      <c r="S658" s="14"/>
      <c r="T658" s="35"/>
      <c r="U658" s="12" t="s">
        <v>18</v>
      </c>
      <c r="AA658" s="1887" t="s">
        <v>2579</v>
      </c>
      <c r="AB658" s="1887"/>
      <c r="AC658" s="1887"/>
      <c r="AD658" s="1887"/>
      <c r="AE658" s="1887"/>
      <c r="AF658" s="1887"/>
      <c r="AG658" s="1887"/>
      <c r="AH658" s="1887"/>
      <c r="AI658" s="1887"/>
      <c r="AJ658" s="1887"/>
      <c r="AK658" s="1887"/>
      <c r="AZ658" s="61"/>
      <c r="BA658" s="61"/>
      <c r="BB658" s="61"/>
      <c r="BC658" s="61"/>
      <c r="BD658" s="61"/>
      <c r="BE658" s="61"/>
      <c r="BF658" s="61"/>
      <c r="BG658" s="61"/>
      <c r="BH658" s="61"/>
      <c r="BI658" s="61"/>
      <c r="BJ658" s="61"/>
      <c r="BK658" s="61"/>
      <c r="BL658" s="61"/>
      <c r="BM658" s="61"/>
      <c r="BN658" s="1864">
        <f>SUM(BN648:BR657)</f>
        <v>0</v>
      </c>
      <c r="BO658" s="1865"/>
      <c r="BP658" s="1865"/>
      <c r="BQ658" s="1865"/>
      <c r="BR658" s="1866"/>
      <c r="BS658" s="1857">
        <f>SUM(BS648:BW657)</f>
        <v>0</v>
      </c>
      <c r="BT658" s="1858"/>
      <c r="BU658" s="1858"/>
      <c r="BV658" s="1858"/>
      <c r="BW658" s="1859"/>
      <c r="BX658" s="1857">
        <f>SUM(BX648:CB657)</f>
        <v>0</v>
      </c>
      <c r="BY658" s="1858"/>
      <c r="BZ658" s="1858"/>
      <c r="CA658" s="1858"/>
      <c r="CB658" s="1859"/>
      <c r="CC658" s="1857">
        <f>SUM(CC648:CG657)</f>
        <v>0</v>
      </c>
      <c r="CD658" s="1858"/>
      <c r="CE658" s="1858"/>
      <c r="CF658" s="1858"/>
      <c r="CG658" s="1859"/>
      <c r="CH658" s="1857">
        <f>SUM(CH648:CL657)</f>
        <v>0</v>
      </c>
      <c r="CI658" s="1858"/>
      <c r="CJ658" s="1858"/>
      <c r="CK658" s="1858"/>
      <c r="CL658" s="1859"/>
      <c r="CM658" s="1857">
        <f>SUM(CM648:CQ657)</f>
        <v>0</v>
      </c>
      <c r="CN658" s="1858"/>
      <c r="CO658" s="1858"/>
      <c r="CP658" s="1858"/>
      <c r="CQ658" s="1859"/>
      <c r="CR658" s="1094"/>
      <c r="CS658" s="2417">
        <f>SUM(CS648:CW657)</f>
        <v>0</v>
      </c>
      <c r="CT658" s="2417"/>
      <c r="CU658" s="2417"/>
      <c r="CV658" s="2417"/>
      <c r="CW658" s="2417"/>
      <c r="CX658" s="2417">
        <f>SUM(CX648:DB657)</f>
        <v>0</v>
      </c>
      <c r="CY658" s="2417"/>
      <c r="CZ658" s="2417"/>
      <c r="DA658" s="2417"/>
      <c r="DB658" s="2417"/>
      <c r="DC658" s="2417">
        <f>SUM(DC648:DG657)</f>
        <v>0</v>
      </c>
      <c r="DD658" s="2417"/>
      <c r="DE658" s="2417"/>
      <c r="DF658" s="2417"/>
      <c r="DG658" s="2417"/>
      <c r="DH658" s="2417">
        <f>SUM(DH648:DL657)</f>
        <v>0</v>
      </c>
      <c r="DI658" s="2417"/>
      <c r="DJ658" s="2417"/>
      <c r="DK658" s="2417"/>
      <c r="DL658" s="2417"/>
      <c r="DM658" s="2417">
        <f>SUM(DM648:DQ657)</f>
        <v>0</v>
      </c>
      <c r="DN658" s="2417"/>
      <c r="DO658" s="2417"/>
      <c r="DP658" s="2417"/>
      <c r="DQ658" s="2417"/>
      <c r="DR658" s="2417">
        <f>SUM(DR648:DV657)</f>
        <v>0</v>
      </c>
      <c r="DS658" s="2417"/>
      <c r="DT658" s="2417"/>
      <c r="DU658" s="2417"/>
      <c r="DV658" s="2417"/>
      <c r="DX658" s="2410" t="e">
        <f t="shared" si="22"/>
        <v>#VALUE!</v>
      </c>
      <c r="DY658" s="2410"/>
      <c r="DZ658" s="2410"/>
      <c r="EA658" s="2410"/>
      <c r="EB658" s="2410"/>
      <c r="EC658" s="2410" t="e">
        <f t="shared" si="23"/>
        <v>#VALUE!</v>
      </c>
      <c r="ED658" s="2410"/>
      <c r="EE658" s="2410"/>
      <c r="EF658" s="2410"/>
      <c r="EG658" s="2410"/>
      <c r="EH658" s="2410" t="e">
        <f t="shared" si="24"/>
        <v>#VALUE!</v>
      </c>
      <c r="EI658" s="2410"/>
      <c r="EJ658" s="2410"/>
      <c r="EK658" s="2410"/>
      <c r="EL658" s="2410"/>
      <c r="EM658" s="2410" t="e">
        <f t="shared" si="25"/>
        <v>#VALUE!</v>
      </c>
      <c r="EN658" s="2410"/>
      <c r="EO658" s="2410"/>
      <c r="EP658" s="2410"/>
      <c r="EQ658" s="2410"/>
      <c r="ER658" s="2410" t="e">
        <f t="shared" si="26"/>
        <v>#VALUE!</v>
      </c>
      <c r="ES658" s="2410"/>
      <c r="ET658" s="2410"/>
      <c r="EU658" s="2410"/>
      <c r="EV658" s="2410"/>
      <c r="EW658" s="2410" t="e">
        <f t="shared" si="27"/>
        <v>#VALUE!</v>
      </c>
      <c r="EX658" s="2410"/>
      <c r="EY658" s="2410"/>
      <c r="EZ658" s="2410"/>
      <c r="FA658" s="2410"/>
    </row>
    <row r="659" spans="1:157" ht="13.2">
      <c r="A659" s="35"/>
      <c r="B659" s="12" t="s">
        <v>20</v>
      </c>
      <c r="N659" s="1886" t="s">
        <v>694</v>
      </c>
      <c r="O659" s="1886"/>
      <c r="T659" s="35"/>
      <c r="U659" s="12" t="s">
        <v>20</v>
      </c>
      <c r="AG659" s="1886" t="s">
        <v>569</v>
      </c>
      <c r="AH659" s="1886"/>
      <c r="AZ659" s="61"/>
      <c r="BA659" s="61"/>
      <c r="BB659" s="61"/>
      <c r="BC659" s="61"/>
      <c r="BD659" s="61"/>
      <c r="BE659" s="61"/>
      <c r="BF659" s="61"/>
      <c r="BG659" s="61"/>
      <c r="BH659" s="61"/>
      <c r="BI659" s="61"/>
      <c r="BJ659" s="61"/>
      <c r="BK659" s="61"/>
      <c r="BL659" s="61"/>
      <c r="BM659" s="61"/>
      <c r="BN659" s="711"/>
      <c r="BO659" s="711"/>
      <c r="BP659" s="711"/>
      <c r="BQ659" s="711"/>
      <c r="BR659" s="920">
        <f>BN658*1</f>
        <v>0</v>
      </c>
      <c r="BS659" s="58"/>
      <c r="BT659" s="58"/>
      <c r="BU659" s="58"/>
      <c r="BV659" s="58"/>
      <c r="BW659" s="920">
        <f>BS658*1</f>
        <v>0</v>
      </c>
      <c r="BX659" s="58"/>
      <c r="BY659" s="58"/>
      <c r="BZ659" s="58"/>
      <c r="CA659" s="58"/>
      <c r="CB659" s="920">
        <f>BX658*2</f>
        <v>0</v>
      </c>
      <c r="CC659" s="58"/>
      <c r="CD659" s="58"/>
      <c r="CE659" s="58"/>
      <c r="CF659" s="58"/>
      <c r="CG659" s="920">
        <f>CC658*3</f>
        <v>0</v>
      </c>
      <c r="CH659" s="58"/>
      <c r="CI659" s="58"/>
      <c r="CJ659" s="58"/>
      <c r="CK659" s="58"/>
      <c r="CL659" s="920">
        <f>CH658*4</f>
        <v>0</v>
      </c>
      <c r="CM659" s="58"/>
      <c r="CN659" s="58"/>
      <c r="CO659" s="58"/>
      <c r="CP659" s="58"/>
      <c r="CQ659" s="920">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410" t="e">
        <f t="shared" si="22"/>
        <v>#VALUE!</v>
      </c>
      <c r="DY659" s="2410"/>
      <c r="DZ659" s="2410"/>
      <c r="EA659" s="2410"/>
      <c r="EB659" s="2410"/>
      <c r="EC659" s="2410" t="e">
        <f t="shared" si="23"/>
        <v>#VALUE!</v>
      </c>
      <c r="ED659" s="2410"/>
      <c r="EE659" s="2410"/>
      <c r="EF659" s="2410"/>
      <c r="EG659" s="2410"/>
      <c r="EH659" s="2410" t="e">
        <f t="shared" si="24"/>
        <v>#VALUE!</v>
      </c>
      <c r="EI659" s="2410"/>
      <c r="EJ659" s="2410"/>
      <c r="EK659" s="2410"/>
      <c r="EL659" s="2410"/>
      <c r="EM659" s="2410" t="e">
        <f t="shared" si="25"/>
        <v>#VALUE!</v>
      </c>
      <c r="EN659" s="2410"/>
      <c r="EO659" s="2410"/>
      <c r="EP659" s="2410"/>
      <c r="EQ659" s="2410"/>
      <c r="ER659" s="2410" t="e">
        <f t="shared" si="26"/>
        <v>#VALUE!</v>
      </c>
      <c r="ES659" s="2410"/>
      <c r="ET659" s="2410"/>
      <c r="EU659" s="2410"/>
      <c r="EV659" s="2410"/>
      <c r="EW659" s="2410" t="e">
        <f t="shared" si="27"/>
        <v>#VALUE!</v>
      </c>
      <c r="EX659" s="2410"/>
      <c r="EY659" s="2410"/>
      <c r="EZ659" s="2410"/>
      <c r="FA659" s="2410"/>
    </row>
    <row r="660" spans="1:157" ht="13.2">
      <c r="A660" s="35"/>
      <c r="T660" s="35"/>
      <c r="AZ660" s="61"/>
      <c r="BA660" s="61"/>
      <c r="BB660" s="61"/>
      <c r="BC660" s="61"/>
      <c r="BD660" s="61"/>
      <c r="BE660" s="61"/>
      <c r="BF660" s="61"/>
      <c r="BG660" s="61"/>
      <c r="BH660" s="61"/>
      <c r="BI660" s="61"/>
      <c r="BJ660" s="61"/>
      <c r="BK660" s="61"/>
      <c r="BL660" s="61"/>
      <c r="BM660" s="61"/>
      <c r="CR660" s="177"/>
      <c r="CS660" s="920">
        <f>BN658+BS658+BX658+CC658+CH658+CM658</f>
        <v>0</v>
      </c>
      <c r="CT660" s="134" t="s">
        <v>2171</v>
      </c>
      <c r="CU660" s="58"/>
      <c r="CV660" s="58"/>
      <c r="CW660" s="58"/>
      <c r="CX660" s="58"/>
      <c r="CY660" s="58"/>
      <c r="CZ660" s="58"/>
      <c r="DA660" s="58"/>
      <c r="DB660" s="58"/>
      <c r="DC660" s="58"/>
      <c r="DD660" s="58"/>
      <c r="DE660" s="58"/>
      <c r="DF660" s="58"/>
      <c r="DQ660" s="136" t="s">
        <v>2183</v>
      </c>
      <c r="DR660" s="2410">
        <f>SUM(CS658:DV658)</f>
        <v>0</v>
      </c>
      <c r="DS660" s="2410"/>
      <c r="DT660" s="2410"/>
      <c r="DU660" s="2410"/>
      <c r="DV660" s="2410"/>
      <c r="DX660" s="2410" t="e">
        <f t="shared" si="22"/>
        <v>#VALUE!</v>
      </c>
      <c r="DY660" s="2410"/>
      <c r="DZ660" s="2410"/>
      <c r="EA660" s="2410"/>
      <c r="EB660" s="2410"/>
      <c r="EC660" s="2410" t="e">
        <f t="shared" si="23"/>
        <v>#VALUE!</v>
      </c>
      <c r="ED660" s="2410"/>
      <c r="EE660" s="2410"/>
      <c r="EF660" s="2410"/>
      <c r="EG660" s="2410"/>
      <c r="EH660" s="2410" t="e">
        <f t="shared" si="24"/>
        <v>#VALUE!</v>
      </c>
      <c r="EI660" s="2410"/>
      <c r="EJ660" s="2410"/>
      <c r="EK660" s="2410"/>
      <c r="EL660" s="2410"/>
      <c r="EM660" s="2410" t="e">
        <f t="shared" si="25"/>
        <v>#VALUE!</v>
      </c>
      <c r="EN660" s="2410"/>
      <c r="EO660" s="2410"/>
      <c r="EP660" s="2410"/>
      <c r="EQ660" s="2410"/>
      <c r="ER660" s="2410" t="e">
        <f t="shared" si="26"/>
        <v>#VALUE!</v>
      </c>
      <c r="ES660" s="2410"/>
      <c r="ET660" s="2410"/>
      <c r="EU660" s="2410"/>
      <c r="EV660" s="2410"/>
      <c r="EW660" s="2410" t="e">
        <f t="shared" si="27"/>
        <v>#VALUE!</v>
      </c>
      <c r="EX660" s="2410"/>
      <c r="EY660" s="2410"/>
      <c r="EZ660" s="2410"/>
      <c r="FA660" s="2410"/>
    </row>
    <row r="661" spans="1:157" ht="13.2">
      <c r="A661" s="87" t="s">
        <v>124</v>
      </c>
      <c r="B661" s="12" t="s">
        <v>487</v>
      </c>
      <c r="G661" s="1888" t="str">
        <f>C639</f>
        <v>SF MOHCD (committed)</v>
      </c>
      <c r="H661" s="1888"/>
      <c r="I661" s="1888"/>
      <c r="J661" s="1888"/>
      <c r="K661" s="1888"/>
      <c r="L661" s="1888"/>
      <c r="M661" s="1888"/>
      <c r="N661" s="1888"/>
      <c r="O661" s="1888"/>
      <c r="P661" s="1888"/>
      <c r="Q661" s="1888"/>
      <c r="R661" s="1888"/>
      <c r="T661" s="87" t="s">
        <v>606</v>
      </c>
      <c r="U661" s="12" t="s">
        <v>487</v>
      </c>
      <c r="Z661" s="1888" t="str">
        <f>C640</f>
        <v>SF MOHCD (uncommitted)</v>
      </c>
      <c r="AA661" s="1888"/>
      <c r="AB661" s="1888"/>
      <c r="AC661" s="1888"/>
      <c r="AD661" s="1888"/>
      <c r="AE661" s="1888"/>
      <c r="AF661" s="1888"/>
      <c r="AG661" s="1888"/>
      <c r="AH661" s="1888"/>
      <c r="AI661" s="1888"/>
      <c r="AJ661" s="1888"/>
      <c r="AK661" s="1888"/>
      <c r="AZ661" s="61"/>
      <c r="BA661" s="61"/>
      <c r="BB661" s="61"/>
      <c r="BC661" s="61"/>
      <c r="BD661" s="61"/>
      <c r="BE661" s="61"/>
      <c r="BF661" s="61"/>
      <c r="BG661" s="61"/>
      <c r="BH661" s="61"/>
      <c r="BI661" s="61"/>
      <c r="BJ661" s="61"/>
      <c r="BK661" s="61"/>
      <c r="BL661" s="61"/>
      <c r="BM661" s="61"/>
      <c r="CR661" s="177"/>
      <c r="CS661" s="920">
        <f>BR659+BW659+CB659+CG659+CL659+CQ659</f>
        <v>0</v>
      </c>
      <c r="CT661" s="134" t="s">
        <v>1832</v>
      </c>
      <c r="CU661" s="58"/>
      <c r="CV661" s="58"/>
      <c r="CW661" s="58"/>
      <c r="CX661" s="58"/>
      <c r="CY661" s="58"/>
      <c r="CZ661" s="58"/>
      <c r="DA661" s="58"/>
      <c r="DB661" s="58"/>
      <c r="DC661" s="58"/>
      <c r="DD661" s="58"/>
      <c r="DE661" s="58"/>
      <c r="DF661" s="58"/>
      <c r="DX661" s="2410" t="e">
        <f t="shared" si="22"/>
        <v>#VALUE!</v>
      </c>
      <c r="DY661" s="2410"/>
      <c r="DZ661" s="2410"/>
      <c r="EA661" s="2410"/>
      <c r="EB661" s="2410"/>
      <c r="EC661" s="2410" t="e">
        <f t="shared" si="23"/>
        <v>#VALUE!</v>
      </c>
      <c r="ED661" s="2410"/>
      <c r="EE661" s="2410"/>
      <c r="EF661" s="2410"/>
      <c r="EG661" s="2410"/>
      <c r="EH661" s="2410" t="e">
        <f t="shared" si="24"/>
        <v>#VALUE!</v>
      </c>
      <c r="EI661" s="2410"/>
      <c r="EJ661" s="2410"/>
      <c r="EK661" s="2410"/>
      <c r="EL661" s="2410"/>
      <c r="EM661" s="2410" t="e">
        <f t="shared" si="25"/>
        <v>#VALUE!</v>
      </c>
      <c r="EN661" s="2410"/>
      <c r="EO661" s="2410"/>
      <c r="EP661" s="2410"/>
      <c r="EQ661" s="2410"/>
      <c r="ER661" s="2410" t="e">
        <f t="shared" si="26"/>
        <v>#VALUE!</v>
      </c>
      <c r="ES661" s="2410"/>
      <c r="ET661" s="2410"/>
      <c r="EU661" s="2410"/>
      <c r="EV661" s="2410"/>
      <c r="EW661" s="2410" t="e">
        <f t="shared" si="27"/>
        <v>#VALUE!</v>
      </c>
      <c r="EX661" s="2410"/>
      <c r="EY661" s="2410"/>
      <c r="EZ661" s="2410"/>
      <c r="FA661" s="2410"/>
    </row>
    <row r="662" spans="1:157" ht="13.2">
      <c r="A662" s="35"/>
      <c r="B662" s="12" t="s">
        <v>90</v>
      </c>
      <c r="G662" s="1887" t="s">
        <v>2543</v>
      </c>
      <c r="H662" s="1887"/>
      <c r="I662" s="1887"/>
      <c r="J662" s="1887"/>
      <c r="K662" s="1887"/>
      <c r="L662" s="1887"/>
      <c r="M662" s="1887"/>
      <c r="N662" s="1887"/>
      <c r="O662" s="1887"/>
      <c r="P662" s="1887"/>
      <c r="Q662" s="1887"/>
      <c r="R662" s="1887"/>
      <c r="T662" s="35"/>
      <c r="U662" s="12" t="s">
        <v>90</v>
      </c>
      <c r="Z662" s="1887" t="s">
        <v>2543</v>
      </c>
      <c r="AA662" s="1887"/>
      <c r="AB662" s="1887"/>
      <c r="AC662" s="1887"/>
      <c r="AD662" s="1887"/>
      <c r="AE662" s="1887"/>
      <c r="AF662" s="1887"/>
      <c r="AG662" s="1887"/>
      <c r="AH662" s="1887"/>
      <c r="AI662" s="1887"/>
      <c r="AJ662" s="1887"/>
      <c r="AK662" s="188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410" t="e">
        <f t="shared" si="22"/>
        <v>#VALUE!</v>
      </c>
      <c r="DY662" s="2410"/>
      <c r="DZ662" s="2410"/>
      <c r="EA662" s="2410"/>
      <c r="EB662" s="2410"/>
      <c r="EC662" s="2410" t="e">
        <f t="shared" si="23"/>
        <v>#VALUE!</v>
      </c>
      <c r="ED662" s="2410"/>
      <c r="EE662" s="2410"/>
      <c r="EF662" s="2410"/>
      <c r="EG662" s="2410"/>
      <c r="EH662" s="2410" t="e">
        <f t="shared" si="24"/>
        <v>#VALUE!</v>
      </c>
      <c r="EI662" s="2410"/>
      <c r="EJ662" s="2410"/>
      <c r="EK662" s="2410"/>
      <c r="EL662" s="2410"/>
      <c r="EM662" s="2410" t="e">
        <f t="shared" si="25"/>
        <v>#VALUE!</v>
      </c>
      <c r="EN662" s="2410"/>
      <c r="EO662" s="2410"/>
      <c r="EP662" s="2410"/>
      <c r="EQ662" s="2410"/>
      <c r="ER662" s="2410" t="e">
        <f t="shared" si="26"/>
        <v>#VALUE!</v>
      </c>
      <c r="ES662" s="2410"/>
      <c r="ET662" s="2410"/>
      <c r="EU662" s="2410"/>
      <c r="EV662" s="2410"/>
      <c r="EW662" s="2410" t="e">
        <f t="shared" si="27"/>
        <v>#VALUE!</v>
      </c>
      <c r="EX662" s="2410"/>
      <c r="EY662" s="2410"/>
      <c r="EZ662" s="2410"/>
      <c r="FA662" s="2410"/>
    </row>
    <row r="663" spans="1:157" ht="13.2">
      <c r="A663" s="35"/>
      <c r="B663" s="12" t="s">
        <v>605</v>
      </c>
      <c r="G663" s="1889" t="s">
        <v>2500</v>
      </c>
      <c r="H663" s="1889"/>
      <c r="I663" s="1889"/>
      <c r="J663" s="1889"/>
      <c r="K663" s="1889"/>
      <c r="L663" s="1889"/>
      <c r="M663" s="1889"/>
      <c r="N663" s="1889"/>
      <c r="O663" s="1889"/>
      <c r="P663" s="1889"/>
      <c r="Q663" s="1889"/>
      <c r="R663" s="1889"/>
      <c r="T663" s="35"/>
      <c r="U663" s="12" t="s">
        <v>605</v>
      </c>
      <c r="Z663" s="1889" t="s">
        <v>2500</v>
      </c>
      <c r="AA663" s="1889"/>
      <c r="AB663" s="1889"/>
      <c r="AC663" s="1889"/>
      <c r="AD663" s="1889"/>
      <c r="AE663" s="1889"/>
      <c r="AF663" s="1889"/>
      <c r="AG663" s="1889"/>
      <c r="AH663" s="1889"/>
      <c r="AI663" s="1889"/>
      <c r="AJ663" s="1889"/>
      <c r="AK663" s="1889"/>
      <c r="AZ663" s="61"/>
      <c r="BA663" s="61"/>
      <c r="BB663" s="61"/>
      <c r="BC663" s="61"/>
      <c r="BD663" s="61"/>
      <c r="BE663" s="61"/>
      <c r="BF663" s="61"/>
      <c r="BG663" s="61"/>
      <c r="BH663" s="61"/>
      <c r="BI663" s="61"/>
      <c r="BJ663" s="61"/>
      <c r="BK663" s="61"/>
      <c r="BL663" s="61"/>
      <c r="BM663" s="61"/>
      <c r="BN663" s="1857">
        <f>BN635+BN644+BN658</f>
        <v>80</v>
      </c>
      <c r="BO663" s="1858"/>
      <c r="BP663" s="1858"/>
      <c r="BQ663" s="1858"/>
      <c r="BR663" s="1859"/>
      <c r="BS663" s="1857">
        <f>BS635+BS644+BS658</f>
        <v>0</v>
      </c>
      <c r="BT663" s="1858"/>
      <c r="BU663" s="1858"/>
      <c r="BV663" s="1858"/>
      <c r="BW663" s="1859"/>
      <c r="BX663" s="1857">
        <f>BX635+BX644+BX658</f>
        <v>32</v>
      </c>
      <c r="BY663" s="1858"/>
      <c r="BZ663" s="1858"/>
      <c r="CA663" s="1858"/>
      <c r="CB663" s="1859"/>
      <c r="CC663" s="1857">
        <f>CC635+CC644+CC658</f>
        <v>0</v>
      </c>
      <c r="CD663" s="1858"/>
      <c r="CE663" s="1858"/>
      <c r="CF663" s="1858"/>
      <c r="CG663" s="1859"/>
      <c r="CH663" s="1857">
        <f>CH635+CH644+CH658</f>
        <v>0</v>
      </c>
      <c r="CI663" s="1858"/>
      <c r="CJ663" s="1858"/>
      <c r="CK663" s="1858"/>
      <c r="CL663" s="1859"/>
      <c r="CM663" s="1867">
        <f>CM658+CM644+CM635</f>
        <v>0</v>
      </c>
      <c r="CN663" s="2018"/>
      <c r="CO663" s="2018"/>
      <c r="CP663" s="2018"/>
      <c r="CQ663" s="1868"/>
      <c r="CR663" s="177"/>
      <c r="CS663" s="920">
        <f>CS637+CS661</f>
        <v>141</v>
      </c>
      <c r="CT663" s="134" t="s">
        <v>2176</v>
      </c>
      <c r="CU663" s="58"/>
      <c r="CV663" s="58"/>
      <c r="CW663" s="58"/>
      <c r="CX663" s="58"/>
      <c r="CY663" s="58"/>
      <c r="CZ663" s="58"/>
      <c r="DA663" s="58"/>
      <c r="DB663" s="58"/>
      <c r="DC663" s="58"/>
      <c r="DD663" s="58"/>
      <c r="DE663" s="58"/>
      <c r="DF663" s="58"/>
      <c r="DX663" s="2410">
        <f>SUMIF(DX638:EB662,"&gt;0")</f>
        <v>1233.9620253164558</v>
      </c>
      <c r="DY663" s="2410"/>
      <c r="DZ663" s="2410"/>
      <c r="EA663" s="2410"/>
      <c r="EB663" s="2410"/>
      <c r="EC663" s="2410">
        <f>SUMIF(EC638:EG662,"&gt;0")</f>
        <v>0</v>
      </c>
      <c r="ED663" s="2410"/>
      <c r="EE663" s="2410"/>
      <c r="EF663" s="2410"/>
      <c r="EG663" s="2410"/>
      <c r="EH663" s="2410">
        <f>SUMIF(EH638:EL662,"&gt;0")</f>
        <v>1788.5806451612902</v>
      </c>
      <c r="EI663" s="2410"/>
      <c r="EJ663" s="2410"/>
      <c r="EK663" s="2410"/>
      <c r="EL663" s="2410"/>
      <c r="EM663" s="2410">
        <f>SUMIF(EM638:EQ662,"&gt;0")</f>
        <v>0</v>
      </c>
      <c r="EN663" s="2410"/>
      <c r="EO663" s="2410"/>
      <c r="EP663" s="2410"/>
      <c r="EQ663" s="2410"/>
      <c r="ER663" s="2410">
        <f>SUMIF(ER638:EV662,"&gt;0")</f>
        <v>0</v>
      </c>
      <c r="ES663" s="2410"/>
      <c r="ET663" s="2410"/>
      <c r="EU663" s="2410"/>
      <c r="EV663" s="2410"/>
      <c r="EW663" s="2410">
        <f>SUMIF(EW638:FA662,"&gt;0")</f>
        <v>0</v>
      </c>
      <c r="EX663" s="2410"/>
      <c r="EY663" s="2410"/>
      <c r="EZ663" s="2410"/>
      <c r="FA663" s="2410"/>
    </row>
    <row r="664" spans="1:157" ht="13.2">
      <c r="A664" s="35"/>
      <c r="B664" s="12" t="s">
        <v>17</v>
      </c>
      <c r="G664" s="1889" t="s">
        <v>2577</v>
      </c>
      <c r="H664" s="1889"/>
      <c r="I664" s="1889"/>
      <c r="J664" s="1889"/>
      <c r="K664" s="1889"/>
      <c r="L664" s="1889"/>
      <c r="M664" s="1889"/>
      <c r="N664" s="1889"/>
      <c r="O664" s="1889"/>
      <c r="P664" s="1889"/>
      <c r="Q664" s="1889"/>
      <c r="R664" s="1889"/>
      <c r="T664" s="35"/>
      <c r="U664" s="12" t="s">
        <v>17</v>
      </c>
      <c r="Z664" s="1889" t="s">
        <v>2577</v>
      </c>
      <c r="AA664" s="1889"/>
      <c r="AB664" s="1889"/>
      <c r="AC664" s="1889"/>
      <c r="AD664" s="1889"/>
      <c r="AE664" s="1889"/>
      <c r="AF664" s="1889"/>
      <c r="AG664" s="1889"/>
      <c r="AH664" s="1889"/>
      <c r="AI664" s="1889"/>
      <c r="AJ664" s="1889"/>
      <c r="AK664" s="188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1997" t="s">
        <v>2578</v>
      </c>
      <c r="H665" s="1912"/>
      <c r="I665" s="1912"/>
      <c r="J665" s="1912"/>
      <c r="K665" s="1912"/>
      <c r="L665" s="1912"/>
      <c r="O665" s="137" t="s">
        <v>211</v>
      </c>
      <c r="P665" s="1878"/>
      <c r="Q665" s="1878"/>
      <c r="R665" s="1878"/>
      <c r="T665" s="35"/>
      <c r="U665" s="12" t="s">
        <v>321</v>
      </c>
      <c r="Z665" s="1997" t="s">
        <v>2578</v>
      </c>
      <c r="AA665" s="1912"/>
      <c r="AB665" s="1912"/>
      <c r="AC665" s="1912"/>
      <c r="AD665" s="1912"/>
      <c r="AE665" s="1912"/>
      <c r="AH665" s="137" t="s">
        <v>211</v>
      </c>
      <c r="AI665" s="1878"/>
      <c r="AJ665" s="1878"/>
      <c r="AK665" s="187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1887" t="s">
        <v>2579</v>
      </c>
      <c r="I666" s="1887"/>
      <c r="J666" s="1887"/>
      <c r="K666" s="1887"/>
      <c r="L666" s="1887"/>
      <c r="M666" s="1887"/>
      <c r="N666" s="1887"/>
      <c r="O666" s="1887"/>
      <c r="P666" s="1887"/>
      <c r="Q666" s="1887"/>
      <c r="R666" s="1887"/>
      <c r="T666" s="35"/>
      <c r="U666" s="12" t="s">
        <v>18</v>
      </c>
      <c r="AA666" s="1887" t="s">
        <v>2579</v>
      </c>
      <c r="AB666" s="1887"/>
      <c r="AC666" s="1887"/>
      <c r="AD666" s="1887"/>
      <c r="AE666" s="1887"/>
      <c r="AF666" s="1887"/>
      <c r="AG666" s="1887"/>
      <c r="AH666" s="1887"/>
      <c r="AI666" s="1887"/>
      <c r="AJ666" s="1887"/>
      <c r="AK666" s="1887"/>
      <c r="AZ666" s="58"/>
      <c r="BA666" s="58"/>
      <c r="BB666" s="58"/>
      <c r="BC666" s="58"/>
      <c r="BD666" s="58"/>
      <c r="BE666" s="58"/>
      <c r="BF666" s="58"/>
      <c r="BG666" s="58"/>
      <c r="BH666" s="58"/>
      <c r="BI666" s="58"/>
      <c r="BJ666" s="58"/>
      <c r="BK666" s="58"/>
      <c r="BL666" s="58"/>
      <c r="BM666" s="58"/>
      <c r="BN666" s="58"/>
      <c r="BO666" s="58"/>
      <c r="BP666" s="306" t="s">
        <v>2374</v>
      </c>
      <c r="BQ666" s="307"/>
      <c r="BR666" s="307"/>
      <c r="BS666" s="307"/>
      <c r="BT666" s="307"/>
      <c r="BU666" s="307"/>
      <c r="BV666" s="307"/>
      <c r="BW666" s="58"/>
      <c r="BX666" s="306" t="s">
        <v>2377</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2">
      <c r="A667" s="35"/>
      <c r="B667" s="12" t="s">
        <v>20</v>
      </c>
      <c r="N667" s="1886" t="s">
        <v>569</v>
      </c>
      <c r="O667" s="1886"/>
      <c r="T667" s="35"/>
      <c r="U667" s="12" t="s">
        <v>20</v>
      </c>
      <c r="AG667" s="1886" t="s">
        <v>694</v>
      </c>
      <c r="AH667" s="1886"/>
      <c r="AZ667" s="58"/>
      <c r="BA667" s="58"/>
      <c r="BB667" s="58"/>
      <c r="BC667" s="58"/>
      <c r="BD667" s="58"/>
      <c r="BE667" s="58"/>
      <c r="BF667" s="58"/>
      <c r="BG667" s="58"/>
      <c r="BH667" s="58"/>
      <c r="BI667" s="58"/>
      <c r="BJ667" s="58"/>
      <c r="BK667" s="58"/>
      <c r="BL667" s="58"/>
      <c r="BM667" s="58"/>
      <c r="BN667" s="58"/>
      <c r="BO667" s="58"/>
      <c r="BP667" s="445" t="s">
        <v>672</v>
      </c>
      <c r="BQ667" s="307"/>
      <c r="BR667" s="307"/>
      <c r="BS667" s="307"/>
      <c r="BT667" s="307"/>
      <c r="BU667" s="307"/>
      <c r="BV667" s="307"/>
      <c r="BW667" s="58"/>
      <c r="BX667" s="445" t="s">
        <v>2378</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804</v>
      </c>
      <c r="B669" s="12" t="s">
        <v>487</v>
      </c>
      <c r="G669" s="1888" t="str">
        <f>C641</f>
        <v>FHLB AHP</v>
      </c>
      <c r="H669" s="1888"/>
      <c r="I669" s="1888"/>
      <c r="J669" s="1888"/>
      <c r="K669" s="1888"/>
      <c r="L669" s="1888"/>
      <c r="M669" s="1888"/>
      <c r="N669" s="1888"/>
      <c r="O669" s="1888"/>
      <c r="P669" s="1888"/>
      <c r="Q669" s="1888"/>
      <c r="R669" s="1888"/>
      <c r="T669" s="87" t="s">
        <v>609</v>
      </c>
      <c r="U669" s="12" t="s">
        <v>487</v>
      </c>
      <c r="Z669" s="1888" t="str">
        <f>C642</f>
        <v>GGRC Loan</v>
      </c>
      <c r="AA669" s="1888"/>
      <c r="AB669" s="1888"/>
      <c r="AC669" s="1888"/>
      <c r="AD669" s="1888"/>
      <c r="AE669" s="1888"/>
      <c r="AF669" s="1888"/>
      <c r="AG669" s="1888"/>
      <c r="AH669" s="1888"/>
      <c r="AI669" s="1888"/>
      <c r="AJ669" s="1888"/>
      <c r="AK669" s="1888"/>
      <c r="AZ669" s="58"/>
      <c r="BA669" s="310" t="s">
        <v>674</v>
      </c>
      <c r="BB669" s="58"/>
      <c r="BC669" s="58"/>
      <c r="BD669" s="58"/>
      <c r="BE669" s="58"/>
      <c r="BF669" s="379"/>
      <c r="BG669" s="334" t="s">
        <v>945</v>
      </c>
      <c r="BH669" s="379"/>
      <c r="BI669" s="379"/>
      <c r="BJ669" s="58"/>
      <c r="BK669" s="58"/>
      <c r="BL669" s="58"/>
      <c r="BM669" s="58"/>
      <c r="BN669" s="58"/>
      <c r="BO669" s="58"/>
      <c r="BP669" s="532" t="s">
        <v>673</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8" t="s">
        <v>2582</v>
      </c>
      <c r="H670" s="1887"/>
      <c r="I670" s="1887"/>
      <c r="J670" s="1887"/>
      <c r="K670" s="1887"/>
      <c r="L670" s="1887"/>
      <c r="M670" s="1887"/>
      <c r="N670" s="1887"/>
      <c r="O670" s="1887"/>
      <c r="P670" s="1887"/>
      <c r="Q670" s="1887"/>
      <c r="R670" s="1887"/>
      <c r="T670" s="35"/>
      <c r="U670" s="12" t="s">
        <v>90</v>
      </c>
      <c r="Z670" s="1887" t="s">
        <v>2743</v>
      </c>
      <c r="AA670" s="1887"/>
      <c r="AB670" s="1887"/>
      <c r="AC670" s="1887"/>
      <c r="AD670" s="1887"/>
      <c r="AE670" s="1887"/>
      <c r="AF670" s="1887"/>
      <c r="AG670" s="1887"/>
      <c r="AH670" s="1887"/>
      <c r="AI670" s="1887"/>
      <c r="AJ670" s="1887"/>
      <c r="AK670" s="1887"/>
      <c r="AZ670" s="58"/>
      <c r="BA670" s="443">
        <f t="shared" ref="BA670:BA694" si="40">IF($G728=0,"N/A",VLOOKUP($T$189,TC_Rent,(MATCH($B728,bedrooms,FALSE))))</f>
        <v>3262</v>
      </c>
      <c r="BB670" s="58"/>
      <c r="BC670" s="58"/>
      <c r="BD670" s="58"/>
      <c r="BE670" s="58"/>
      <c r="BF670" s="379"/>
      <c r="BG670" s="451" t="s">
        <v>946</v>
      </c>
      <c r="BH670" s="456" t="s">
        <v>947</v>
      </c>
      <c r="BI670" s="455" t="s">
        <v>948</v>
      </c>
      <c r="BJ670" s="58"/>
      <c r="BK670" s="58"/>
      <c r="BL670" s="58"/>
      <c r="BM670" s="58"/>
      <c r="BN670" s="58"/>
      <c r="BO670" s="58"/>
      <c r="BP670" s="534" t="s">
        <v>500</v>
      </c>
      <c r="BQ670" s="741">
        <v>2500</v>
      </c>
      <c r="BR670" s="742">
        <v>2678</v>
      </c>
      <c r="BS670" s="743">
        <v>3214</v>
      </c>
      <c r="BT670" s="742">
        <v>3712</v>
      </c>
      <c r="BU670" s="743">
        <v>4142</v>
      </c>
      <c r="BV670" s="744">
        <v>4570</v>
      </c>
      <c r="BW670" s="58"/>
      <c r="BX670" s="920">
        <v>1538</v>
      </c>
      <c r="BY670" s="920">
        <v>1854</v>
      </c>
      <c r="BZ670" s="920">
        <v>2274</v>
      </c>
      <c r="CA670" s="920">
        <v>3006</v>
      </c>
      <c r="CB670" s="920">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605</v>
      </c>
      <c r="G671" s="1887"/>
      <c r="H671" s="1887"/>
      <c r="I671" s="1887"/>
      <c r="J671" s="1887"/>
      <c r="K671" s="1887"/>
      <c r="L671" s="1887"/>
      <c r="M671" s="1887"/>
      <c r="N671" s="1887"/>
      <c r="O671" s="1887"/>
      <c r="P671" s="1887"/>
      <c r="Q671" s="1887"/>
      <c r="R671" s="1887"/>
      <c r="T671" s="35"/>
      <c r="U671" s="12" t="s">
        <v>605</v>
      </c>
      <c r="Z671" s="1887" t="s">
        <v>2500</v>
      </c>
      <c r="AA671" s="1887"/>
      <c r="AB671" s="1887"/>
      <c r="AC671" s="1887"/>
      <c r="AD671" s="1887"/>
      <c r="AE671" s="1887"/>
      <c r="AF671" s="1887"/>
      <c r="AG671" s="1887"/>
      <c r="AH671" s="1887"/>
      <c r="AI671" s="1887"/>
      <c r="AJ671" s="1887"/>
      <c r="AK671" s="1887"/>
      <c r="AZ671" s="58"/>
      <c r="BA671" s="443">
        <f t="shared" si="40"/>
        <v>3262</v>
      </c>
      <c r="BB671" s="58"/>
      <c r="BC671" s="58"/>
      <c r="BD671" s="58"/>
      <c r="BE671" s="58"/>
      <c r="BF671" s="379"/>
      <c r="BG671" s="453">
        <f t="shared" ref="BG671:BG695" si="41">G728</f>
        <v>12</v>
      </c>
      <c r="BH671" s="457">
        <f>BG671/$BG$696</f>
        <v>0.10909090909090909</v>
      </c>
      <c r="BI671" s="458">
        <f t="shared" ref="BI671:BI695" si="42">IF(BH671=0," ",BH671*AC728)</f>
        <v>2.181818181818182E-2</v>
      </c>
      <c r="BJ671" s="58"/>
      <c r="BK671" s="58"/>
      <c r="BL671" s="58"/>
      <c r="BM671" s="58"/>
      <c r="BN671" s="58"/>
      <c r="BO671" s="58"/>
      <c r="BP671" s="535" t="s">
        <v>501</v>
      </c>
      <c r="BQ671" s="745">
        <v>1590</v>
      </c>
      <c r="BR671" s="746">
        <v>1702</v>
      </c>
      <c r="BS671" s="745">
        <v>2044</v>
      </c>
      <c r="BT671" s="746">
        <v>2360</v>
      </c>
      <c r="BU671" s="746">
        <v>2634</v>
      </c>
      <c r="BV671" s="747">
        <v>2906</v>
      </c>
      <c r="BW671" s="58"/>
      <c r="BX671" s="920">
        <v>725</v>
      </c>
      <c r="BY671" s="920">
        <v>822</v>
      </c>
      <c r="BZ671" s="920">
        <v>1073</v>
      </c>
      <c r="CA671" s="920">
        <v>1524</v>
      </c>
      <c r="CB671" s="920">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1887"/>
      <c r="H672" s="1887"/>
      <c r="I672" s="1887"/>
      <c r="J672" s="1887"/>
      <c r="K672" s="1887"/>
      <c r="L672" s="1887"/>
      <c r="M672" s="1887"/>
      <c r="N672" s="1887"/>
      <c r="O672" s="1887"/>
      <c r="P672" s="1887"/>
      <c r="Q672" s="1887"/>
      <c r="R672" s="1887"/>
      <c r="T672" s="35"/>
      <c r="U672" s="12" t="s">
        <v>17</v>
      </c>
      <c r="Z672" s="1887" t="s">
        <v>2741</v>
      </c>
      <c r="AA672" s="1887"/>
      <c r="AB672" s="1887"/>
      <c r="AC672" s="1887"/>
      <c r="AD672" s="1887"/>
      <c r="AE672" s="1887"/>
      <c r="AF672" s="1887"/>
      <c r="AG672" s="1887"/>
      <c r="AH672" s="1887"/>
      <c r="AI672" s="1887"/>
      <c r="AJ672" s="1887"/>
      <c r="AK672" s="1887"/>
      <c r="AZ672" s="58"/>
      <c r="BA672" s="443">
        <f t="shared" si="40"/>
        <v>3262</v>
      </c>
      <c r="BB672" s="58"/>
      <c r="BC672" s="58"/>
      <c r="BD672" s="58"/>
      <c r="BE672" s="58"/>
      <c r="BF672" s="379"/>
      <c r="BG672" s="454">
        <f t="shared" si="41"/>
        <v>12</v>
      </c>
      <c r="BH672" s="457">
        <f t="shared" ref="BH672:BH695" si="43">BG672/$BG$696</f>
        <v>0.10909090909090909</v>
      </c>
      <c r="BI672" s="458">
        <f t="shared" si="42"/>
        <v>2.181818181818182E-2</v>
      </c>
      <c r="BJ672" s="58"/>
      <c r="BK672" s="58"/>
      <c r="BL672" s="58"/>
      <c r="BM672" s="58"/>
      <c r="BN672" s="58"/>
      <c r="BO672" s="58"/>
      <c r="BP672" s="535" t="s">
        <v>502</v>
      </c>
      <c r="BQ672" s="748">
        <v>1516</v>
      </c>
      <c r="BR672" s="749">
        <v>1624</v>
      </c>
      <c r="BS672" s="748">
        <v>1950</v>
      </c>
      <c r="BT672" s="749">
        <v>2252</v>
      </c>
      <c r="BU672" s="749">
        <v>2512</v>
      </c>
      <c r="BV672" s="750">
        <v>2772</v>
      </c>
      <c r="BW672" s="58"/>
      <c r="BX672" s="920">
        <v>920</v>
      </c>
      <c r="BY672" s="920">
        <v>926</v>
      </c>
      <c r="BZ672" s="920">
        <v>1148</v>
      </c>
      <c r="CA672" s="920">
        <v>1631</v>
      </c>
      <c r="CB672" s="920">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321</v>
      </c>
      <c r="G673" s="1997"/>
      <c r="H673" s="1912"/>
      <c r="I673" s="1912"/>
      <c r="J673" s="1912"/>
      <c r="K673" s="1912"/>
      <c r="L673" s="1912"/>
      <c r="O673" s="137" t="s">
        <v>211</v>
      </c>
      <c r="P673" s="1971"/>
      <c r="Q673" s="1878"/>
      <c r="R673" s="1878"/>
      <c r="T673" s="35"/>
      <c r="U673" s="12" t="s">
        <v>321</v>
      </c>
      <c r="Z673" s="1997" t="s">
        <v>2742</v>
      </c>
      <c r="AA673" s="1912"/>
      <c r="AB673" s="1912"/>
      <c r="AC673" s="1912"/>
      <c r="AD673" s="1912"/>
      <c r="AE673" s="1912"/>
      <c r="AH673" s="137" t="s">
        <v>211</v>
      </c>
      <c r="AI673" s="1878"/>
      <c r="AJ673" s="1878"/>
      <c r="AK673" s="1878"/>
      <c r="AZ673" s="58"/>
      <c r="BA673" s="443">
        <f t="shared" si="40"/>
        <v>3262</v>
      </c>
      <c r="BB673" s="58"/>
      <c r="BC673" s="58"/>
      <c r="BD673" s="58"/>
      <c r="BE673" s="58"/>
      <c r="BF673" s="379"/>
      <c r="BG673" s="454">
        <f t="shared" si="41"/>
        <v>2</v>
      </c>
      <c r="BH673" s="457">
        <f t="shared" si="43"/>
        <v>1.8181818181818181E-2</v>
      </c>
      <c r="BI673" s="458">
        <f t="shared" si="42"/>
        <v>5.4545454545454541E-3</v>
      </c>
      <c r="BJ673" s="58"/>
      <c r="BK673" s="58"/>
      <c r="BL673" s="58"/>
      <c r="BM673" s="58"/>
      <c r="BN673" s="58"/>
      <c r="BO673" s="58"/>
      <c r="BP673" s="535" t="s">
        <v>503</v>
      </c>
      <c r="BQ673" s="748">
        <v>1364</v>
      </c>
      <c r="BR673" s="749">
        <v>1462</v>
      </c>
      <c r="BS673" s="748">
        <v>1754</v>
      </c>
      <c r="BT673" s="749">
        <v>2026</v>
      </c>
      <c r="BU673" s="749">
        <v>2260</v>
      </c>
      <c r="BV673" s="750">
        <v>2492</v>
      </c>
      <c r="BW673" s="58"/>
      <c r="BX673" s="920">
        <v>826</v>
      </c>
      <c r="BY673" s="920">
        <v>895</v>
      </c>
      <c r="BZ673" s="920">
        <v>1177</v>
      </c>
      <c r="CA673" s="920">
        <v>1662</v>
      </c>
      <c r="CB673" s="920">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1887" t="s">
        <v>2579</v>
      </c>
      <c r="I674" s="1887"/>
      <c r="J674" s="1887"/>
      <c r="K674" s="1887"/>
      <c r="L674" s="1887"/>
      <c r="M674" s="1887"/>
      <c r="N674" s="1887"/>
      <c r="O674" s="1887"/>
      <c r="P674" s="1887"/>
      <c r="Q674" s="1887"/>
      <c r="R674" s="1887"/>
      <c r="T674" s="35"/>
      <c r="U674" s="12" t="s">
        <v>18</v>
      </c>
      <c r="AA674" s="2048" t="s">
        <v>2579</v>
      </c>
      <c r="AB674" s="1887"/>
      <c r="AC674" s="1887"/>
      <c r="AD674" s="1887"/>
      <c r="AE674" s="1887"/>
      <c r="AF674" s="1887"/>
      <c r="AG674" s="1887"/>
      <c r="AH674" s="1887"/>
      <c r="AI674" s="1887"/>
      <c r="AJ674" s="1887"/>
      <c r="AK674" s="1887"/>
      <c r="AZ674" s="58"/>
      <c r="BA674" s="443">
        <f t="shared" si="40"/>
        <v>3262</v>
      </c>
      <c r="BB674" s="58"/>
      <c r="BC674" s="58"/>
      <c r="BD674" s="58"/>
      <c r="BE674" s="58"/>
      <c r="BF674" s="379"/>
      <c r="BG674" s="454">
        <f t="shared" si="41"/>
        <v>11</v>
      </c>
      <c r="BH674" s="457">
        <f t="shared" si="43"/>
        <v>0.1</v>
      </c>
      <c r="BI674" s="458">
        <f t="shared" si="42"/>
        <v>0.05</v>
      </c>
      <c r="BJ674" s="58"/>
      <c r="BK674" s="58"/>
      <c r="BL674" s="58"/>
      <c r="BM674" s="58"/>
      <c r="BN674" s="58"/>
      <c r="BO674" s="58"/>
      <c r="BP674" s="535" t="s">
        <v>504</v>
      </c>
      <c r="BQ674" s="748">
        <v>1574</v>
      </c>
      <c r="BR674" s="749">
        <v>1686</v>
      </c>
      <c r="BS674" s="748">
        <v>2024</v>
      </c>
      <c r="BT674" s="749">
        <v>2340</v>
      </c>
      <c r="BU674" s="749">
        <v>2610</v>
      </c>
      <c r="BV674" s="750">
        <v>2880</v>
      </c>
      <c r="BW674" s="58"/>
      <c r="BX674" s="920">
        <v>739</v>
      </c>
      <c r="BY674" s="920">
        <v>857</v>
      </c>
      <c r="BZ674" s="920">
        <v>1094</v>
      </c>
      <c r="CA674" s="920">
        <v>1554</v>
      </c>
      <c r="CB674" s="920">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886" t="s">
        <v>694</v>
      </c>
      <c r="O675" s="1886"/>
      <c r="T675" s="35"/>
      <c r="U675" s="12" t="s">
        <v>20</v>
      </c>
      <c r="AG675" s="1886" t="s">
        <v>694</v>
      </c>
      <c r="AH675" s="1886"/>
      <c r="AZ675" s="58"/>
      <c r="BA675" s="443">
        <f t="shared" si="40"/>
        <v>3262</v>
      </c>
      <c r="BB675" s="58"/>
      <c r="BC675" s="58"/>
      <c r="BD675" s="58"/>
      <c r="BE675" s="58"/>
      <c r="BF675" s="379"/>
      <c r="BG675" s="454">
        <f t="shared" si="41"/>
        <v>10</v>
      </c>
      <c r="BH675" s="457">
        <f t="shared" si="43"/>
        <v>9.0909090909090912E-2</v>
      </c>
      <c r="BI675" s="458">
        <f t="shared" si="42"/>
        <v>5.4545454545454543E-2</v>
      </c>
      <c r="BJ675" s="58"/>
      <c r="BK675" s="58"/>
      <c r="BL675" s="58"/>
      <c r="BM675" s="58"/>
      <c r="BN675" s="58"/>
      <c r="BO675" s="58"/>
      <c r="BP675" s="535" t="s">
        <v>505</v>
      </c>
      <c r="BQ675" s="748">
        <v>1364</v>
      </c>
      <c r="BR675" s="749">
        <v>1462</v>
      </c>
      <c r="BS675" s="748">
        <v>1754</v>
      </c>
      <c r="BT675" s="749">
        <v>2026</v>
      </c>
      <c r="BU675" s="749">
        <v>2260</v>
      </c>
      <c r="BV675" s="750">
        <v>2492</v>
      </c>
      <c r="BW675" s="58"/>
      <c r="BX675" s="920">
        <v>713</v>
      </c>
      <c r="BY675" s="920">
        <v>717</v>
      </c>
      <c r="BZ675" s="920">
        <v>944</v>
      </c>
      <c r="CA675" s="920">
        <v>1341</v>
      </c>
      <c r="CB675" s="920">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3">
        <f t="shared" si="40"/>
        <v>4194</v>
      </c>
      <c r="BB676" s="58"/>
      <c r="BC676" s="58"/>
      <c r="BD676" s="58"/>
      <c r="BE676" s="58"/>
      <c r="BF676" s="379"/>
      <c r="BG676" s="454">
        <f t="shared" si="41"/>
        <v>32</v>
      </c>
      <c r="BH676" s="457">
        <f t="shared" si="43"/>
        <v>0.29090909090909089</v>
      </c>
      <c r="BI676" s="458">
        <f t="shared" si="42"/>
        <v>0.17454545454545453</v>
      </c>
      <c r="BJ676" s="58"/>
      <c r="BK676" s="58"/>
      <c r="BL676" s="58"/>
      <c r="BM676" s="58"/>
      <c r="BN676" s="58"/>
      <c r="BO676" s="58"/>
      <c r="BP676" s="535" t="s">
        <v>506</v>
      </c>
      <c r="BQ676" s="748">
        <v>2500</v>
      </c>
      <c r="BR676" s="749">
        <v>2678</v>
      </c>
      <c r="BS676" s="748">
        <v>3214</v>
      </c>
      <c r="BT676" s="749">
        <v>3712</v>
      </c>
      <c r="BU676" s="749">
        <v>4142</v>
      </c>
      <c r="BV676" s="750">
        <v>4570</v>
      </c>
      <c r="BW676" s="58"/>
      <c r="BX676" s="920">
        <v>1538</v>
      </c>
      <c r="BY676" s="920">
        <v>1854</v>
      </c>
      <c r="BZ676" s="920">
        <v>2274</v>
      </c>
      <c r="CA676" s="920">
        <v>3006</v>
      </c>
      <c r="CB676" s="920">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479</v>
      </c>
      <c r="B677" s="12" t="s">
        <v>487</v>
      </c>
      <c r="G677" s="1888" t="str">
        <f>C643</f>
        <v>The Kelsey Sponsor Loan</v>
      </c>
      <c r="H677" s="1888"/>
      <c r="I677" s="1888"/>
      <c r="J677" s="1888"/>
      <c r="K677" s="1888"/>
      <c r="L677" s="1888"/>
      <c r="M677" s="1888"/>
      <c r="N677" s="1888"/>
      <c r="O677" s="1888"/>
      <c r="P677" s="1888"/>
      <c r="Q677" s="1888"/>
      <c r="R677" s="1888"/>
      <c r="T677" s="87" t="s">
        <v>480</v>
      </c>
      <c r="U677" s="12" t="s">
        <v>487</v>
      </c>
      <c r="Z677" s="1888" t="str">
        <f>C644</f>
        <v>Kelsey Commercial Space Purchase</v>
      </c>
      <c r="AA677" s="1888"/>
      <c r="AB677" s="1888"/>
      <c r="AC677" s="1888"/>
      <c r="AD677" s="1888"/>
      <c r="AE677" s="1888"/>
      <c r="AF677" s="1888"/>
      <c r="AG677" s="1888"/>
      <c r="AH677" s="1888"/>
      <c r="AI677" s="1888"/>
      <c r="AJ677" s="1888"/>
      <c r="AK677" s="1888"/>
      <c r="AZ677" s="58"/>
      <c r="BA677" s="443">
        <f t="shared" si="40"/>
        <v>4194</v>
      </c>
      <c r="BB677" s="58"/>
      <c r="BC677" s="58"/>
      <c r="BD677" s="58"/>
      <c r="BE677" s="58"/>
      <c r="BF677" s="379"/>
      <c r="BG677" s="454">
        <f t="shared" si="41"/>
        <v>2</v>
      </c>
      <c r="BH677" s="457">
        <f t="shared" si="43"/>
        <v>1.8181818181818181E-2</v>
      </c>
      <c r="BI677" s="458">
        <f t="shared" si="42"/>
        <v>5.4545454545454541E-3</v>
      </c>
      <c r="BJ677" s="58"/>
      <c r="BK677" s="58"/>
      <c r="BL677" s="58"/>
      <c r="BM677" s="58"/>
      <c r="BN677" s="58"/>
      <c r="BO677" s="58"/>
      <c r="BP677" s="535" t="s">
        <v>507</v>
      </c>
      <c r="BQ677" s="748">
        <v>1364</v>
      </c>
      <c r="BR677" s="749">
        <v>1462</v>
      </c>
      <c r="BS677" s="748">
        <v>1754</v>
      </c>
      <c r="BT677" s="749">
        <v>2026</v>
      </c>
      <c r="BU677" s="749">
        <v>2260</v>
      </c>
      <c r="BV677" s="750">
        <v>2492</v>
      </c>
      <c r="BW677" s="58"/>
      <c r="BX677" s="920">
        <v>651</v>
      </c>
      <c r="BY677" s="920">
        <v>831</v>
      </c>
      <c r="BZ677" s="920">
        <v>980</v>
      </c>
      <c r="CA677" s="920">
        <v>1355</v>
      </c>
      <c r="CB677" s="920">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1887" t="s">
        <v>2490</v>
      </c>
      <c r="H678" s="1887"/>
      <c r="I678" s="1887"/>
      <c r="J678" s="1887"/>
      <c r="K678" s="1887"/>
      <c r="L678" s="1887"/>
      <c r="M678" s="1887"/>
      <c r="N678" s="1887"/>
      <c r="O678" s="1887"/>
      <c r="P678" s="1887"/>
      <c r="Q678" s="1887"/>
      <c r="R678" s="1887"/>
      <c r="T678" s="35"/>
      <c r="U678" s="12" t="s">
        <v>90</v>
      </c>
      <c r="Z678" s="1887" t="s">
        <v>2477</v>
      </c>
      <c r="AA678" s="1887"/>
      <c r="AB678" s="1887"/>
      <c r="AC678" s="1887"/>
      <c r="AD678" s="1887"/>
      <c r="AE678" s="1887"/>
      <c r="AF678" s="1887"/>
      <c r="AG678" s="1887"/>
      <c r="AH678" s="1887"/>
      <c r="AI678" s="1887"/>
      <c r="AJ678" s="1887"/>
      <c r="AK678" s="1887"/>
      <c r="AZ678" s="58"/>
      <c r="BA678" s="443">
        <f t="shared" si="40"/>
        <v>4194</v>
      </c>
      <c r="BB678" s="58"/>
      <c r="BC678" s="58"/>
      <c r="BD678" s="58"/>
      <c r="BE678" s="58"/>
      <c r="BF678" s="379"/>
      <c r="BG678" s="454">
        <f t="shared" si="41"/>
        <v>2</v>
      </c>
      <c r="BH678" s="457">
        <f t="shared" si="43"/>
        <v>1.8181818181818181E-2</v>
      </c>
      <c r="BI678" s="458">
        <f t="shared" si="42"/>
        <v>5.4545454545454541E-3</v>
      </c>
      <c r="BJ678" s="58"/>
      <c r="BK678" s="58"/>
      <c r="BL678" s="58"/>
      <c r="BM678" s="58"/>
      <c r="BN678" s="58"/>
      <c r="BO678" s="58"/>
      <c r="BP678" s="535" t="s">
        <v>508</v>
      </c>
      <c r="BQ678" s="748">
        <v>1774</v>
      </c>
      <c r="BR678" s="749">
        <v>1900</v>
      </c>
      <c r="BS678" s="748">
        <v>2280</v>
      </c>
      <c r="BT678" s="749">
        <v>2634</v>
      </c>
      <c r="BU678" s="749">
        <v>2940</v>
      </c>
      <c r="BV678" s="750">
        <v>3242</v>
      </c>
      <c r="BW678" s="58"/>
      <c r="BX678" s="920">
        <v>1108</v>
      </c>
      <c r="BY678" s="920">
        <v>1228</v>
      </c>
      <c r="BZ678" s="920">
        <v>1543</v>
      </c>
      <c r="CA678" s="920">
        <v>2192</v>
      </c>
      <c r="CB678" s="920">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605</v>
      </c>
      <c r="G679" s="1887" t="s">
        <v>2500</v>
      </c>
      <c r="H679" s="1887"/>
      <c r="I679" s="1887"/>
      <c r="J679" s="1887"/>
      <c r="K679" s="1887"/>
      <c r="L679" s="1887"/>
      <c r="M679" s="1887"/>
      <c r="N679" s="1887"/>
      <c r="O679" s="1887"/>
      <c r="P679" s="1887"/>
      <c r="Q679" s="1887"/>
      <c r="R679" s="1887"/>
      <c r="T679" s="35"/>
      <c r="U679" s="12" t="s">
        <v>605</v>
      </c>
      <c r="Z679" s="1887" t="s">
        <v>2500</v>
      </c>
      <c r="AA679" s="1887"/>
      <c r="AB679" s="1887"/>
      <c r="AC679" s="1887"/>
      <c r="AD679" s="1887"/>
      <c r="AE679" s="1887"/>
      <c r="AF679" s="1887"/>
      <c r="AG679" s="1887"/>
      <c r="AH679" s="1887"/>
      <c r="AI679" s="1887"/>
      <c r="AJ679" s="1887"/>
      <c r="AK679" s="1887"/>
      <c r="AZ679" s="58"/>
      <c r="BA679" s="443">
        <f t="shared" si="40"/>
        <v>4194</v>
      </c>
      <c r="BB679" s="58"/>
      <c r="BC679" s="58"/>
      <c r="BD679" s="58"/>
      <c r="BE679" s="58"/>
      <c r="BF679" s="379"/>
      <c r="BG679" s="454">
        <f t="shared" si="41"/>
        <v>4</v>
      </c>
      <c r="BH679" s="457">
        <f t="shared" si="43"/>
        <v>3.6363636363636362E-2</v>
      </c>
      <c r="BI679" s="458">
        <f t="shared" si="42"/>
        <v>1.8181818181818181E-2</v>
      </c>
      <c r="BJ679" s="58"/>
      <c r="BK679" s="58"/>
      <c r="BL679" s="58"/>
      <c r="BM679" s="58"/>
      <c r="BN679" s="58"/>
      <c r="BO679" s="58"/>
      <c r="BP679" s="535" t="s">
        <v>509</v>
      </c>
      <c r="BQ679" s="748">
        <v>1364</v>
      </c>
      <c r="BR679" s="749">
        <v>1462</v>
      </c>
      <c r="BS679" s="748">
        <v>1754</v>
      </c>
      <c r="BT679" s="749">
        <v>2026</v>
      </c>
      <c r="BU679" s="749">
        <v>2260</v>
      </c>
      <c r="BV679" s="750">
        <v>2492</v>
      </c>
      <c r="BW679" s="58"/>
      <c r="BX679" s="920">
        <v>899</v>
      </c>
      <c r="BY679" s="920">
        <v>904</v>
      </c>
      <c r="BZ679" s="920">
        <v>1137</v>
      </c>
      <c r="CA679" s="920">
        <v>1607</v>
      </c>
      <c r="CB679" s="920">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1887" t="s">
        <v>2491</v>
      </c>
      <c r="H680" s="1887"/>
      <c r="I680" s="1887"/>
      <c r="J680" s="1887"/>
      <c r="K680" s="1887"/>
      <c r="L680" s="1887"/>
      <c r="M680" s="1887"/>
      <c r="N680" s="1887"/>
      <c r="O680" s="1887"/>
      <c r="P680" s="1887"/>
      <c r="Q680" s="1887"/>
      <c r="R680" s="1887"/>
      <c r="T680" s="35"/>
      <c r="U680" s="12" t="s">
        <v>17</v>
      </c>
      <c r="Z680" s="1887" t="s">
        <v>2491</v>
      </c>
      <c r="AA680" s="1887"/>
      <c r="AB680" s="1887"/>
      <c r="AC680" s="1887"/>
      <c r="AD680" s="1887"/>
      <c r="AE680" s="1887"/>
      <c r="AF680" s="1887"/>
      <c r="AG680" s="1887"/>
      <c r="AH680" s="1887"/>
      <c r="AI680" s="1887"/>
      <c r="AJ680" s="1887"/>
      <c r="AK680" s="1887"/>
      <c r="AZ680" s="58"/>
      <c r="BA680" s="443">
        <f t="shared" si="40"/>
        <v>4194</v>
      </c>
      <c r="BB680" s="58"/>
      <c r="BC680" s="58"/>
      <c r="BD680" s="58"/>
      <c r="BE680" s="58"/>
      <c r="BF680" s="379"/>
      <c r="BG680" s="454">
        <f t="shared" si="41"/>
        <v>9</v>
      </c>
      <c r="BH680" s="457">
        <f t="shared" si="43"/>
        <v>8.1818181818181818E-2</v>
      </c>
      <c r="BI680" s="458">
        <f t="shared" si="42"/>
        <v>4.0909090909090909E-2</v>
      </c>
      <c r="BJ680" s="58"/>
      <c r="BK680" s="58"/>
      <c r="BL680" s="58"/>
      <c r="BM680" s="58"/>
      <c r="BN680" s="58"/>
      <c r="BO680" s="58"/>
      <c r="BP680" s="535" t="s">
        <v>510</v>
      </c>
      <c r="BQ680" s="748">
        <v>1364</v>
      </c>
      <c r="BR680" s="749">
        <v>1462</v>
      </c>
      <c r="BS680" s="748">
        <v>1754</v>
      </c>
      <c r="BT680" s="749">
        <v>2026</v>
      </c>
      <c r="BU680" s="749">
        <v>2260</v>
      </c>
      <c r="BV680" s="750">
        <v>2492</v>
      </c>
      <c r="BW680" s="58"/>
      <c r="BX680" s="920">
        <v>627</v>
      </c>
      <c r="BY680" s="920">
        <v>717</v>
      </c>
      <c r="BZ680" s="920">
        <v>944</v>
      </c>
      <c r="CA680" s="920">
        <v>1167</v>
      </c>
      <c r="CB680" s="920">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321</v>
      </c>
      <c r="G681" s="1997" t="s">
        <v>2492</v>
      </c>
      <c r="H681" s="1912"/>
      <c r="I681" s="1912"/>
      <c r="J681" s="1912"/>
      <c r="K681" s="1912"/>
      <c r="L681" s="1912"/>
      <c r="O681" s="137" t="s">
        <v>211</v>
      </c>
      <c r="P681" s="1878"/>
      <c r="Q681" s="1878"/>
      <c r="R681" s="1878"/>
      <c r="T681" s="35"/>
      <c r="U681" s="12" t="s">
        <v>321</v>
      </c>
      <c r="Z681" s="1997" t="s">
        <v>2492</v>
      </c>
      <c r="AA681" s="1912"/>
      <c r="AB681" s="1912"/>
      <c r="AC681" s="1912"/>
      <c r="AD681" s="1912"/>
      <c r="AE681" s="1912"/>
      <c r="AH681" s="137" t="s">
        <v>211</v>
      </c>
      <c r="AI681" s="1878"/>
      <c r="AJ681" s="1878"/>
      <c r="AK681" s="1878"/>
      <c r="AZ681" s="58"/>
      <c r="BA681" s="443" t="str">
        <f t="shared" si="40"/>
        <v>N/A</v>
      </c>
      <c r="BB681" s="58"/>
      <c r="BC681" s="58"/>
      <c r="BD681" s="58"/>
      <c r="BE681" s="58"/>
      <c r="BF681" s="379"/>
      <c r="BG681" s="454">
        <f t="shared" si="41"/>
        <v>14</v>
      </c>
      <c r="BH681" s="457">
        <f t="shared" si="43"/>
        <v>0.12727272727272726</v>
      </c>
      <c r="BI681" s="458">
        <f t="shared" si="42"/>
        <v>7.6363636363636356E-2</v>
      </c>
      <c r="BJ681" s="58"/>
      <c r="BK681" s="58"/>
      <c r="BL681" s="58"/>
      <c r="BM681" s="58"/>
      <c r="BN681" s="58"/>
      <c r="BO681" s="58"/>
      <c r="BP681" s="535" t="s">
        <v>511</v>
      </c>
      <c r="BQ681" s="748">
        <v>1364</v>
      </c>
      <c r="BR681" s="749">
        <v>1462</v>
      </c>
      <c r="BS681" s="748">
        <v>1754</v>
      </c>
      <c r="BT681" s="749">
        <v>2026</v>
      </c>
      <c r="BU681" s="749">
        <v>2260</v>
      </c>
      <c r="BV681" s="750">
        <v>2492</v>
      </c>
      <c r="BW681" s="58"/>
      <c r="BX681" s="920">
        <v>741</v>
      </c>
      <c r="BY681" s="920">
        <v>862</v>
      </c>
      <c r="BZ681" s="920">
        <v>1112</v>
      </c>
      <c r="CA681" s="920">
        <v>1580</v>
      </c>
      <c r="CB681" s="920">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1887" t="s">
        <v>2567</v>
      </c>
      <c r="I682" s="1887"/>
      <c r="J682" s="1887"/>
      <c r="K682" s="1887"/>
      <c r="L682" s="1887"/>
      <c r="M682" s="1887"/>
      <c r="N682" s="1887"/>
      <c r="O682" s="1887"/>
      <c r="P682" s="1887"/>
      <c r="Q682" s="1887"/>
      <c r="R682" s="1887"/>
      <c r="T682" s="35"/>
      <c r="U682" s="12" t="s">
        <v>18</v>
      </c>
      <c r="AA682" s="1887" t="s">
        <v>2567</v>
      </c>
      <c r="AB682" s="1887"/>
      <c r="AC682" s="1887"/>
      <c r="AD682" s="1887"/>
      <c r="AE682" s="1887"/>
      <c r="AF682" s="1887"/>
      <c r="AG682" s="1887"/>
      <c r="AH682" s="1887"/>
      <c r="AI682" s="1887"/>
      <c r="AJ682" s="1887"/>
      <c r="AK682" s="1887"/>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512</v>
      </c>
      <c r="BQ682" s="748">
        <v>1364</v>
      </c>
      <c r="BR682" s="749">
        <v>1462</v>
      </c>
      <c r="BS682" s="748">
        <v>1754</v>
      </c>
      <c r="BT682" s="749">
        <v>2026</v>
      </c>
      <c r="BU682" s="749">
        <v>2260</v>
      </c>
      <c r="BV682" s="750">
        <v>2492</v>
      </c>
      <c r="BW682" s="58"/>
      <c r="BX682" s="920">
        <v>716</v>
      </c>
      <c r="BY682" s="920">
        <v>815</v>
      </c>
      <c r="BZ682" s="920">
        <v>1065</v>
      </c>
      <c r="CA682" s="920">
        <v>1486</v>
      </c>
      <c r="CB682" s="920">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886" t="s">
        <v>569</v>
      </c>
      <c r="O683" s="1886"/>
      <c r="T683" s="35"/>
      <c r="U683" s="12" t="s">
        <v>20</v>
      </c>
      <c r="AG683" s="1886" t="s">
        <v>569</v>
      </c>
      <c r="AH683" s="1886"/>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513</v>
      </c>
      <c r="BQ683" s="748">
        <v>1446</v>
      </c>
      <c r="BR683" s="749">
        <v>1550</v>
      </c>
      <c r="BS683" s="748">
        <v>1862</v>
      </c>
      <c r="BT683" s="749">
        <v>2150</v>
      </c>
      <c r="BU683" s="749">
        <v>2400</v>
      </c>
      <c r="BV683" s="750">
        <v>2646</v>
      </c>
      <c r="BW683" s="58"/>
      <c r="BX683" s="920">
        <v>754</v>
      </c>
      <c r="BY683" s="920">
        <v>874</v>
      </c>
      <c r="BZ683" s="920">
        <v>1077</v>
      </c>
      <c r="CA683" s="920">
        <v>1530</v>
      </c>
      <c r="CB683" s="920">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514</v>
      </c>
      <c r="BQ684" s="748">
        <v>1364</v>
      </c>
      <c r="BR684" s="749">
        <v>1462</v>
      </c>
      <c r="BS684" s="748">
        <v>1754</v>
      </c>
      <c r="BT684" s="749">
        <v>2026</v>
      </c>
      <c r="BU684" s="749">
        <v>2260</v>
      </c>
      <c r="BV684" s="750">
        <v>2492</v>
      </c>
      <c r="BW684" s="58"/>
      <c r="BX684" s="920">
        <v>763</v>
      </c>
      <c r="BY684" s="920">
        <v>772</v>
      </c>
      <c r="BZ684" s="920">
        <v>1013</v>
      </c>
      <c r="CA684" s="920">
        <v>1439</v>
      </c>
      <c r="CB684" s="920">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485</v>
      </c>
      <c r="B685" s="12" t="s">
        <v>487</v>
      </c>
      <c r="G685" s="1888" t="str">
        <f>C645</f>
        <v>Accrued Interest on Soft Loans</v>
      </c>
      <c r="H685" s="1888"/>
      <c r="I685" s="1888"/>
      <c r="J685" s="1888"/>
      <c r="K685" s="1888"/>
      <c r="L685" s="1888"/>
      <c r="M685" s="1888"/>
      <c r="N685" s="1888"/>
      <c r="O685" s="1888"/>
      <c r="P685" s="1888"/>
      <c r="Q685" s="1888"/>
      <c r="R685" s="1888"/>
      <c r="T685" s="87" t="s">
        <v>671</v>
      </c>
      <c r="U685" s="12" t="s">
        <v>487</v>
      </c>
      <c r="Z685" s="1888">
        <f>C646</f>
        <v>0</v>
      </c>
      <c r="AA685" s="1888"/>
      <c r="AB685" s="1888"/>
      <c r="AC685" s="1888"/>
      <c r="AD685" s="1888"/>
      <c r="AE685" s="1888"/>
      <c r="AF685" s="1888"/>
      <c r="AG685" s="1888"/>
      <c r="AH685" s="1888"/>
      <c r="AI685" s="1888"/>
      <c r="AJ685" s="1888"/>
      <c r="AK685" s="1888"/>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515</v>
      </c>
      <c r="BQ685" s="748">
        <v>1364</v>
      </c>
      <c r="BR685" s="749">
        <v>1462</v>
      </c>
      <c r="BS685" s="748">
        <v>1754</v>
      </c>
      <c r="BT685" s="749">
        <v>2026</v>
      </c>
      <c r="BU685" s="749">
        <v>2260</v>
      </c>
      <c r="BV685" s="750">
        <v>2492</v>
      </c>
      <c r="BW685" s="58"/>
      <c r="BX685" s="920">
        <v>924</v>
      </c>
      <c r="BY685" s="920">
        <v>930</v>
      </c>
      <c r="BZ685" s="920">
        <v>1162</v>
      </c>
      <c r="CA685" s="920">
        <v>1651</v>
      </c>
      <c r="CB685" s="920">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1887" t="s">
        <v>2543</v>
      </c>
      <c r="H686" s="1887"/>
      <c r="I686" s="1887"/>
      <c r="J686" s="1887"/>
      <c r="K686" s="1887"/>
      <c r="L686" s="1887"/>
      <c r="M686" s="1887"/>
      <c r="N686" s="1887"/>
      <c r="O686" s="1887"/>
      <c r="P686" s="1887"/>
      <c r="Q686" s="1887"/>
      <c r="R686" s="1887"/>
      <c r="T686" s="35"/>
      <c r="U686" s="12" t="s">
        <v>90</v>
      </c>
      <c r="Z686" s="1887"/>
      <c r="AA686" s="1887"/>
      <c r="AB686" s="1887"/>
      <c r="AC686" s="1887"/>
      <c r="AD686" s="1887"/>
      <c r="AE686" s="1887"/>
      <c r="AF686" s="1887"/>
      <c r="AG686" s="1887"/>
      <c r="AH686" s="1887"/>
      <c r="AI686" s="1887"/>
      <c r="AJ686" s="1887"/>
      <c r="AK686" s="1887"/>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516</v>
      </c>
      <c r="BQ686" s="748">
        <v>1364</v>
      </c>
      <c r="BR686" s="749">
        <v>1462</v>
      </c>
      <c r="BS686" s="748">
        <v>1754</v>
      </c>
      <c r="BT686" s="749">
        <v>2026</v>
      </c>
      <c r="BU686" s="749">
        <v>2260</v>
      </c>
      <c r="BV686" s="750">
        <v>2492</v>
      </c>
      <c r="BW686" s="58"/>
      <c r="BX686" s="920">
        <v>678</v>
      </c>
      <c r="BY686" s="920">
        <v>776</v>
      </c>
      <c r="BZ686" s="920">
        <v>1021</v>
      </c>
      <c r="CA686" s="920">
        <v>1450</v>
      </c>
      <c r="CB686" s="920">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605</v>
      </c>
      <c r="G687" s="1889" t="s">
        <v>2500</v>
      </c>
      <c r="H687" s="1889"/>
      <c r="I687" s="1889"/>
      <c r="J687" s="1889"/>
      <c r="K687" s="1889"/>
      <c r="L687" s="1889"/>
      <c r="M687" s="1889"/>
      <c r="N687" s="1889"/>
      <c r="O687" s="1889"/>
      <c r="P687" s="1889"/>
      <c r="Q687" s="1889"/>
      <c r="R687" s="1889"/>
      <c r="T687" s="35"/>
      <c r="U687" s="12" t="s">
        <v>605</v>
      </c>
      <c r="Z687" s="1889"/>
      <c r="AA687" s="1889"/>
      <c r="AB687" s="1889"/>
      <c r="AC687" s="1889"/>
      <c r="AD687" s="1889"/>
      <c r="AE687" s="1889"/>
      <c r="AF687" s="1889"/>
      <c r="AG687" s="1889"/>
      <c r="AH687" s="1889"/>
      <c r="AI687" s="1889"/>
      <c r="AJ687" s="1889"/>
      <c r="AK687" s="1889"/>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517</v>
      </c>
      <c r="BQ687" s="748">
        <v>1406</v>
      </c>
      <c r="BR687" s="749">
        <v>1506</v>
      </c>
      <c r="BS687" s="748">
        <v>1806</v>
      </c>
      <c r="BT687" s="749">
        <v>2088</v>
      </c>
      <c r="BU687" s="749">
        <v>2330</v>
      </c>
      <c r="BV687" s="750">
        <v>2570</v>
      </c>
      <c r="BW687" s="58"/>
      <c r="BX687" s="920">
        <v>623</v>
      </c>
      <c r="BY687" s="920">
        <v>712</v>
      </c>
      <c r="BZ687" s="920">
        <v>937</v>
      </c>
      <c r="CA687" s="920">
        <v>1331</v>
      </c>
      <c r="CB687" s="920">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1889" t="s">
        <v>2577</v>
      </c>
      <c r="H688" s="1889"/>
      <c r="I688" s="1889"/>
      <c r="J688" s="1889"/>
      <c r="K688" s="1889"/>
      <c r="L688" s="1889"/>
      <c r="M688" s="1889"/>
      <c r="N688" s="1889"/>
      <c r="O688" s="1889"/>
      <c r="P688" s="1889"/>
      <c r="Q688" s="1889"/>
      <c r="R688" s="1889"/>
      <c r="T688" s="35"/>
      <c r="U688" s="12" t="s">
        <v>17</v>
      </c>
      <c r="Z688" s="1889"/>
      <c r="AA688" s="1889"/>
      <c r="AB688" s="1889"/>
      <c r="AC688" s="1889"/>
      <c r="AD688" s="1889"/>
      <c r="AE688" s="1889"/>
      <c r="AF688" s="1889"/>
      <c r="AG688" s="1889"/>
      <c r="AH688" s="1889"/>
      <c r="AI688" s="1889"/>
      <c r="AJ688" s="1889"/>
      <c r="AK688" s="1889"/>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518</v>
      </c>
      <c r="BQ688" s="748">
        <v>2084</v>
      </c>
      <c r="BR688" s="749">
        <v>2232</v>
      </c>
      <c r="BS688" s="748">
        <v>2680</v>
      </c>
      <c r="BT688" s="749">
        <v>3096</v>
      </c>
      <c r="BU688" s="749">
        <v>3454</v>
      </c>
      <c r="BV688" s="750">
        <v>3812</v>
      </c>
      <c r="BW688" s="58"/>
      <c r="BX688" s="920">
        <v>1384</v>
      </c>
      <c r="BY688" s="920">
        <v>1604</v>
      </c>
      <c r="BZ688" s="920">
        <v>2044</v>
      </c>
      <c r="CA688" s="920">
        <v>2693</v>
      </c>
      <c r="CB688" s="920">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321</v>
      </c>
      <c r="G689" s="1997" t="s">
        <v>2578</v>
      </c>
      <c r="H689" s="1912"/>
      <c r="I689" s="1912"/>
      <c r="J689" s="1912"/>
      <c r="K689" s="1912"/>
      <c r="L689" s="1912"/>
      <c r="O689" s="137" t="s">
        <v>211</v>
      </c>
      <c r="P689" s="1878"/>
      <c r="Q689" s="1878"/>
      <c r="R689" s="1878"/>
      <c r="T689" s="35"/>
      <c r="U689" s="12" t="s">
        <v>321</v>
      </c>
      <c r="Z689" s="1997"/>
      <c r="AA689" s="1912"/>
      <c r="AB689" s="1912"/>
      <c r="AC689" s="1912"/>
      <c r="AD689" s="1912"/>
      <c r="AE689" s="1912"/>
      <c r="AH689" s="137" t="s">
        <v>211</v>
      </c>
      <c r="AI689" s="1878"/>
      <c r="AJ689" s="1878"/>
      <c r="AK689" s="1878"/>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519</v>
      </c>
      <c r="BQ689" s="748">
        <v>1364</v>
      </c>
      <c r="BR689" s="749">
        <v>1462</v>
      </c>
      <c r="BS689" s="748">
        <v>1754</v>
      </c>
      <c r="BT689" s="749">
        <v>2026</v>
      </c>
      <c r="BU689" s="749">
        <v>2260</v>
      </c>
      <c r="BV689" s="750">
        <v>2492</v>
      </c>
      <c r="BW689" s="58"/>
      <c r="BX689" s="920">
        <v>913</v>
      </c>
      <c r="BY689" s="920">
        <v>919</v>
      </c>
      <c r="BZ689" s="920">
        <v>1198</v>
      </c>
      <c r="CA689" s="920">
        <v>1702</v>
      </c>
      <c r="CB689" s="920">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1887" t="s">
        <v>2579</v>
      </c>
      <c r="I690" s="1887"/>
      <c r="J690" s="1887"/>
      <c r="K690" s="1887"/>
      <c r="L690" s="1887"/>
      <c r="M690" s="1887"/>
      <c r="N690" s="1887"/>
      <c r="O690" s="1887"/>
      <c r="P690" s="1887"/>
      <c r="Q690" s="1887"/>
      <c r="R690" s="1887"/>
      <c r="T690" s="35"/>
      <c r="U690" s="12" t="s">
        <v>18</v>
      </c>
      <c r="AA690" s="1887"/>
      <c r="AB690" s="1887"/>
      <c r="AC690" s="1887"/>
      <c r="AD690" s="1887"/>
      <c r="AE690" s="1887"/>
      <c r="AF690" s="1887"/>
      <c r="AG690" s="1887"/>
      <c r="AH690" s="1887"/>
      <c r="AI690" s="1887"/>
      <c r="AJ690" s="1887"/>
      <c r="AK690" s="1887"/>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520</v>
      </c>
      <c r="BQ690" s="748">
        <v>3262</v>
      </c>
      <c r="BR690" s="749">
        <v>3496</v>
      </c>
      <c r="BS690" s="748">
        <v>4194</v>
      </c>
      <c r="BT690" s="749">
        <v>4846</v>
      </c>
      <c r="BU690" s="749">
        <v>5406</v>
      </c>
      <c r="BV690" s="750">
        <v>5966</v>
      </c>
      <c r="BW690" s="58"/>
      <c r="BX690" s="920">
        <v>2115</v>
      </c>
      <c r="BY690" s="920">
        <v>2631</v>
      </c>
      <c r="BZ690" s="920">
        <v>3198</v>
      </c>
      <c r="CA690" s="920">
        <v>4111</v>
      </c>
      <c r="CB690" s="920">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886" t="s">
        <v>569</v>
      </c>
      <c r="O691" s="1886"/>
      <c r="T691" s="35"/>
      <c r="U691" s="12" t="s">
        <v>20</v>
      </c>
      <c r="AG691" s="1886" t="s">
        <v>694</v>
      </c>
      <c r="AH691" s="1886"/>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920">
        <v>718</v>
      </c>
      <c r="BY691" s="920">
        <v>808</v>
      </c>
      <c r="BZ691" s="920">
        <v>1063</v>
      </c>
      <c r="CA691" s="920">
        <v>1423</v>
      </c>
      <c r="CB691" s="920">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920">
        <v>945</v>
      </c>
      <c r="BY692" s="920">
        <v>954</v>
      </c>
      <c r="BZ692" s="920">
        <v>1245</v>
      </c>
      <c r="CA692" s="920">
        <v>1729</v>
      </c>
      <c r="CB692" s="920">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368</v>
      </c>
      <c r="B693" s="12" t="s">
        <v>487</v>
      </c>
      <c r="G693" s="1888">
        <f>C647</f>
        <v>0</v>
      </c>
      <c r="H693" s="1888"/>
      <c r="I693" s="1888"/>
      <c r="J693" s="1888"/>
      <c r="K693" s="1888"/>
      <c r="L693" s="1888"/>
      <c r="M693" s="1888"/>
      <c r="N693" s="1888"/>
      <c r="O693" s="1888"/>
      <c r="P693" s="1888"/>
      <c r="Q693" s="1888"/>
      <c r="R693" s="1888"/>
      <c r="T693" s="87" t="s">
        <v>369</v>
      </c>
      <c r="U693" s="12" t="s">
        <v>487</v>
      </c>
      <c r="Z693" s="1888">
        <f>C648</f>
        <v>0</v>
      </c>
      <c r="AA693" s="1888"/>
      <c r="AB693" s="1888"/>
      <c r="AC693" s="1888"/>
      <c r="AD693" s="1888"/>
      <c r="AE693" s="1888"/>
      <c r="AF693" s="1888"/>
      <c r="AG693" s="1888"/>
      <c r="AH693" s="1888"/>
      <c r="AI693" s="1888"/>
      <c r="AJ693" s="1888"/>
      <c r="AK693" s="1888"/>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920">
        <v>766</v>
      </c>
      <c r="BY693" s="920">
        <v>914</v>
      </c>
      <c r="BZ693" s="920">
        <v>1120</v>
      </c>
      <c r="CA693" s="920">
        <v>1591</v>
      </c>
      <c r="CB693" s="920">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1887"/>
      <c r="H694" s="1887"/>
      <c r="I694" s="1887"/>
      <c r="J694" s="1887"/>
      <c r="K694" s="1887"/>
      <c r="L694" s="1887"/>
      <c r="M694" s="1887"/>
      <c r="N694" s="1887"/>
      <c r="O694" s="1887"/>
      <c r="P694" s="1887"/>
      <c r="Q694" s="1887"/>
      <c r="R694" s="1887"/>
      <c r="T694" s="35"/>
      <c r="U694" s="12" t="s">
        <v>90</v>
      </c>
      <c r="Z694" s="1887"/>
      <c r="AA694" s="1887"/>
      <c r="AB694" s="1887"/>
      <c r="AC694" s="1887"/>
      <c r="AD694" s="1887"/>
      <c r="AE694" s="1887"/>
      <c r="AF694" s="1887"/>
      <c r="AG694" s="1887"/>
      <c r="AH694" s="1887"/>
      <c r="AI694" s="1887"/>
      <c r="AJ694" s="1887"/>
      <c r="AK694" s="1887"/>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920">
        <v>605</v>
      </c>
      <c r="BY694" s="920">
        <v>609</v>
      </c>
      <c r="BZ694" s="920">
        <v>801</v>
      </c>
      <c r="CA694" s="920">
        <v>1047</v>
      </c>
      <c r="CB694" s="920">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605</v>
      </c>
      <c r="G695" s="1887"/>
      <c r="H695" s="1887"/>
      <c r="I695" s="1887"/>
      <c r="J695" s="1887"/>
      <c r="K695" s="1887"/>
      <c r="L695" s="1887"/>
      <c r="M695" s="1887"/>
      <c r="N695" s="1887"/>
      <c r="O695" s="1887"/>
      <c r="P695" s="1887"/>
      <c r="Q695" s="1887"/>
      <c r="R695" s="1887"/>
      <c r="U695" s="12" t="s">
        <v>605</v>
      </c>
      <c r="Z695" s="1889"/>
      <c r="AA695" s="1889"/>
      <c r="AB695" s="1889"/>
      <c r="AC695" s="1889"/>
      <c r="AD695" s="1889"/>
      <c r="AE695" s="1889"/>
      <c r="AF695" s="1889"/>
      <c r="AG695" s="1889"/>
      <c r="AH695" s="1889"/>
      <c r="AI695" s="1889"/>
      <c r="AJ695" s="1889"/>
      <c r="AK695" s="1889"/>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920">
        <v>1009</v>
      </c>
      <c r="BY695" s="920">
        <v>1045</v>
      </c>
      <c r="BZ695" s="920">
        <v>1319</v>
      </c>
      <c r="CA695" s="920">
        <v>1829</v>
      </c>
      <c r="CB695" s="920">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1887"/>
      <c r="H696" s="1887"/>
      <c r="I696" s="1887"/>
      <c r="J696" s="1887"/>
      <c r="K696" s="1887"/>
      <c r="L696" s="1887"/>
      <c r="M696" s="1887"/>
      <c r="N696" s="1887"/>
      <c r="O696" s="1887"/>
      <c r="P696" s="1887"/>
      <c r="Q696" s="1887"/>
      <c r="R696" s="1887"/>
      <c r="U696" s="12" t="s">
        <v>17</v>
      </c>
      <c r="Z696" s="1889"/>
      <c r="AA696" s="1889"/>
      <c r="AB696" s="1889"/>
      <c r="AC696" s="1889"/>
      <c r="AD696" s="1889"/>
      <c r="AE696" s="1889"/>
      <c r="AF696" s="1889"/>
      <c r="AG696" s="1889"/>
      <c r="AH696" s="1889"/>
      <c r="AI696" s="1889"/>
      <c r="AJ696" s="1889"/>
      <c r="AK696" s="1889"/>
      <c r="AZ696" s="58"/>
      <c r="BA696" s="58"/>
      <c r="BB696" s="58"/>
      <c r="BC696" s="58"/>
      <c r="BD696" s="58"/>
      <c r="BF696" s="450" t="s">
        <v>949</v>
      </c>
      <c r="BG696" s="459">
        <f>SUM(BG671:BG695)</f>
        <v>110</v>
      </c>
      <c r="BH696" s="460">
        <f>SUM(BH671:BH695)</f>
        <v>1</v>
      </c>
      <c r="BI696" s="460">
        <f>SUM(BI671:BI695)</f>
        <v>0.47454545454545444</v>
      </c>
      <c r="BN696" s="58"/>
      <c r="BO696" s="58"/>
      <c r="BP696" s="535" t="s">
        <v>64</v>
      </c>
      <c r="BQ696" s="748">
        <v>1990</v>
      </c>
      <c r="BR696" s="749">
        <v>2132</v>
      </c>
      <c r="BS696" s="748">
        <v>2560</v>
      </c>
      <c r="BT696" s="749">
        <v>2956</v>
      </c>
      <c r="BU696" s="749">
        <v>3296</v>
      </c>
      <c r="BV696" s="750">
        <v>3638</v>
      </c>
      <c r="BW696" s="58"/>
      <c r="BX696" s="920">
        <v>1533</v>
      </c>
      <c r="BY696" s="920">
        <v>1616</v>
      </c>
      <c r="BZ696" s="920">
        <v>1967</v>
      </c>
      <c r="CA696" s="920">
        <v>2794</v>
      </c>
      <c r="CB696" s="920">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321</v>
      </c>
      <c r="G697" s="1912"/>
      <c r="H697" s="1912"/>
      <c r="I697" s="1912"/>
      <c r="J697" s="1912"/>
      <c r="K697" s="1912"/>
      <c r="L697" s="1912"/>
      <c r="O697" s="137" t="s">
        <v>211</v>
      </c>
      <c r="P697" s="1878"/>
      <c r="Q697" s="1878"/>
      <c r="R697" s="1878"/>
      <c r="U697" s="12" t="s">
        <v>321</v>
      </c>
      <c r="Z697" s="1912"/>
      <c r="AA697" s="1912"/>
      <c r="AB697" s="1912"/>
      <c r="AC697" s="1912"/>
      <c r="AD697" s="1912"/>
      <c r="AE697" s="1912"/>
      <c r="AH697" s="137" t="s">
        <v>211</v>
      </c>
      <c r="AI697" s="1878"/>
      <c r="AJ697" s="1878"/>
      <c r="AK697" s="1878"/>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920">
        <v>1438</v>
      </c>
      <c r="BY697" s="920">
        <v>1645</v>
      </c>
      <c r="BZ697" s="920">
        <v>2164</v>
      </c>
      <c r="CA697" s="920">
        <v>2924</v>
      </c>
      <c r="CB697" s="920">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1887"/>
      <c r="I698" s="1887"/>
      <c r="J698" s="1887"/>
      <c r="K698" s="1887"/>
      <c r="L698" s="1887"/>
      <c r="M698" s="1887"/>
      <c r="N698" s="1887"/>
      <c r="O698" s="1887"/>
      <c r="P698" s="1887"/>
      <c r="Q698" s="1887"/>
      <c r="R698" s="1887"/>
      <c r="U698" s="12" t="s">
        <v>18</v>
      </c>
      <c r="AA698" s="1887"/>
      <c r="AB698" s="1887"/>
      <c r="AC698" s="1887"/>
      <c r="AD698" s="1887"/>
      <c r="AE698" s="1887"/>
      <c r="AF698" s="1887"/>
      <c r="AG698" s="1887"/>
      <c r="AH698" s="1887"/>
      <c r="AI698" s="1887"/>
      <c r="AJ698" s="1887"/>
      <c r="AK698" s="1887"/>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920">
        <v>921</v>
      </c>
      <c r="BY698" s="920">
        <v>993</v>
      </c>
      <c r="BZ698" s="920">
        <v>1307</v>
      </c>
      <c r="CA698" s="920">
        <v>1857</v>
      </c>
      <c r="CB698" s="920">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886" t="s">
        <v>694</v>
      </c>
      <c r="O699" s="1886"/>
      <c r="U699" s="12" t="s">
        <v>20</v>
      </c>
      <c r="AG699" s="1886" t="s">
        <v>694</v>
      </c>
      <c r="AH699" s="1886"/>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197">
        <v>1716</v>
      </c>
      <c r="BY699" s="1197">
        <v>1905</v>
      </c>
      <c r="BZ699" s="1197">
        <v>2324</v>
      </c>
      <c r="CA699" s="1197">
        <v>3178</v>
      </c>
      <c r="CB699" s="119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197">
        <v>1108</v>
      </c>
      <c r="BY700" s="1197">
        <v>1228</v>
      </c>
      <c r="BZ700" s="1197">
        <v>1543</v>
      </c>
      <c r="CA700" s="1197">
        <v>2192</v>
      </c>
      <c r="CB700" s="119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601</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1828</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197">
        <v>608</v>
      </c>
      <c r="BY701" s="1197">
        <v>716</v>
      </c>
      <c r="BZ701" s="1197">
        <v>915</v>
      </c>
      <c r="CA701" s="1197">
        <v>1300</v>
      </c>
      <c r="CB701" s="119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946</v>
      </c>
      <c r="BH702" s="456" t="s">
        <v>947</v>
      </c>
      <c r="BI702" s="455" t="s">
        <v>948</v>
      </c>
      <c r="BJ702" s="58"/>
      <c r="BK702" s="61"/>
      <c r="BL702" s="61"/>
      <c r="BM702" s="61"/>
      <c r="BN702" s="61"/>
      <c r="BO702" s="61"/>
      <c r="BP702" s="535" t="s">
        <v>70</v>
      </c>
      <c r="BQ702" s="748">
        <v>1540</v>
      </c>
      <c r="BR702" s="749">
        <v>1650</v>
      </c>
      <c r="BS702" s="748">
        <v>1980</v>
      </c>
      <c r="BT702" s="749">
        <v>2288</v>
      </c>
      <c r="BU702" s="749">
        <v>2552</v>
      </c>
      <c r="BV702" s="750">
        <v>2816</v>
      </c>
      <c r="BW702" s="61"/>
      <c r="BX702" s="1197">
        <v>1062</v>
      </c>
      <c r="BY702" s="1197">
        <v>1202</v>
      </c>
      <c r="BZ702" s="1197">
        <v>1509</v>
      </c>
      <c r="CA702" s="1197">
        <v>2065</v>
      </c>
      <c r="CB702" s="119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886" t="s">
        <v>569</v>
      </c>
      <c r="AF703" s="188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12</v>
      </c>
      <c r="BH703" s="457">
        <f>BG703/$BG$728</f>
        <v>0.10909090909090909</v>
      </c>
      <c r="BI703" s="458">
        <f t="shared" ref="BI703:BI727" si="45">IF(BH703=0," ",BH703*AH728)</f>
        <v>1.6219831670475447E-2</v>
      </c>
      <c r="BJ703" s="58"/>
      <c r="BK703" s="61"/>
      <c r="BL703" s="61"/>
      <c r="BM703" s="61"/>
      <c r="BN703" s="61"/>
      <c r="BO703" s="61"/>
      <c r="BP703" s="535" t="s">
        <v>71</v>
      </c>
      <c r="BQ703" s="748">
        <v>1774</v>
      </c>
      <c r="BR703" s="749">
        <v>1900</v>
      </c>
      <c r="BS703" s="748">
        <v>2280</v>
      </c>
      <c r="BT703" s="749">
        <v>2634</v>
      </c>
      <c r="BU703" s="749">
        <v>2940</v>
      </c>
      <c r="BV703" s="750">
        <v>3242</v>
      </c>
      <c r="BW703" s="61"/>
      <c r="BX703" s="1197">
        <v>1108</v>
      </c>
      <c r="BY703" s="1197">
        <v>1228</v>
      </c>
      <c r="BZ703" s="1197">
        <v>1543</v>
      </c>
      <c r="CA703" s="1197">
        <v>2192</v>
      </c>
      <c r="CB703" s="119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886" t="s">
        <v>694</v>
      </c>
      <c r="AF704" s="188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12</v>
      </c>
      <c r="BH704" s="457">
        <f t="shared" ref="BH704:BH727" si="46">BG704/$BG$728</f>
        <v>0.10909090909090909</v>
      </c>
      <c r="BI704" s="458">
        <f t="shared" si="45"/>
        <v>1.6219831670475447E-2</v>
      </c>
      <c r="BJ704" s="58"/>
      <c r="BK704" s="61"/>
      <c r="BL704" s="61"/>
      <c r="BM704" s="61"/>
      <c r="BN704" s="61"/>
      <c r="BO704" s="61"/>
      <c r="BP704" s="535" t="s">
        <v>756</v>
      </c>
      <c r="BQ704" s="748">
        <v>1840</v>
      </c>
      <c r="BR704" s="749">
        <v>1970</v>
      </c>
      <c r="BS704" s="748">
        <v>2364</v>
      </c>
      <c r="BT704" s="749">
        <v>2732</v>
      </c>
      <c r="BU704" s="749">
        <v>3050</v>
      </c>
      <c r="BV704" s="750">
        <v>3364</v>
      </c>
      <c r="BW704" s="61"/>
      <c r="BX704" s="1197">
        <v>1096</v>
      </c>
      <c r="BY704" s="1197">
        <v>1253</v>
      </c>
      <c r="BZ704" s="1197">
        <v>1649</v>
      </c>
      <c r="CA704" s="1197">
        <v>2342</v>
      </c>
      <c r="CB704" s="119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976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058">
        <v>44782</v>
      </c>
      <c r="AF705" s="2058"/>
      <c r="AG705" s="2058"/>
      <c r="AH705" s="2058"/>
      <c r="AI705" s="205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v>
      </c>
      <c r="BH705" s="457">
        <f t="shared" si="46"/>
        <v>1.8181818181818181E-2</v>
      </c>
      <c r="BI705" s="458">
        <f t="shared" si="45"/>
        <v>4.0577448302770193E-3</v>
      </c>
      <c r="BJ705" s="58"/>
      <c r="BK705" s="58"/>
      <c r="BL705" s="58"/>
      <c r="BM705" s="58"/>
      <c r="BN705" s="61"/>
      <c r="BO705" s="61"/>
      <c r="BP705" s="535" t="s">
        <v>757</v>
      </c>
      <c r="BQ705" s="748">
        <v>1540</v>
      </c>
      <c r="BR705" s="749">
        <v>1650</v>
      </c>
      <c r="BS705" s="748">
        <v>1980</v>
      </c>
      <c r="BT705" s="749">
        <v>2288</v>
      </c>
      <c r="BU705" s="749">
        <v>2552</v>
      </c>
      <c r="BV705" s="750">
        <v>2816</v>
      </c>
      <c r="BW705" s="61"/>
      <c r="BX705" s="1197">
        <v>1062</v>
      </c>
      <c r="BY705" s="1197">
        <v>1202</v>
      </c>
      <c r="BZ705" s="1197">
        <v>1509</v>
      </c>
      <c r="CA705" s="1197">
        <v>2065</v>
      </c>
      <c r="CB705" s="119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2" t="s">
        <v>1039</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54">
        <v>44895</v>
      </c>
      <c r="AF706" s="2254"/>
      <c r="AG706" s="2254"/>
      <c r="AH706" s="2254"/>
      <c r="AI706" s="225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11</v>
      </c>
      <c r="BH706" s="457">
        <f t="shared" si="46"/>
        <v>0.1</v>
      </c>
      <c r="BI706" s="458">
        <f t="shared" si="45"/>
        <v>4.4604537093807482E-2</v>
      </c>
      <c r="BJ706" s="58"/>
      <c r="BK706" s="58"/>
      <c r="BL706" s="58"/>
      <c r="BM706" s="58"/>
      <c r="BN706" s="61"/>
      <c r="BO706" s="61"/>
      <c r="BP706" s="535" t="s">
        <v>758</v>
      </c>
      <c r="BQ706" s="748">
        <v>2276</v>
      </c>
      <c r="BR706" s="749">
        <v>2440</v>
      </c>
      <c r="BS706" s="748">
        <v>2926</v>
      </c>
      <c r="BT706" s="749">
        <v>3382</v>
      </c>
      <c r="BU706" s="749">
        <v>3774</v>
      </c>
      <c r="BV706" s="750">
        <v>4164</v>
      </c>
      <c r="BW706" s="61"/>
      <c r="BX706" s="1197">
        <v>1394</v>
      </c>
      <c r="BY706" s="1197">
        <v>1542</v>
      </c>
      <c r="BZ706" s="1197">
        <v>1979</v>
      </c>
      <c r="CA706" s="1197">
        <v>2748</v>
      </c>
      <c r="CB706" s="119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10</v>
      </c>
      <c r="BH707" s="457">
        <f t="shared" si="46"/>
        <v>9.0909090909090912E-2</v>
      </c>
      <c r="BI707" s="458">
        <f t="shared" si="45"/>
        <v>4.7321776935510845E-2</v>
      </c>
      <c r="BJ707" s="58"/>
      <c r="BK707" s="58"/>
      <c r="BL707" s="58"/>
      <c r="BM707" s="58"/>
      <c r="BN707" s="61"/>
      <c r="BO707" s="61"/>
      <c r="BP707" s="535" t="s">
        <v>759</v>
      </c>
      <c r="BQ707" s="748">
        <v>3262</v>
      </c>
      <c r="BR707" s="749">
        <v>3496</v>
      </c>
      <c r="BS707" s="748">
        <v>4194</v>
      </c>
      <c r="BT707" s="749">
        <v>4846</v>
      </c>
      <c r="BU707" s="749">
        <v>5406</v>
      </c>
      <c r="BV707" s="750">
        <v>5966</v>
      </c>
      <c r="BW707" s="61"/>
      <c r="BX707" s="1197">
        <v>2115</v>
      </c>
      <c r="BY707" s="1197">
        <v>2631</v>
      </c>
      <c r="BZ707" s="1197">
        <v>3198</v>
      </c>
      <c r="CA707" s="1197">
        <v>4111</v>
      </c>
      <c r="CB707" s="119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859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058">
        <v>45047</v>
      </c>
      <c r="AF708" s="2058"/>
      <c r="AG708" s="2058"/>
      <c r="AH708" s="2058"/>
      <c r="AI708" s="205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32</v>
      </c>
      <c r="BH708" s="457">
        <f t="shared" si="46"/>
        <v>0.29090909090909089</v>
      </c>
      <c r="BI708" s="458">
        <f t="shared" si="45"/>
        <v>0.15249986065436708</v>
      </c>
      <c r="BJ708" s="58"/>
      <c r="BK708" s="58"/>
      <c r="BL708" s="58"/>
      <c r="BM708" s="58"/>
      <c r="BN708" s="58"/>
      <c r="BO708" s="58"/>
      <c r="BP708" s="535" t="s">
        <v>760</v>
      </c>
      <c r="BQ708" s="748">
        <v>1450</v>
      </c>
      <c r="BR708" s="749">
        <v>1552</v>
      </c>
      <c r="BS708" s="748">
        <v>1864</v>
      </c>
      <c r="BT708" s="749">
        <v>2152</v>
      </c>
      <c r="BU708" s="749">
        <v>2402</v>
      </c>
      <c r="BV708" s="750">
        <v>2650</v>
      </c>
      <c r="BW708" s="58"/>
      <c r="BX708" s="920">
        <v>891</v>
      </c>
      <c r="BY708" s="920">
        <v>992</v>
      </c>
      <c r="BZ708" s="920">
        <v>1305</v>
      </c>
      <c r="CA708" s="920">
        <v>1854</v>
      </c>
      <c r="CB708" s="920">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205">
        <v>0.54990000000000006</v>
      </c>
      <c r="AF709" s="2205"/>
      <c r="AG709" s="2205"/>
      <c r="AH709" s="2205"/>
      <c r="AI709" s="220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2</v>
      </c>
      <c r="BH709" s="457">
        <f t="shared" si="46"/>
        <v>1.8181818181818181E-2</v>
      </c>
      <c r="BI709" s="458">
        <f t="shared" si="45"/>
        <v>4.0534096328087741E-3</v>
      </c>
      <c r="BJ709" s="58"/>
      <c r="BK709" s="58"/>
      <c r="BL709" s="58"/>
      <c r="BM709" s="58"/>
      <c r="BN709" s="58"/>
      <c r="BO709" s="58"/>
      <c r="BP709" s="535" t="s">
        <v>72</v>
      </c>
      <c r="BQ709" s="748">
        <v>1914</v>
      </c>
      <c r="BR709" s="749">
        <v>2052</v>
      </c>
      <c r="BS709" s="748">
        <v>2462</v>
      </c>
      <c r="BT709" s="749">
        <v>2844</v>
      </c>
      <c r="BU709" s="749">
        <v>3174</v>
      </c>
      <c r="BV709" s="750">
        <v>3502</v>
      </c>
      <c r="BW709" s="58"/>
      <c r="BX709" s="920">
        <v>1308</v>
      </c>
      <c r="BY709" s="920">
        <v>1436</v>
      </c>
      <c r="BZ709" s="920">
        <v>1890</v>
      </c>
      <c r="CA709" s="920">
        <v>2685</v>
      </c>
      <c r="CB709" s="920">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1888" t="str">
        <f>H334</f>
        <v>City and County of San Francisco</v>
      </c>
      <c r="X710" s="1888"/>
      <c r="Y710" s="1888"/>
      <c r="Z710" s="1888"/>
      <c r="AA710" s="1888"/>
      <c r="AB710" s="1888"/>
      <c r="AC710" s="1888"/>
      <c r="AD710" s="1888"/>
      <c r="AE710" s="1888"/>
      <c r="AF710" s="1888"/>
      <c r="AG710" s="1888"/>
      <c r="AH710" s="1888"/>
      <c r="AI710" s="1888"/>
      <c r="AJ710" s="1888"/>
      <c r="AK710" s="188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2</v>
      </c>
      <c r="BH710" s="457">
        <f t="shared" si="46"/>
        <v>1.8181818181818181E-2</v>
      </c>
      <c r="BI710" s="458">
        <f t="shared" si="45"/>
        <v>4.0534096328087741E-3</v>
      </c>
      <c r="BJ710" s="58"/>
      <c r="BK710" s="58"/>
      <c r="BL710" s="58"/>
      <c r="BM710" s="58"/>
      <c r="BN710" s="58"/>
      <c r="BO710" s="58"/>
      <c r="BP710" s="535" t="s">
        <v>73</v>
      </c>
      <c r="BQ710" s="748">
        <v>3262</v>
      </c>
      <c r="BR710" s="749">
        <v>3496</v>
      </c>
      <c r="BS710" s="748">
        <v>4194</v>
      </c>
      <c r="BT710" s="749">
        <v>4846</v>
      </c>
      <c r="BU710" s="749">
        <v>5406</v>
      </c>
      <c r="BV710" s="750">
        <v>5966</v>
      </c>
      <c r="BW710" s="58"/>
      <c r="BX710" s="920">
        <v>2115</v>
      </c>
      <c r="BY710" s="920">
        <v>2631</v>
      </c>
      <c r="BZ710" s="920">
        <v>3198</v>
      </c>
      <c r="CA710" s="920">
        <v>4111</v>
      </c>
      <c r="CB710" s="920">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4</v>
      </c>
      <c r="BH711" s="457">
        <f t="shared" si="46"/>
        <v>3.6363636363636362E-2</v>
      </c>
      <c r="BI711" s="458">
        <f t="shared" si="45"/>
        <v>1.3517145705986907E-2</v>
      </c>
      <c r="BJ711" s="58"/>
      <c r="BK711" s="58"/>
      <c r="BL711" s="58"/>
      <c r="BM711" s="58"/>
      <c r="BN711" s="58"/>
      <c r="BO711" s="58"/>
      <c r="BP711" s="535" t="s">
        <v>196</v>
      </c>
      <c r="BQ711" s="748">
        <v>2444</v>
      </c>
      <c r="BR711" s="749">
        <v>2620</v>
      </c>
      <c r="BS711" s="748">
        <v>3144</v>
      </c>
      <c r="BT711" s="749">
        <v>3632</v>
      </c>
      <c r="BU711" s="749">
        <v>4052</v>
      </c>
      <c r="BV711" s="750">
        <v>4472</v>
      </c>
      <c r="BW711" s="58"/>
      <c r="BX711" s="920">
        <v>1847</v>
      </c>
      <c r="BY711" s="920">
        <v>2124</v>
      </c>
      <c r="BZ711" s="920">
        <v>2478</v>
      </c>
      <c r="CA711" s="920">
        <v>3266</v>
      </c>
      <c r="CB711" s="920">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886" t="s">
        <v>694</v>
      </c>
      <c r="AF712" s="188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9</v>
      </c>
      <c r="BH712" s="457">
        <f t="shared" si="46"/>
        <v>8.1818181818181818E-2</v>
      </c>
      <c r="BI712" s="458">
        <f t="shared" si="45"/>
        <v>3.6480686695278972E-2</v>
      </c>
      <c r="BJ712" s="58"/>
      <c r="BK712" s="58"/>
      <c r="BL712" s="58"/>
      <c r="BM712" s="58"/>
      <c r="BN712" s="58"/>
      <c r="BO712" s="58"/>
      <c r="BP712" s="535" t="s">
        <v>197</v>
      </c>
      <c r="BQ712" s="748">
        <v>2950</v>
      </c>
      <c r="BR712" s="749">
        <v>3160</v>
      </c>
      <c r="BS712" s="748">
        <v>3792</v>
      </c>
      <c r="BT712" s="749">
        <v>4380</v>
      </c>
      <c r="BU712" s="749">
        <v>4886</v>
      </c>
      <c r="BV712" s="750">
        <v>5392</v>
      </c>
      <c r="BW712" s="58"/>
      <c r="BX712" s="920">
        <v>2145</v>
      </c>
      <c r="BY712" s="920">
        <v>2418</v>
      </c>
      <c r="BZ712" s="920">
        <v>2868</v>
      </c>
      <c r="CA712" s="920">
        <v>3687</v>
      </c>
      <c r="CB712" s="920">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459</v>
      </c>
      <c r="E713" s="202"/>
      <c r="F713" s="202"/>
      <c r="G713" s="202"/>
      <c r="H713" s="202"/>
      <c r="I713" s="204"/>
      <c r="J713" s="204"/>
      <c r="K713" s="204"/>
      <c r="L713" s="204"/>
      <c r="M713" s="204"/>
      <c r="N713" s="204"/>
      <c r="O713" s="204"/>
      <c r="P713" s="204"/>
      <c r="Q713" s="204"/>
      <c r="R713" s="204"/>
      <c r="S713" s="204"/>
      <c r="T713" s="204"/>
      <c r="U713" s="204"/>
      <c r="V713" s="204"/>
      <c r="W713" s="1887" t="s">
        <v>616</v>
      </c>
      <c r="X713" s="1887"/>
      <c r="Y713" s="1887"/>
      <c r="Z713" s="1887"/>
      <c r="AA713" s="1887"/>
      <c r="AB713" s="1887"/>
      <c r="AC713" s="1887"/>
      <c r="AD713" s="1887"/>
      <c r="AE713" s="1887"/>
      <c r="AF713" s="1887"/>
      <c r="AG713" s="1887"/>
      <c r="AH713" s="1887"/>
      <c r="AI713" s="1887"/>
      <c r="AJ713" s="1887"/>
      <c r="AK713" s="188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14</v>
      </c>
      <c r="BH713" s="457">
        <f t="shared" si="46"/>
        <v>0.12727272727272726</v>
      </c>
      <c r="BI713" s="458">
        <f t="shared" si="45"/>
        <v>6.6246152512246928E-2</v>
      </c>
      <c r="BJ713" s="58"/>
      <c r="BK713" s="58"/>
      <c r="BL713" s="58"/>
      <c r="BM713" s="58"/>
      <c r="BN713" s="58"/>
      <c r="BO713" s="58"/>
      <c r="BP713" s="535" t="s">
        <v>198</v>
      </c>
      <c r="BQ713" s="748">
        <v>2722</v>
      </c>
      <c r="BR713" s="749">
        <v>2916</v>
      </c>
      <c r="BS713" s="748">
        <v>3500</v>
      </c>
      <c r="BT713" s="749">
        <v>4042</v>
      </c>
      <c r="BU713" s="749">
        <v>4510</v>
      </c>
      <c r="BV713" s="750">
        <v>4976</v>
      </c>
      <c r="BW713" s="58"/>
      <c r="BX713" s="920">
        <v>2085</v>
      </c>
      <c r="BY713" s="920">
        <v>2385</v>
      </c>
      <c r="BZ713" s="920">
        <v>3138</v>
      </c>
      <c r="CA713" s="920">
        <v>4000</v>
      </c>
      <c r="CB713" s="920">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1887" t="s">
        <v>616</v>
      </c>
      <c r="K714" s="1887"/>
      <c r="L714" s="1887"/>
      <c r="M714" s="1887"/>
      <c r="N714" s="1887"/>
      <c r="O714" s="1887"/>
      <c r="P714" s="1887"/>
      <c r="Q714" s="1887"/>
      <c r="R714" s="1887"/>
      <c r="S714" s="1887"/>
      <c r="T714" s="1887"/>
      <c r="U714" s="1887"/>
      <c r="V714" s="1887"/>
      <c r="W714" s="1887"/>
      <c r="X714" s="188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920">
        <v>834</v>
      </c>
      <c r="BY714" s="920">
        <v>954</v>
      </c>
      <c r="BZ714" s="920">
        <v>1255</v>
      </c>
      <c r="CA714" s="920">
        <v>1783</v>
      </c>
      <c r="CB714" s="920">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1997" t="s">
        <v>616</v>
      </c>
      <c r="K715" s="1912"/>
      <c r="L715" s="1912"/>
      <c r="M715" s="1912"/>
      <c r="N715" s="1912"/>
      <c r="O715" s="1912"/>
      <c r="P715" s="7" t="s">
        <v>211</v>
      </c>
      <c r="Q715" s="7"/>
      <c r="R715" s="1971"/>
      <c r="S715" s="1878"/>
      <c r="T715" s="187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920">
        <v>754</v>
      </c>
      <c r="BY715" s="920">
        <v>855</v>
      </c>
      <c r="BZ715" s="920">
        <v>1114</v>
      </c>
      <c r="CA715" s="920">
        <v>1593</v>
      </c>
      <c r="CB715" s="920">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460</v>
      </c>
      <c r="W716" s="1887" t="s">
        <v>312</v>
      </c>
      <c r="X716" s="1887"/>
      <c r="Y716" s="1887"/>
      <c r="Z716" s="1887"/>
      <c r="AA716" s="1887"/>
      <c r="AB716" s="1887"/>
      <c r="AC716" s="1887"/>
      <c r="AD716" s="1887"/>
      <c r="AE716" s="1887"/>
      <c r="AF716" s="1887"/>
      <c r="AG716" s="1887"/>
      <c r="AH716" s="1887"/>
      <c r="AI716" s="1887"/>
      <c r="AJ716" s="1887"/>
      <c r="AK716" s="188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920">
        <v>682</v>
      </c>
      <c r="BY716" s="920">
        <v>701</v>
      </c>
      <c r="BZ716" s="920">
        <v>922</v>
      </c>
      <c r="CA716" s="920">
        <v>1310</v>
      </c>
      <c r="CB716" s="920">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1887" t="s">
        <v>339</v>
      </c>
      <c r="F717" s="1887"/>
      <c r="G717" s="1887"/>
      <c r="H717" s="1887"/>
      <c r="I717" s="1887"/>
      <c r="J717" s="1887"/>
      <c r="K717" s="1887"/>
      <c r="L717" s="1887"/>
      <c r="M717" s="1887"/>
      <c r="N717" s="1887"/>
      <c r="O717" s="1887"/>
      <c r="P717" s="1887"/>
      <c r="Q717" s="1887"/>
      <c r="R717" s="1887"/>
      <c r="S717" s="1887"/>
      <c r="T717" s="1887"/>
      <c r="U717" s="1887"/>
      <c r="V717" s="1887"/>
      <c r="W717" s="1887"/>
      <c r="X717" s="1887"/>
      <c r="Y717" s="1887"/>
      <c r="Z717" s="1887"/>
      <c r="AA717" s="1887"/>
      <c r="AB717" s="1887"/>
      <c r="AC717" s="1887"/>
      <c r="AD717" s="1887"/>
      <c r="AE717" s="1887"/>
      <c r="AF717" s="1887"/>
      <c r="AG717" s="1887"/>
      <c r="AH717" s="1887"/>
      <c r="AI717" s="1887"/>
      <c r="AJ717" s="1887"/>
      <c r="AK717" s="188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920">
        <v>1232</v>
      </c>
      <c r="BY717" s="920">
        <v>1408</v>
      </c>
      <c r="BZ717" s="920">
        <v>1677</v>
      </c>
      <c r="CA717" s="920">
        <v>2382</v>
      </c>
      <c r="CB717" s="920">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920">
        <v>1373</v>
      </c>
      <c r="BY718" s="920">
        <v>1549</v>
      </c>
      <c r="BZ718" s="920">
        <v>2038</v>
      </c>
      <c r="CA718" s="920">
        <v>2851</v>
      </c>
      <c r="CB718" s="920">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17" t="s">
        <v>100</v>
      </c>
      <c r="B719" s="1717"/>
      <c r="C719" s="1717"/>
      <c r="D719" s="1717"/>
      <c r="E719" s="1717"/>
      <c r="F719" s="1717"/>
      <c r="G719" s="1717"/>
      <c r="H719" s="1717"/>
      <c r="I719" s="1717"/>
      <c r="J719" s="1717"/>
      <c r="K719" s="1717"/>
      <c r="L719" s="1717"/>
      <c r="M719" s="1717"/>
      <c r="N719" s="1717"/>
      <c r="O719" s="1717"/>
      <c r="P719" s="1717"/>
      <c r="Q719" s="1717"/>
      <c r="R719" s="1717"/>
      <c r="S719" s="1717"/>
      <c r="T719" s="1717"/>
      <c r="U719" s="1717"/>
      <c r="V719" s="1717"/>
      <c r="W719" s="1717"/>
      <c r="X719" s="1717"/>
      <c r="Y719" s="1717"/>
      <c r="Z719" s="1717"/>
      <c r="AA719" s="1717"/>
      <c r="AB719" s="1717"/>
      <c r="AC719" s="1717"/>
      <c r="AD719" s="1717"/>
      <c r="AE719" s="1717"/>
      <c r="AF719" s="1717"/>
      <c r="AG719" s="1717"/>
      <c r="AH719" s="1717"/>
      <c r="AI719" s="1717"/>
      <c r="AJ719" s="1717"/>
      <c r="AK719" s="1717"/>
      <c r="AL719" s="1717"/>
      <c r="AM719" s="1717"/>
      <c r="AN719" s="1717"/>
      <c r="AO719" s="1717"/>
      <c r="AP719" s="950"/>
      <c r="AQ719" s="950"/>
      <c r="AR719" s="950"/>
      <c r="AS719" s="950"/>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920">
        <v>936</v>
      </c>
      <c r="BY719" s="920">
        <v>1001</v>
      </c>
      <c r="BZ719" s="920">
        <v>1250</v>
      </c>
      <c r="CA719" s="920">
        <v>1761</v>
      </c>
      <c r="CB719" s="920">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717"/>
      <c r="B720" s="1717"/>
      <c r="C720" s="1717"/>
      <c r="D720" s="1717"/>
      <c r="E720" s="1717"/>
      <c r="F720" s="1717"/>
      <c r="G720" s="1717"/>
      <c r="H720" s="1717"/>
      <c r="I720" s="1717"/>
      <c r="J720" s="1717"/>
      <c r="K720" s="1717"/>
      <c r="L720" s="1717"/>
      <c r="M720" s="1717"/>
      <c r="N720" s="1717"/>
      <c r="O720" s="1717"/>
      <c r="P720" s="1717"/>
      <c r="Q720" s="1717"/>
      <c r="R720" s="1717"/>
      <c r="S720" s="1717"/>
      <c r="T720" s="1717"/>
      <c r="U720" s="1717"/>
      <c r="V720" s="1717"/>
      <c r="W720" s="1717"/>
      <c r="X720" s="1717"/>
      <c r="Y720" s="1717"/>
      <c r="Z720" s="1717"/>
      <c r="AA720" s="1717"/>
      <c r="AB720" s="1717"/>
      <c r="AC720" s="1717"/>
      <c r="AD720" s="1717"/>
      <c r="AE720" s="1717"/>
      <c r="AF720" s="1717"/>
      <c r="AG720" s="1717"/>
      <c r="AH720" s="1717"/>
      <c r="AI720" s="1717"/>
      <c r="AJ720" s="1717"/>
      <c r="AK720" s="1717"/>
      <c r="AL720" s="1717"/>
      <c r="AM720" s="1717"/>
      <c r="AN720" s="1717"/>
      <c r="AO720" s="1717"/>
      <c r="AP720" s="950"/>
      <c r="AQ720" s="950"/>
      <c r="AR720" s="950"/>
      <c r="AS720" s="950"/>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920">
        <v>920</v>
      </c>
      <c r="BY720" s="920">
        <v>926</v>
      </c>
      <c r="BZ720" s="920">
        <v>1173</v>
      </c>
      <c r="CA720" s="920">
        <v>1666</v>
      </c>
      <c r="CB720" s="920">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717"/>
      <c r="B721" s="1717"/>
      <c r="C721" s="1717"/>
      <c r="D721" s="1717"/>
      <c r="E721" s="1717"/>
      <c r="F721" s="1717"/>
      <c r="G721" s="1717"/>
      <c r="H721" s="1717"/>
      <c r="I721" s="1717"/>
      <c r="J721" s="1717"/>
      <c r="K721" s="1717"/>
      <c r="L721" s="1717"/>
      <c r="M721" s="1717"/>
      <c r="N721" s="1717"/>
      <c r="O721" s="1717"/>
      <c r="P721" s="1717"/>
      <c r="Q721" s="1717"/>
      <c r="R721" s="1717"/>
      <c r="S721" s="1717"/>
      <c r="T721" s="1717"/>
      <c r="U721" s="1717"/>
      <c r="V721" s="1717"/>
      <c r="W721" s="1717"/>
      <c r="X721" s="1717"/>
      <c r="Y721" s="1717"/>
      <c r="Z721" s="1717"/>
      <c r="AA721" s="1717"/>
      <c r="AB721" s="1717"/>
      <c r="AC721" s="1717"/>
      <c r="AD721" s="1717"/>
      <c r="AE721" s="1717"/>
      <c r="AF721" s="1717"/>
      <c r="AG721" s="1717"/>
      <c r="AH721" s="1717"/>
      <c r="AI721" s="1717"/>
      <c r="AJ721" s="1717"/>
      <c r="AK721" s="1717"/>
      <c r="AL721" s="1717"/>
      <c r="AM721" s="1717"/>
      <c r="AN721" s="1717"/>
      <c r="AO721" s="1717"/>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920">
        <v>682</v>
      </c>
      <c r="BY721" s="920">
        <v>722</v>
      </c>
      <c r="BZ721" s="920">
        <v>950</v>
      </c>
      <c r="CA721" s="920">
        <v>1270</v>
      </c>
      <c r="CB721" s="920">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920">
        <v>592</v>
      </c>
      <c r="BY722" s="920">
        <v>670</v>
      </c>
      <c r="BZ722" s="920">
        <v>877</v>
      </c>
      <c r="CA722" s="920">
        <v>1246</v>
      </c>
      <c r="CB722" s="920">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920">
        <v>746</v>
      </c>
      <c r="BY723" s="920">
        <v>764</v>
      </c>
      <c r="BZ723" s="920">
        <v>1005</v>
      </c>
      <c r="CA723" s="920">
        <v>1405</v>
      </c>
      <c r="CB723" s="920">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1988" t="s">
        <v>403</v>
      </c>
      <c r="C724" s="1989"/>
      <c r="D724" s="1989"/>
      <c r="E724" s="1989"/>
      <c r="F724" s="1990"/>
      <c r="G724" s="1988" t="s">
        <v>290</v>
      </c>
      <c r="H724" s="1989"/>
      <c r="I724" s="1989"/>
      <c r="J724" s="1990"/>
      <c r="K724" s="2106" t="s">
        <v>1986</v>
      </c>
      <c r="L724" s="2107"/>
      <c r="M724" s="2107"/>
      <c r="N724" s="2108"/>
      <c r="O724" s="1988" t="s">
        <v>470</v>
      </c>
      <c r="P724" s="1989"/>
      <c r="Q724" s="1989"/>
      <c r="R724" s="1989"/>
      <c r="S724" s="1990"/>
      <c r="T724" s="2206" t="s">
        <v>2397</v>
      </c>
      <c r="U724" s="1989"/>
      <c r="V724" s="1989"/>
      <c r="W724" s="1990"/>
      <c r="X724" s="2206" t="s">
        <v>2399</v>
      </c>
      <c r="Y724" s="1989"/>
      <c r="Z724" s="1989"/>
      <c r="AA724" s="1989"/>
      <c r="AB724" s="1990"/>
      <c r="AC724" s="2206" t="s">
        <v>2398</v>
      </c>
      <c r="AD724" s="1989"/>
      <c r="AE724" s="1989"/>
      <c r="AF724" s="1989"/>
      <c r="AG724" s="1990"/>
      <c r="AH724" s="2206" t="s">
        <v>2400</v>
      </c>
      <c r="AI724" s="1989"/>
      <c r="AJ724" s="1990"/>
      <c r="AK724" s="2206" t="s">
        <v>2436</v>
      </c>
      <c r="AL724" s="1989"/>
      <c r="AM724" s="1989"/>
      <c r="AN724" s="1989"/>
      <c r="AO724" s="1990"/>
      <c r="AP724" s="239"/>
      <c r="AQ724" s="239"/>
      <c r="AR724" s="239"/>
      <c r="AS724" s="239"/>
      <c r="AY724" s="1105"/>
      <c r="AZ724" s="1105"/>
      <c r="BA724" s="1105"/>
      <c r="BB724" s="1105"/>
      <c r="BC724" s="1105"/>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920">
        <v>752</v>
      </c>
      <c r="BY724" s="920">
        <v>860</v>
      </c>
      <c r="BZ724" s="920">
        <v>1132</v>
      </c>
      <c r="CA724" s="920">
        <v>1556</v>
      </c>
      <c r="CB724" s="920">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1991"/>
      <c r="C725" s="1992"/>
      <c r="D725" s="1992"/>
      <c r="E725" s="1992"/>
      <c r="F725" s="1993"/>
      <c r="G725" s="1991"/>
      <c r="H725" s="1992"/>
      <c r="I725" s="1992"/>
      <c r="J725" s="1993"/>
      <c r="K725" s="2109"/>
      <c r="L725" s="2110"/>
      <c r="M725" s="2110"/>
      <c r="N725" s="2111"/>
      <c r="O725" s="1991"/>
      <c r="P725" s="1992"/>
      <c r="Q725" s="1992"/>
      <c r="R725" s="1992"/>
      <c r="S725" s="1993"/>
      <c r="T725" s="1991"/>
      <c r="U725" s="1992"/>
      <c r="V725" s="1992"/>
      <c r="W725" s="1993"/>
      <c r="X725" s="1991"/>
      <c r="Y725" s="1992"/>
      <c r="Z725" s="1992"/>
      <c r="AA725" s="1992"/>
      <c r="AB725" s="1993"/>
      <c r="AC725" s="1991"/>
      <c r="AD725" s="1992"/>
      <c r="AE725" s="1992"/>
      <c r="AF725" s="1992"/>
      <c r="AG725" s="1993"/>
      <c r="AH725" s="1991"/>
      <c r="AI725" s="1992"/>
      <c r="AJ725" s="1993"/>
      <c r="AK725" s="1991"/>
      <c r="AL725" s="1992"/>
      <c r="AM725" s="1992"/>
      <c r="AN725" s="1992"/>
      <c r="AO725" s="1993"/>
      <c r="AP725" s="239"/>
      <c r="AQ725" s="239"/>
      <c r="AR725" s="239"/>
      <c r="AS725" s="239"/>
      <c r="AY725" s="1105"/>
      <c r="AZ725" s="1105"/>
      <c r="BA725" s="1105"/>
      <c r="BB725" s="1105"/>
      <c r="BC725" s="1105"/>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920">
        <v>1507</v>
      </c>
      <c r="BY725" s="920">
        <v>1792</v>
      </c>
      <c r="BZ725" s="920">
        <v>2218</v>
      </c>
      <c r="CA725" s="920">
        <v>3101</v>
      </c>
      <c r="CB725" s="920">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1991"/>
      <c r="C726" s="1992"/>
      <c r="D726" s="1992"/>
      <c r="E726" s="1992"/>
      <c r="F726" s="1993"/>
      <c r="G726" s="1991"/>
      <c r="H726" s="1992"/>
      <c r="I726" s="1992"/>
      <c r="J726" s="1993"/>
      <c r="K726" s="2109"/>
      <c r="L726" s="2110"/>
      <c r="M726" s="2110"/>
      <c r="N726" s="2111"/>
      <c r="O726" s="1991"/>
      <c r="P726" s="1992"/>
      <c r="Q726" s="1992"/>
      <c r="R726" s="1992"/>
      <c r="S726" s="1993"/>
      <c r="T726" s="1991"/>
      <c r="U726" s="1992"/>
      <c r="V726" s="1992"/>
      <c r="W726" s="1993"/>
      <c r="X726" s="1991"/>
      <c r="Y726" s="1992"/>
      <c r="Z726" s="1992"/>
      <c r="AA726" s="1992"/>
      <c r="AB726" s="1993"/>
      <c r="AC726" s="1991"/>
      <c r="AD726" s="1992"/>
      <c r="AE726" s="1992"/>
      <c r="AF726" s="1992"/>
      <c r="AG726" s="1993"/>
      <c r="AH726" s="1991"/>
      <c r="AI726" s="1992"/>
      <c r="AJ726" s="1993"/>
      <c r="AK726" s="1991"/>
      <c r="AL726" s="1992"/>
      <c r="AM726" s="1992"/>
      <c r="AN726" s="1992"/>
      <c r="AO726" s="1993"/>
      <c r="AP726" s="239"/>
      <c r="AQ726" s="239"/>
      <c r="AR726" s="239"/>
      <c r="AS726" s="239"/>
      <c r="AY726" s="1105"/>
      <c r="AZ726" s="1105"/>
      <c r="BA726" s="1105"/>
      <c r="BB726" s="1105"/>
      <c r="BC726" s="1105"/>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920">
        <v>1212</v>
      </c>
      <c r="BY726" s="920">
        <v>1280</v>
      </c>
      <c r="BZ726" s="920">
        <v>1684</v>
      </c>
      <c r="CA726" s="920">
        <v>2353</v>
      </c>
      <c r="CB726" s="920">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1994"/>
      <c r="C727" s="1995"/>
      <c r="D727" s="1995"/>
      <c r="E727" s="1995"/>
      <c r="F727" s="1996"/>
      <c r="G727" s="1994"/>
      <c r="H727" s="1995"/>
      <c r="I727" s="1995"/>
      <c r="J727" s="1996"/>
      <c r="K727" s="2109"/>
      <c r="L727" s="2110"/>
      <c r="M727" s="2110"/>
      <c r="N727" s="2111"/>
      <c r="O727" s="1994"/>
      <c r="P727" s="1995"/>
      <c r="Q727" s="1995"/>
      <c r="R727" s="1995"/>
      <c r="S727" s="1996"/>
      <c r="T727" s="1994"/>
      <c r="U727" s="1995"/>
      <c r="V727" s="1995"/>
      <c r="W727" s="1996"/>
      <c r="X727" s="1994"/>
      <c r="Y727" s="1995"/>
      <c r="Z727" s="1995"/>
      <c r="AA727" s="1995"/>
      <c r="AB727" s="1996"/>
      <c r="AC727" s="1994"/>
      <c r="AD727" s="1995"/>
      <c r="AE727" s="1995"/>
      <c r="AF727" s="1995"/>
      <c r="AG727" s="1996"/>
      <c r="AH727" s="1994"/>
      <c r="AI727" s="1995"/>
      <c r="AJ727" s="1996"/>
      <c r="AK727" s="1994"/>
      <c r="AL727" s="1995"/>
      <c r="AM727" s="1995"/>
      <c r="AN727" s="1995"/>
      <c r="AO727" s="1996"/>
      <c r="AP727" s="239"/>
      <c r="AQ727" s="239"/>
      <c r="AR727" s="239"/>
      <c r="AS727" s="239"/>
      <c r="AY727" s="1105"/>
      <c r="AZ727" s="1105"/>
      <c r="BA727" s="1105"/>
      <c r="BB727" s="1105"/>
      <c r="BC727" s="1105"/>
      <c r="BD727" s="58"/>
      <c r="BE727" s="58"/>
      <c r="BF727" s="58"/>
      <c r="BG727" s="919">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920">
        <v>920</v>
      </c>
      <c r="BY727" s="920">
        <v>926</v>
      </c>
      <c r="BZ727" s="920">
        <v>1173</v>
      </c>
      <c r="CA727" s="920">
        <v>1666</v>
      </c>
      <c r="CB727" s="920">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164" t="s">
        <v>329</v>
      </c>
      <c r="C728" s="1894"/>
      <c r="D728" s="1894"/>
      <c r="E728" s="1894"/>
      <c r="F728" s="1895"/>
      <c r="G728" s="2130">
        <v>12</v>
      </c>
      <c r="H728" s="2131"/>
      <c r="I728" s="2131"/>
      <c r="J728" s="2132"/>
      <c r="K728" s="1925">
        <v>356</v>
      </c>
      <c r="L728" s="1926"/>
      <c r="M728" s="1926"/>
      <c r="N728" s="1927"/>
      <c r="O728" s="1916">
        <v>443</v>
      </c>
      <c r="P728" s="1917"/>
      <c r="Q728" s="1917"/>
      <c r="R728" s="1917"/>
      <c r="S728" s="1918"/>
      <c r="T728" s="1916">
        <v>42</v>
      </c>
      <c r="U728" s="1917"/>
      <c r="V728" s="1917"/>
      <c r="W728" s="1918"/>
      <c r="X728" s="2092">
        <f t="shared" ref="X728:X752" si="47">O728+T728</f>
        <v>485</v>
      </c>
      <c r="Y728" s="2093"/>
      <c r="Z728" s="2093"/>
      <c r="AA728" s="2093"/>
      <c r="AB728" s="2094"/>
      <c r="AC728" s="2121">
        <v>0.2</v>
      </c>
      <c r="AD728" s="2122"/>
      <c r="AE728" s="2122"/>
      <c r="AF728" s="2122"/>
      <c r="AG728" s="2123"/>
      <c r="AH728" s="2207">
        <f t="shared" ref="AH728:AH752" si="48">IF($AC728&gt;0,($X728/$BA670), " ")</f>
        <v>0.1486817903126916</v>
      </c>
      <c r="AI728" s="2208"/>
      <c r="AJ728" s="2209"/>
      <c r="AK728" s="1893" t="s">
        <v>1122</v>
      </c>
      <c r="AL728" s="1894"/>
      <c r="AM728" s="1894"/>
      <c r="AN728" s="1894"/>
      <c r="AO728" s="1895"/>
      <c r="AP728" s="239"/>
      <c r="AQ728" s="239"/>
      <c r="AR728" s="239"/>
      <c r="AS728" s="239"/>
      <c r="AY728" s="1201"/>
      <c r="AZ728" s="1201"/>
      <c r="BA728" s="1201"/>
      <c r="BB728" s="1201"/>
      <c r="BC728" s="1201"/>
      <c r="BD728" s="58"/>
      <c r="BE728" s="58"/>
      <c r="BF728" s="58"/>
      <c r="BG728" s="918">
        <f>SUM(BG703:BG727)</f>
        <v>110</v>
      </c>
      <c r="BH728" s="460">
        <f>SUM(BH703:BH727)</f>
        <v>1</v>
      </c>
      <c r="BI728" s="460">
        <f>SUM(BI703:BI727)</f>
        <v>0.40527438703404361</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64" t="s">
        <v>329</v>
      </c>
      <c r="C729" s="1894"/>
      <c r="D729" s="1894"/>
      <c r="E729" s="1894"/>
      <c r="F729" s="1895"/>
      <c r="G729" s="2130">
        <v>12</v>
      </c>
      <c r="H729" s="2131"/>
      <c r="I729" s="2131"/>
      <c r="J729" s="2132"/>
      <c r="K729" s="1925">
        <v>356</v>
      </c>
      <c r="L729" s="1926"/>
      <c r="M729" s="1926"/>
      <c r="N729" s="1927"/>
      <c r="O729" s="1916">
        <v>443</v>
      </c>
      <c r="P729" s="1917"/>
      <c r="Q729" s="1917"/>
      <c r="R729" s="1917"/>
      <c r="S729" s="1918"/>
      <c r="T729" s="1916">
        <v>42</v>
      </c>
      <c r="U729" s="1917"/>
      <c r="V729" s="1917"/>
      <c r="W729" s="1918"/>
      <c r="X729" s="2092">
        <f t="shared" si="47"/>
        <v>485</v>
      </c>
      <c r="Y729" s="2093"/>
      <c r="Z729" s="2093"/>
      <c r="AA729" s="2093"/>
      <c r="AB729" s="2094"/>
      <c r="AC729" s="2121">
        <v>0.2</v>
      </c>
      <c r="AD729" s="2122"/>
      <c r="AE729" s="2122"/>
      <c r="AF729" s="2122"/>
      <c r="AG729" s="2123"/>
      <c r="AH729" s="2207">
        <f t="shared" si="48"/>
        <v>0.1486817903126916</v>
      </c>
      <c r="AI729" s="2208"/>
      <c r="AJ729" s="2209"/>
      <c r="AK729" s="1893" t="s">
        <v>616</v>
      </c>
      <c r="AL729" s="1894"/>
      <c r="AM729" s="1894"/>
      <c r="AN729" s="1894"/>
      <c r="AO729" s="1895"/>
      <c r="AP729" s="239"/>
      <c r="AQ729" s="239"/>
      <c r="AR729" s="239"/>
      <c r="AS729" s="239"/>
      <c r="AY729" s="1201"/>
      <c r="AZ729" s="1201"/>
      <c r="BA729" s="1201"/>
      <c r="BB729" s="1201"/>
      <c r="BC729" s="1201"/>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1893" t="s">
        <v>329</v>
      </c>
      <c r="C730" s="1894"/>
      <c r="D730" s="1894"/>
      <c r="E730" s="1894"/>
      <c r="F730" s="1895"/>
      <c r="G730" s="2130">
        <v>2</v>
      </c>
      <c r="H730" s="2131"/>
      <c r="I730" s="2131"/>
      <c r="J730" s="2132"/>
      <c r="K730" s="1925">
        <v>356</v>
      </c>
      <c r="L730" s="1926"/>
      <c r="M730" s="1926"/>
      <c r="N730" s="1927"/>
      <c r="O730" s="1916">
        <v>686</v>
      </c>
      <c r="P730" s="1917"/>
      <c r="Q730" s="1917"/>
      <c r="R730" s="1917"/>
      <c r="S730" s="1918"/>
      <c r="T730" s="1916">
        <v>42</v>
      </c>
      <c r="U730" s="1917"/>
      <c r="V730" s="1917"/>
      <c r="W730" s="1918"/>
      <c r="X730" s="2092">
        <f t="shared" si="47"/>
        <v>728</v>
      </c>
      <c r="Y730" s="2093"/>
      <c r="Z730" s="2093"/>
      <c r="AA730" s="2093"/>
      <c r="AB730" s="2094"/>
      <c r="AC730" s="2121">
        <v>0.3</v>
      </c>
      <c r="AD730" s="2122"/>
      <c r="AE730" s="2122"/>
      <c r="AF730" s="2122"/>
      <c r="AG730" s="2123"/>
      <c r="AH730" s="2207">
        <f t="shared" si="48"/>
        <v>0.22317596566523606</v>
      </c>
      <c r="AI730" s="2208"/>
      <c r="AJ730" s="2209"/>
      <c r="AK730" s="1893" t="s">
        <v>616</v>
      </c>
      <c r="AL730" s="1894"/>
      <c r="AM730" s="1894"/>
      <c r="AN730" s="1894"/>
      <c r="AO730" s="1895"/>
      <c r="AP730" s="239"/>
      <c r="AQ730" s="239"/>
      <c r="AR730" s="239"/>
      <c r="AS730" s="239"/>
      <c r="AY730" s="1201"/>
      <c r="AZ730" s="1201"/>
      <c r="BA730" s="1201"/>
      <c r="BB730" s="1201"/>
      <c r="BC730" s="1201"/>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1893" t="s">
        <v>329</v>
      </c>
      <c r="C731" s="1894"/>
      <c r="D731" s="1894"/>
      <c r="E731" s="1894"/>
      <c r="F731" s="1895"/>
      <c r="G731" s="2130">
        <v>11</v>
      </c>
      <c r="H731" s="2131"/>
      <c r="I731" s="2131"/>
      <c r="J731" s="2132"/>
      <c r="K731" s="1925">
        <v>356</v>
      </c>
      <c r="L731" s="1926"/>
      <c r="M731" s="1926"/>
      <c r="N731" s="1927"/>
      <c r="O731" s="1916">
        <v>1413</v>
      </c>
      <c r="P731" s="1917"/>
      <c r="Q731" s="1917"/>
      <c r="R731" s="1917"/>
      <c r="S731" s="1918"/>
      <c r="T731" s="1916">
        <v>42</v>
      </c>
      <c r="U731" s="1917"/>
      <c r="V731" s="1917"/>
      <c r="W731" s="1918"/>
      <c r="X731" s="2092">
        <f t="shared" si="47"/>
        <v>1455</v>
      </c>
      <c r="Y731" s="2093"/>
      <c r="Z731" s="2093"/>
      <c r="AA731" s="2093"/>
      <c r="AB731" s="2094"/>
      <c r="AC731" s="2121">
        <v>0.5</v>
      </c>
      <c r="AD731" s="2122"/>
      <c r="AE731" s="2122"/>
      <c r="AF731" s="2122"/>
      <c r="AG731" s="2123"/>
      <c r="AH731" s="2207">
        <f t="shared" si="48"/>
        <v>0.44604537093807478</v>
      </c>
      <c r="AI731" s="2208"/>
      <c r="AJ731" s="2209"/>
      <c r="AK731" s="1893" t="s">
        <v>616</v>
      </c>
      <c r="AL731" s="1894"/>
      <c r="AM731" s="1894"/>
      <c r="AN731" s="1894"/>
      <c r="AO731" s="1895"/>
      <c r="AP731" s="239"/>
      <c r="AQ731" s="239"/>
      <c r="AR731" s="239"/>
      <c r="AS731" s="239"/>
      <c r="AY731" s="1201"/>
      <c r="AZ731" s="1201"/>
      <c r="BA731" s="1201"/>
      <c r="BB731" s="1201"/>
      <c r="BC731" s="1201"/>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1893" t="s">
        <v>329</v>
      </c>
      <c r="C732" s="1894"/>
      <c r="D732" s="1894"/>
      <c r="E732" s="1894"/>
      <c r="F732" s="1895"/>
      <c r="G732" s="2130">
        <v>10</v>
      </c>
      <c r="H732" s="2131"/>
      <c r="I732" s="2131"/>
      <c r="J732" s="2132"/>
      <c r="K732" s="1925">
        <v>356</v>
      </c>
      <c r="L732" s="1926"/>
      <c r="M732" s="1926"/>
      <c r="N732" s="1927"/>
      <c r="O732" s="1916">
        <v>1656</v>
      </c>
      <c r="P732" s="1917"/>
      <c r="Q732" s="1917"/>
      <c r="R732" s="1917"/>
      <c r="S732" s="1918"/>
      <c r="T732" s="1916">
        <v>42</v>
      </c>
      <c r="U732" s="1917"/>
      <c r="V732" s="1917"/>
      <c r="W732" s="1918"/>
      <c r="X732" s="2092">
        <f t="shared" si="47"/>
        <v>1698</v>
      </c>
      <c r="Y732" s="2093"/>
      <c r="Z732" s="2093"/>
      <c r="AA732" s="2093"/>
      <c r="AB732" s="2094"/>
      <c r="AC732" s="2121">
        <v>0.6</v>
      </c>
      <c r="AD732" s="2122"/>
      <c r="AE732" s="2122"/>
      <c r="AF732" s="2122"/>
      <c r="AG732" s="2123"/>
      <c r="AH732" s="2207">
        <f t="shared" si="48"/>
        <v>0.52053954629061927</v>
      </c>
      <c r="AI732" s="2208"/>
      <c r="AJ732" s="2209"/>
      <c r="AK732" s="1893" t="s">
        <v>616</v>
      </c>
      <c r="AL732" s="1894"/>
      <c r="AM732" s="1894"/>
      <c r="AN732" s="1894"/>
      <c r="AO732" s="1895"/>
      <c r="AP732" s="239"/>
      <c r="AQ732" s="239"/>
      <c r="AR732" s="239"/>
      <c r="AS732" s="239"/>
      <c r="AY732" s="1201"/>
      <c r="AZ732" s="1201"/>
      <c r="BA732" s="1201"/>
      <c r="BB732" s="1201"/>
      <c r="BC732" s="1201"/>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1893" t="s">
        <v>329</v>
      </c>
      <c r="C733" s="1894"/>
      <c r="D733" s="1894"/>
      <c r="E733" s="1894"/>
      <c r="F733" s="1895"/>
      <c r="G733" s="2130">
        <v>32</v>
      </c>
      <c r="H733" s="2131"/>
      <c r="I733" s="2131"/>
      <c r="J733" s="2132"/>
      <c r="K733" s="1925">
        <v>356</v>
      </c>
      <c r="L733" s="1926"/>
      <c r="M733" s="1926"/>
      <c r="N733" s="1927"/>
      <c r="O733" s="1916">
        <v>1668</v>
      </c>
      <c r="P733" s="1917"/>
      <c r="Q733" s="1917"/>
      <c r="R733" s="1917"/>
      <c r="S733" s="1918"/>
      <c r="T733" s="1916">
        <v>42</v>
      </c>
      <c r="U733" s="1917"/>
      <c r="V733" s="1917"/>
      <c r="W733" s="1918"/>
      <c r="X733" s="2092">
        <f t="shared" si="47"/>
        <v>1710</v>
      </c>
      <c r="Y733" s="2093"/>
      <c r="Z733" s="2093"/>
      <c r="AA733" s="2093"/>
      <c r="AB733" s="2094"/>
      <c r="AC733" s="2121">
        <v>0.6</v>
      </c>
      <c r="AD733" s="2122"/>
      <c r="AE733" s="2122"/>
      <c r="AF733" s="2122"/>
      <c r="AG733" s="2123"/>
      <c r="AH733" s="2207">
        <f t="shared" si="48"/>
        <v>0.52421827099938689</v>
      </c>
      <c r="AI733" s="2208"/>
      <c r="AJ733" s="2209"/>
      <c r="AK733" s="1893" t="s">
        <v>616</v>
      </c>
      <c r="AL733" s="1894"/>
      <c r="AM733" s="1894"/>
      <c r="AN733" s="1894"/>
      <c r="AO733" s="1895"/>
      <c r="AP733" s="239"/>
      <c r="AQ733" s="239"/>
      <c r="AR733" s="239"/>
      <c r="AS733" s="239"/>
      <c r="AY733" s="1201"/>
      <c r="AZ733" s="1201"/>
      <c r="BA733" s="1201"/>
      <c r="BB733" s="1201"/>
      <c r="BC733" s="1201"/>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1893" t="s">
        <v>168</v>
      </c>
      <c r="C734" s="1894"/>
      <c r="D734" s="1894"/>
      <c r="E734" s="1894"/>
      <c r="F734" s="1895"/>
      <c r="G734" s="2130">
        <v>2</v>
      </c>
      <c r="H734" s="2131"/>
      <c r="I734" s="2131"/>
      <c r="J734" s="2132"/>
      <c r="K734" s="1925">
        <v>726</v>
      </c>
      <c r="L734" s="1926"/>
      <c r="M734" s="1926"/>
      <c r="N734" s="1927"/>
      <c r="O734" s="1916">
        <v>873</v>
      </c>
      <c r="P734" s="1917"/>
      <c r="Q734" s="1917"/>
      <c r="R734" s="1917"/>
      <c r="S734" s="1918"/>
      <c r="T734" s="1916">
        <v>62</v>
      </c>
      <c r="U734" s="1917"/>
      <c r="V734" s="1917"/>
      <c r="W734" s="1918"/>
      <c r="X734" s="2092">
        <f t="shared" si="47"/>
        <v>935</v>
      </c>
      <c r="Y734" s="2093"/>
      <c r="Z734" s="2093"/>
      <c r="AA734" s="2093"/>
      <c r="AB734" s="2094"/>
      <c r="AC734" s="2121">
        <v>0.3</v>
      </c>
      <c r="AD734" s="2122"/>
      <c r="AE734" s="2122"/>
      <c r="AF734" s="2122"/>
      <c r="AG734" s="2123"/>
      <c r="AH734" s="2207">
        <f t="shared" si="48"/>
        <v>0.22293752980448259</v>
      </c>
      <c r="AI734" s="2208"/>
      <c r="AJ734" s="2209"/>
      <c r="AK734" s="1893" t="s">
        <v>1122</v>
      </c>
      <c r="AL734" s="1894"/>
      <c r="AM734" s="1894"/>
      <c r="AN734" s="1894"/>
      <c r="AO734" s="1895"/>
      <c r="AP734" s="239"/>
      <c r="AQ734" s="239"/>
      <c r="AR734" s="239"/>
      <c r="AS734" s="239"/>
      <c r="AY734" s="1201"/>
      <c r="AZ734" s="1201"/>
      <c r="BA734" s="1201"/>
      <c r="BB734" s="1201"/>
      <c r="BC734" s="1201"/>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1893" t="s">
        <v>168</v>
      </c>
      <c r="C735" s="1894"/>
      <c r="D735" s="1894"/>
      <c r="E735" s="1894"/>
      <c r="F735" s="1895"/>
      <c r="G735" s="2130">
        <v>2</v>
      </c>
      <c r="H735" s="2131"/>
      <c r="I735" s="2131"/>
      <c r="J735" s="2132"/>
      <c r="K735" s="1925">
        <v>726</v>
      </c>
      <c r="L735" s="1926"/>
      <c r="M735" s="1926"/>
      <c r="N735" s="1927"/>
      <c r="O735" s="1916">
        <v>873</v>
      </c>
      <c r="P735" s="1917"/>
      <c r="Q735" s="1917"/>
      <c r="R735" s="1917"/>
      <c r="S735" s="1918"/>
      <c r="T735" s="1916">
        <v>62</v>
      </c>
      <c r="U735" s="1917"/>
      <c r="V735" s="1917"/>
      <c r="W735" s="1918"/>
      <c r="X735" s="2092">
        <f t="shared" si="47"/>
        <v>935</v>
      </c>
      <c r="Y735" s="2093"/>
      <c r="Z735" s="2093"/>
      <c r="AA735" s="2093"/>
      <c r="AB735" s="2094"/>
      <c r="AC735" s="2121">
        <v>0.3</v>
      </c>
      <c r="AD735" s="2122"/>
      <c r="AE735" s="2122"/>
      <c r="AF735" s="2122"/>
      <c r="AG735" s="2123"/>
      <c r="AH735" s="2207">
        <f t="shared" si="48"/>
        <v>0.22293752980448259</v>
      </c>
      <c r="AI735" s="2208"/>
      <c r="AJ735" s="2209"/>
      <c r="AK735" s="1893" t="s">
        <v>616</v>
      </c>
      <c r="AL735" s="1894"/>
      <c r="AM735" s="1894"/>
      <c r="AN735" s="1894"/>
      <c r="AO735" s="1895"/>
      <c r="AP735" s="239"/>
      <c r="AQ735" s="239"/>
      <c r="AR735" s="239"/>
      <c r="AS735" s="239"/>
      <c r="AY735" s="1201"/>
      <c r="AZ735" s="1201"/>
      <c r="BA735" s="1201"/>
      <c r="BB735" s="1201"/>
      <c r="BC735" s="1201"/>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1893" t="s">
        <v>168</v>
      </c>
      <c r="C736" s="1894"/>
      <c r="D736" s="1894"/>
      <c r="E736" s="1894"/>
      <c r="F736" s="1895"/>
      <c r="G736" s="2130">
        <v>4</v>
      </c>
      <c r="H736" s="2131"/>
      <c r="I736" s="2131"/>
      <c r="J736" s="2132"/>
      <c r="K736" s="1925">
        <v>726</v>
      </c>
      <c r="L736" s="1926"/>
      <c r="M736" s="1926"/>
      <c r="N736" s="1927"/>
      <c r="O736" s="1916">
        <v>1497</v>
      </c>
      <c r="P736" s="1917"/>
      <c r="Q736" s="1917"/>
      <c r="R736" s="1917"/>
      <c r="S736" s="1918"/>
      <c r="T736" s="1916">
        <v>62</v>
      </c>
      <c r="U736" s="1917"/>
      <c r="V736" s="1917"/>
      <c r="W736" s="1918"/>
      <c r="X736" s="2092">
        <f t="shared" si="47"/>
        <v>1559</v>
      </c>
      <c r="Y736" s="2093"/>
      <c r="Z736" s="2093"/>
      <c r="AA736" s="2093"/>
      <c r="AB736" s="2094"/>
      <c r="AC736" s="2121">
        <v>0.5</v>
      </c>
      <c r="AD736" s="2122"/>
      <c r="AE736" s="2122"/>
      <c r="AF736" s="2122"/>
      <c r="AG736" s="2123"/>
      <c r="AH736" s="2207">
        <f t="shared" si="48"/>
        <v>0.37172150691463995</v>
      </c>
      <c r="AI736" s="2208"/>
      <c r="AJ736" s="2209"/>
      <c r="AK736" s="1893" t="s">
        <v>616</v>
      </c>
      <c r="AL736" s="1894"/>
      <c r="AM736" s="1894"/>
      <c r="AN736" s="1894"/>
      <c r="AO736" s="1895"/>
      <c r="AP736" s="239"/>
      <c r="AQ736" s="239"/>
      <c r="AR736" s="239"/>
      <c r="AS736" s="239"/>
      <c r="AY736" s="1201"/>
      <c r="AZ736" s="1201"/>
      <c r="BA736" s="1201"/>
      <c r="BB736" s="1201"/>
      <c r="BC736" s="1201"/>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1893" t="s">
        <v>168</v>
      </c>
      <c r="C737" s="1894"/>
      <c r="D737" s="1894"/>
      <c r="E737" s="1894"/>
      <c r="F737" s="1895"/>
      <c r="G737" s="2130">
        <v>9</v>
      </c>
      <c r="H737" s="2131"/>
      <c r="I737" s="2131"/>
      <c r="J737" s="2132"/>
      <c r="K737" s="1925">
        <v>726</v>
      </c>
      <c r="L737" s="1926"/>
      <c r="M737" s="1926"/>
      <c r="N737" s="1927"/>
      <c r="O737" s="1916">
        <v>1808</v>
      </c>
      <c r="P737" s="1917"/>
      <c r="Q737" s="1917"/>
      <c r="R737" s="1917"/>
      <c r="S737" s="1918"/>
      <c r="T737" s="1916">
        <v>62</v>
      </c>
      <c r="U737" s="1917"/>
      <c r="V737" s="1917"/>
      <c r="W737" s="1918"/>
      <c r="X737" s="2092">
        <f t="shared" si="47"/>
        <v>1870</v>
      </c>
      <c r="Y737" s="2093"/>
      <c r="Z737" s="2093"/>
      <c r="AA737" s="2093"/>
      <c r="AB737" s="2094"/>
      <c r="AC737" s="2121">
        <v>0.5</v>
      </c>
      <c r="AD737" s="2122"/>
      <c r="AE737" s="2122"/>
      <c r="AF737" s="2122"/>
      <c r="AG737" s="2123"/>
      <c r="AH737" s="2207">
        <f t="shared" si="48"/>
        <v>0.44587505960896517</v>
      </c>
      <c r="AI737" s="2208"/>
      <c r="AJ737" s="2209"/>
      <c r="AK737" s="1893" t="s">
        <v>616</v>
      </c>
      <c r="AL737" s="1894"/>
      <c r="AM737" s="1894"/>
      <c r="AN737" s="1894"/>
      <c r="AO737" s="1895"/>
      <c r="AP737" s="239"/>
      <c r="AQ737" s="239"/>
      <c r="AR737" s="239"/>
      <c r="AS737" s="239"/>
      <c r="AY737" s="1201"/>
      <c r="AZ737" s="1201"/>
      <c r="BA737" s="1201"/>
      <c r="BB737" s="1201"/>
      <c r="BC737" s="1201"/>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1893" t="s">
        <v>168</v>
      </c>
      <c r="C738" s="1894"/>
      <c r="D738" s="1894"/>
      <c r="E738" s="1894"/>
      <c r="F738" s="1895"/>
      <c r="G738" s="2130">
        <v>14</v>
      </c>
      <c r="H738" s="2131"/>
      <c r="I738" s="2131"/>
      <c r="J738" s="2132"/>
      <c r="K738" s="1925">
        <v>726</v>
      </c>
      <c r="L738" s="1926"/>
      <c r="M738" s="1926"/>
      <c r="N738" s="1927"/>
      <c r="O738" s="1916">
        <v>2121</v>
      </c>
      <c r="P738" s="1917"/>
      <c r="Q738" s="1917"/>
      <c r="R738" s="1917"/>
      <c r="S738" s="1918"/>
      <c r="T738" s="1916">
        <v>62</v>
      </c>
      <c r="U738" s="1917"/>
      <c r="V738" s="1917"/>
      <c r="W738" s="1918"/>
      <c r="X738" s="2092">
        <f t="shared" si="47"/>
        <v>2183</v>
      </c>
      <c r="Y738" s="2093"/>
      <c r="Z738" s="2093"/>
      <c r="AA738" s="2093"/>
      <c r="AB738" s="2094"/>
      <c r="AC738" s="2121">
        <v>0.6</v>
      </c>
      <c r="AD738" s="2122"/>
      <c r="AE738" s="2122"/>
      <c r="AF738" s="2122"/>
      <c r="AG738" s="2123"/>
      <c r="AH738" s="2207">
        <f t="shared" si="48"/>
        <v>0.52050548402479735</v>
      </c>
      <c r="AI738" s="2208"/>
      <c r="AJ738" s="2209"/>
      <c r="AK738" s="1893" t="s">
        <v>616</v>
      </c>
      <c r="AL738" s="1894"/>
      <c r="AM738" s="1894"/>
      <c r="AN738" s="1894"/>
      <c r="AO738" s="1895"/>
      <c r="AP738" s="239"/>
      <c r="AQ738" s="239"/>
      <c r="AR738" s="239"/>
      <c r="AS738" s="239"/>
      <c r="AY738" s="1201"/>
      <c r="AZ738" s="1201"/>
      <c r="BA738" s="1201"/>
      <c r="BB738" s="1201"/>
      <c r="BC738" s="1201"/>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1893"/>
      <c r="C739" s="1894"/>
      <c r="D739" s="1894"/>
      <c r="E739" s="1894"/>
      <c r="F739" s="1895"/>
      <c r="G739" s="2130"/>
      <c r="H739" s="2131"/>
      <c r="I739" s="2131"/>
      <c r="J739" s="2132"/>
      <c r="K739" s="1925"/>
      <c r="L739" s="1926"/>
      <c r="M739" s="1926"/>
      <c r="N739" s="1927"/>
      <c r="O739" s="1916"/>
      <c r="P739" s="1917"/>
      <c r="Q739" s="1917"/>
      <c r="R739" s="1917"/>
      <c r="S739" s="1918"/>
      <c r="T739" s="1916"/>
      <c r="U739" s="1917"/>
      <c r="V739" s="1917"/>
      <c r="W739" s="1918"/>
      <c r="X739" s="2092">
        <f t="shared" si="47"/>
        <v>0</v>
      </c>
      <c r="Y739" s="2093"/>
      <c r="Z739" s="2093"/>
      <c r="AA739" s="2093"/>
      <c r="AB739" s="2094"/>
      <c r="AC739" s="2121"/>
      <c r="AD739" s="2122"/>
      <c r="AE739" s="2122"/>
      <c r="AF739" s="2122"/>
      <c r="AG739" s="2123"/>
      <c r="AH739" s="2207" t="str">
        <f t="shared" si="48"/>
        <v xml:space="preserve"> </v>
      </c>
      <c r="AI739" s="2208"/>
      <c r="AJ739" s="2209"/>
      <c r="AK739" s="1893" t="s">
        <v>616</v>
      </c>
      <c r="AL739" s="1894"/>
      <c r="AM739" s="1894"/>
      <c r="AN739" s="1894"/>
      <c r="AO739" s="1895"/>
      <c r="AP739" s="239"/>
      <c r="AQ739" s="239"/>
      <c r="AR739" s="239"/>
      <c r="AS739" s="239"/>
      <c r="AY739" s="1201"/>
      <c r="AZ739" s="1201"/>
      <c r="BA739" s="1201"/>
      <c r="BB739" s="1201"/>
      <c r="BC739" s="1201"/>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1893"/>
      <c r="C740" s="1894"/>
      <c r="D740" s="1894"/>
      <c r="E740" s="1894"/>
      <c r="F740" s="1895"/>
      <c r="G740" s="2130"/>
      <c r="H740" s="2131"/>
      <c r="I740" s="2131"/>
      <c r="J740" s="2132"/>
      <c r="K740" s="1925"/>
      <c r="L740" s="1926"/>
      <c r="M740" s="1926"/>
      <c r="N740" s="1927"/>
      <c r="O740" s="1916"/>
      <c r="P740" s="1917"/>
      <c r="Q740" s="1917"/>
      <c r="R740" s="1917"/>
      <c r="S740" s="1918"/>
      <c r="T740" s="1916"/>
      <c r="U740" s="1917"/>
      <c r="V740" s="1917"/>
      <c r="W740" s="1918"/>
      <c r="X740" s="2092">
        <f t="shared" si="47"/>
        <v>0</v>
      </c>
      <c r="Y740" s="2093"/>
      <c r="Z740" s="2093"/>
      <c r="AA740" s="2093"/>
      <c r="AB740" s="2094"/>
      <c r="AC740" s="2121"/>
      <c r="AD740" s="2122"/>
      <c r="AE740" s="2122"/>
      <c r="AF740" s="2122"/>
      <c r="AG740" s="2123"/>
      <c r="AH740" s="2207" t="str">
        <f t="shared" si="48"/>
        <v xml:space="preserve"> </v>
      </c>
      <c r="AI740" s="2208"/>
      <c r="AJ740" s="2209"/>
      <c r="AK740" s="1893" t="s">
        <v>616</v>
      </c>
      <c r="AL740" s="1894"/>
      <c r="AM740" s="1894"/>
      <c r="AN740" s="1894"/>
      <c r="AO740" s="1895"/>
      <c r="AP740" s="239"/>
      <c r="AQ740" s="239"/>
      <c r="AR740" s="239"/>
      <c r="AS740" s="239"/>
      <c r="AY740" s="1201"/>
      <c r="AZ740" s="1201"/>
      <c r="BA740" s="1201"/>
      <c r="BB740" s="1201"/>
      <c r="BC740" s="1201"/>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1893"/>
      <c r="C741" s="1894"/>
      <c r="D741" s="1894"/>
      <c r="E741" s="1894"/>
      <c r="F741" s="1895"/>
      <c r="G741" s="2130"/>
      <c r="H741" s="2131"/>
      <c r="I741" s="2131"/>
      <c r="J741" s="2132"/>
      <c r="K741" s="1925"/>
      <c r="L741" s="1926"/>
      <c r="M741" s="1926"/>
      <c r="N741" s="1927"/>
      <c r="O741" s="1916"/>
      <c r="P741" s="1917"/>
      <c r="Q741" s="1917"/>
      <c r="R741" s="1917"/>
      <c r="S741" s="1918"/>
      <c r="T741" s="1916"/>
      <c r="U741" s="1917"/>
      <c r="V741" s="1917"/>
      <c r="W741" s="1918"/>
      <c r="X741" s="2092">
        <f t="shared" si="47"/>
        <v>0</v>
      </c>
      <c r="Y741" s="2093"/>
      <c r="Z741" s="2093"/>
      <c r="AA741" s="2093"/>
      <c r="AB741" s="2094"/>
      <c r="AC741" s="2121">
        <v>0</v>
      </c>
      <c r="AD741" s="2122"/>
      <c r="AE741" s="2122"/>
      <c r="AF741" s="2122"/>
      <c r="AG741" s="2123"/>
      <c r="AH741" s="2207" t="str">
        <f t="shared" si="48"/>
        <v xml:space="preserve"> </v>
      </c>
      <c r="AI741" s="2208"/>
      <c r="AJ741" s="2209"/>
      <c r="AK741" s="1893" t="s">
        <v>616</v>
      </c>
      <c r="AL741" s="1894"/>
      <c r="AM741" s="1894"/>
      <c r="AN741" s="1894"/>
      <c r="AO741" s="1895"/>
      <c r="AP741" s="239"/>
      <c r="AQ741" s="239"/>
      <c r="AR741" s="239"/>
      <c r="AS741" s="239"/>
      <c r="AY741" s="1201"/>
      <c r="AZ741" s="1201"/>
      <c r="BA741" s="1201"/>
      <c r="BB741" s="1201"/>
      <c r="BC741" s="1201"/>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1893"/>
      <c r="C742" s="1894"/>
      <c r="D742" s="1894"/>
      <c r="E742" s="1894"/>
      <c r="F742" s="1895"/>
      <c r="G742" s="2130"/>
      <c r="H742" s="2131"/>
      <c r="I742" s="2131"/>
      <c r="J742" s="2132"/>
      <c r="K742" s="1925"/>
      <c r="L742" s="1926"/>
      <c r="M742" s="1926"/>
      <c r="N742" s="1927"/>
      <c r="O742" s="1916"/>
      <c r="P742" s="1917"/>
      <c r="Q742" s="1917"/>
      <c r="R742" s="1917"/>
      <c r="S742" s="1918"/>
      <c r="T742" s="1916"/>
      <c r="U742" s="1917"/>
      <c r="V742" s="1917"/>
      <c r="W742" s="1918"/>
      <c r="X742" s="2092">
        <f t="shared" si="47"/>
        <v>0</v>
      </c>
      <c r="Y742" s="2093"/>
      <c r="Z742" s="2093"/>
      <c r="AA742" s="2093"/>
      <c r="AB742" s="2094"/>
      <c r="AC742" s="2121">
        <v>0</v>
      </c>
      <c r="AD742" s="2122"/>
      <c r="AE742" s="2122"/>
      <c r="AF742" s="2122"/>
      <c r="AG742" s="2123"/>
      <c r="AH742" s="2207" t="str">
        <f t="shared" si="48"/>
        <v xml:space="preserve"> </v>
      </c>
      <c r="AI742" s="2208"/>
      <c r="AJ742" s="2209"/>
      <c r="AK742" s="1893" t="s">
        <v>616</v>
      </c>
      <c r="AL742" s="1894"/>
      <c r="AM742" s="1894"/>
      <c r="AN742" s="1894"/>
      <c r="AO742" s="1895"/>
      <c r="AP742" s="239"/>
      <c r="AQ742" s="239"/>
      <c r="AR742" s="239"/>
      <c r="AS742" s="239"/>
      <c r="AY742" s="1201"/>
      <c r="AZ742" s="1201"/>
      <c r="BA742" s="1201"/>
      <c r="BB742" s="1201"/>
      <c r="BC742" s="1201"/>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1893"/>
      <c r="C743" s="1894"/>
      <c r="D743" s="1894"/>
      <c r="E743" s="1894"/>
      <c r="F743" s="1895"/>
      <c r="G743" s="2130"/>
      <c r="H743" s="2131"/>
      <c r="I743" s="2131"/>
      <c r="J743" s="2132"/>
      <c r="K743" s="1925"/>
      <c r="L743" s="1926"/>
      <c r="M743" s="1926"/>
      <c r="N743" s="1927"/>
      <c r="O743" s="1916"/>
      <c r="P743" s="1917"/>
      <c r="Q743" s="1917"/>
      <c r="R743" s="1917"/>
      <c r="S743" s="1918"/>
      <c r="T743" s="1916"/>
      <c r="U743" s="1917"/>
      <c r="V743" s="1917"/>
      <c r="W743" s="1918"/>
      <c r="X743" s="2092">
        <f t="shared" si="47"/>
        <v>0</v>
      </c>
      <c r="Y743" s="2093"/>
      <c r="Z743" s="2093"/>
      <c r="AA743" s="2093"/>
      <c r="AB743" s="2094"/>
      <c r="AC743" s="2121">
        <v>0</v>
      </c>
      <c r="AD743" s="2122"/>
      <c r="AE743" s="2122"/>
      <c r="AF743" s="2122"/>
      <c r="AG743" s="2123"/>
      <c r="AH743" s="2207" t="str">
        <f t="shared" si="48"/>
        <v xml:space="preserve"> </v>
      </c>
      <c r="AI743" s="2208"/>
      <c r="AJ743" s="2209"/>
      <c r="AK743" s="1893" t="s">
        <v>616</v>
      </c>
      <c r="AL743" s="1894"/>
      <c r="AM743" s="1894"/>
      <c r="AN743" s="1894"/>
      <c r="AO743" s="1895"/>
      <c r="AP743" s="239"/>
      <c r="AQ743" s="239"/>
      <c r="AR743" s="239"/>
      <c r="AS743" s="239"/>
      <c r="AY743" s="1201"/>
      <c r="AZ743" s="1201"/>
      <c r="BA743" s="1201"/>
      <c r="BB743" s="1201"/>
      <c r="BC743" s="1201"/>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1893"/>
      <c r="C744" s="1894"/>
      <c r="D744" s="1894"/>
      <c r="E744" s="1894"/>
      <c r="F744" s="1895"/>
      <c r="G744" s="2130"/>
      <c r="H744" s="2131"/>
      <c r="I744" s="2131"/>
      <c r="J744" s="2132"/>
      <c r="K744" s="1925"/>
      <c r="L744" s="1926"/>
      <c r="M744" s="1926"/>
      <c r="N744" s="1927"/>
      <c r="O744" s="1916"/>
      <c r="P744" s="1917"/>
      <c r="Q744" s="1917"/>
      <c r="R744" s="1917"/>
      <c r="S744" s="1918"/>
      <c r="T744" s="1916"/>
      <c r="U744" s="1917"/>
      <c r="V744" s="1917"/>
      <c r="W744" s="1918"/>
      <c r="X744" s="2092">
        <f t="shared" si="47"/>
        <v>0</v>
      </c>
      <c r="Y744" s="2093"/>
      <c r="Z744" s="2093"/>
      <c r="AA744" s="2093"/>
      <c r="AB744" s="2094"/>
      <c r="AC744" s="2121">
        <v>0</v>
      </c>
      <c r="AD744" s="2122"/>
      <c r="AE744" s="2122"/>
      <c r="AF744" s="2122"/>
      <c r="AG744" s="2123"/>
      <c r="AH744" s="2207" t="str">
        <f t="shared" si="48"/>
        <v xml:space="preserve"> </v>
      </c>
      <c r="AI744" s="2208"/>
      <c r="AJ744" s="2209"/>
      <c r="AK744" s="1893" t="s">
        <v>616</v>
      </c>
      <c r="AL744" s="1894"/>
      <c r="AM744" s="1894"/>
      <c r="AN744" s="1894"/>
      <c r="AO744" s="1895"/>
      <c r="AP744" s="239"/>
      <c r="AQ744" s="239"/>
      <c r="AR744" s="239"/>
      <c r="AS744" s="239"/>
      <c r="AY744" s="1201"/>
      <c r="AZ744" s="1201"/>
      <c r="BA744" s="1201"/>
      <c r="BB744" s="1201"/>
      <c r="BC744" s="1201"/>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1893"/>
      <c r="C745" s="1894"/>
      <c r="D745" s="1894"/>
      <c r="E745" s="1894"/>
      <c r="F745" s="1895"/>
      <c r="G745" s="2130"/>
      <c r="H745" s="2131"/>
      <c r="I745" s="2131"/>
      <c r="J745" s="2132"/>
      <c r="K745" s="1925"/>
      <c r="L745" s="1926"/>
      <c r="M745" s="1926"/>
      <c r="N745" s="1927"/>
      <c r="O745" s="1916"/>
      <c r="P745" s="1917"/>
      <c r="Q745" s="1917"/>
      <c r="R745" s="1917"/>
      <c r="S745" s="1918"/>
      <c r="T745" s="1916"/>
      <c r="U745" s="1917"/>
      <c r="V745" s="1917"/>
      <c r="W745" s="1918"/>
      <c r="X745" s="2092">
        <f t="shared" si="47"/>
        <v>0</v>
      </c>
      <c r="Y745" s="2093"/>
      <c r="Z745" s="2093"/>
      <c r="AA745" s="2093"/>
      <c r="AB745" s="2094"/>
      <c r="AC745" s="2121">
        <v>0</v>
      </c>
      <c r="AD745" s="2122"/>
      <c r="AE745" s="2122"/>
      <c r="AF745" s="2122"/>
      <c r="AG745" s="2123"/>
      <c r="AH745" s="2207" t="str">
        <f t="shared" si="48"/>
        <v xml:space="preserve"> </v>
      </c>
      <c r="AI745" s="2208"/>
      <c r="AJ745" s="2209"/>
      <c r="AK745" s="1893" t="s">
        <v>616</v>
      </c>
      <c r="AL745" s="1894"/>
      <c r="AM745" s="1894"/>
      <c r="AN745" s="1894"/>
      <c r="AO745" s="1895"/>
      <c r="AP745" s="239"/>
      <c r="AQ745" s="239"/>
      <c r="AR745" s="239"/>
      <c r="AS745" s="239"/>
      <c r="AY745" s="1201"/>
      <c r="AZ745" s="1201"/>
      <c r="BA745" s="1201"/>
      <c r="BB745" s="1201"/>
      <c r="BC745" s="1201"/>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1893"/>
      <c r="C746" s="1894"/>
      <c r="D746" s="1894"/>
      <c r="E746" s="1894"/>
      <c r="F746" s="1895"/>
      <c r="G746" s="2130"/>
      <c r="H746" s="2131"/>
      <c r="I746" s="2131"/>
      <c r="J746" s="2132"/>
      <c r="K746" s="1925"/>
      <c r="L746" s="1926"/>
      <c r="M746" s="1926"/>
      <c r="N746" s="1927"/>
      <c r="O746" s="1916"/>
      <c r="P746" s="1917"/>
      <c r="Q746" s="1917"/>
      <c r="R746" s="1917"/>
      <c r="S746" s="1918"/>
      <c r="T746" s="1916"/>
      <c r="U746" s="1917"/>
      <c r="V746" s="1917"/>
      <c r="W746" s="1918"/>
      <c r="X746" s="2092">
        <f t="shared" si="47"/>
        <v>0</v>
      </c>
      <c r="Y746" s="2093"/>
      <c r="Z746" s="2093"/>
      <c r="AA746" s="2093"/>
      <c r="AB746" s="2094"/>
      <c r="AC746" s="2121">
        <v>0</v>
      </c>
      <c r="AD746" s="2122"/>
      <c r="AE746" s="2122"/>
      <c r="AF746" s="2122"/>
      <c r="AG746" s="2123"/>
      <c r="AH746" s="2207" t="str">
        <f t="shared" si="48"/>
        <v xml:space="preserve"> </v>
      </c>
      <c r="AI746" s="2208"/>
      <c r="AJ746" s="2209"/>
      <c r="AK746" s="1893" t="s">
        <v>616</v>
      </c>
      <c r="AL746" s="1894"/>
      <c r="AM746" s="1894"/>
      <c r="AN746" s="1894"/>
      <c r="AO746" s="1895"/>
      <c r="AP746" s="239"/>
      <c r="AQ746" s="239"/>
      <c r="AR746" s="239"/>
      <c r="AS746" s="239"/>
      <c r="AY746" s="1201"/>
      <c r="AZ746" s="1201"/>
      <c r="BA746" s="1201"/>
      <c r="BB746" s="1201"/>
      <c r="BC746" s="1201"/>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1893"/>
      <c r="C747" s="1894"/>
      <c r="D747" s="1894"/>
      <c r="E747" s="1894"/>
      <c r="F747" s="1895"/>
      <c r="G747" s="2130"/>
      <c r="H747" s="2131"/>
      <c r="I747" s="2131"/>
      <c r="J747" s="2132"/>
      <c r="K747" s="1925"/>
      <c r="L747" s="1926"/>
      <c r="M747" s="1926"/>
      <c r="N747" s="1927"/>
      <c r="O747" s="1916"/>
      <c r="P747" s="1917"/>
      <c r="Q747" s="1917"/>
      <c r="R747" s="1917"/>
      <c r="S747" s="1918"/>
      <c r="T747" s="1916"/>
      <c r="U747" s="1917"/>
      <c r="V747" s="1917"/>
      <c r="W747" s="1918"/>
      <c r="X747" s="2092">
        <f t="shared" si="47"/>
        <v>0</v>
      </c>
      <c r="Y747" s="2093"/>
      <c r="Z747" s="2093"/>
      <c r="AA747" s="2093"/>
      <c r="AB747" s="2094"/>
      <c r="AC747" s="2121">
        <v>0</v>
      </c>
      <c r="AD747" s="2122"/>
      <c r="AE747" s="2122"/>
      <c r="AF747" s="2122"/>
      <c r="AG747" s="2123"/>
      <c r="AH747" s="2207" t="str">
        <f t="shared" si="48"/>
        <v xml:space="preserve"> </v>
      </c>
      <c r="AI747" s="2208"/>
      <c r="AJ747" s="2209"/>
      <c r="AK747" s="1893" t="s">
        <v>616</v>
      </c>
      <c r="AL747" s="1894"/>
      <c r="AM747" s="1894"/>
      <c r="AN747" s="1894"/>
      <c r="AO747" s="1895"/>
      <c r="AP747" s="239"/>
      <c r="AQ747" s="239"/>
      <c r="AR747" s="239"/>
      <c r="AS747" s="239"/>
      <c r="AY747" s="1201"/>
      <c r="AZ747" s="1201"/>
      <c r="BA747" s="1201"/>
      <c r="BB747" s="1201"/>
      <c r="BC747" s="1201"/>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1893"/>
      <c r="C748" s="1894"/>
      <c r="D748" s="1894"/>
      <c r="E748" s="1894"/>
      <c r="F748" s="1895"/>
      <c r="G748" s="2130"/>
      <c r="H748" s="2131"/>
      <c r="I748" s="2131"/>
      <c r="J748" s="2132"/>
      <c r="K748" s="1925"/>
      <c r="L748" s="1926"/>
      <c r="M748" s="1926"/>
      <c r="N748" s="1927"/>
      <c r="O748" s="1916"/>
      <c r="P748" s="1917"/>
      <c r="Q748" s="1917"/>
      <c r="R748" s="1917"/>
      <c r="S748" s="1918"/>
      <c r="T748" s="1916"/>
      <c r="U748" s="1917"/>
      <c r="V748" s="1917"/>
      <c r="W748" s="1918"/>
      <c r="X748" s="2092">
        <f t="shared" si="47"/>
        <v>0</v>
      </c>
      <c r="Y748" s="2093"/>
      <c r="Z748" s="2093"/>
      <c r="AA748" s="2093"/>
      <c r="AB748" s="2094"/>
      <c r="AC748" s="2121">
        <v>0</v>
      </c>
      <c r="AD748" s="2122"/>
      <c r="AE748" s="2122"/>
      <c r="AF748" s="2122"/>
      <c r="AG748" s="2123"/>
      <c r="AH748" s="2207" t="str">
        <f t="shared" si="48"/>
        <v xml:space="preserve"> </v>
      </c>
      <c r="AI748" s="2208"/>
      <c r="AJ748" s="2209"/>
      <c r="AK748" s="1893" t="s">
        <v>616</v>
      </c>
      <c r="AL748" s="1894"/>
      <c r="AM748" s="1894"/>
      <c r="AN748" s="1894"/>
      <c r="AO748" s="1895"/>
      <c r="AP748" s="239"/>
      <c r="AQ748" s="239"/>
      <c r="AR748" s="239"/>
      <c r="AS748" s="239"/>
      <c r="AY748" s="1201"/>
      <c r="AZ748" s="1201"/>
      <c r="BA748" s="1201"/>
      <c r="BB748" s="1201"/>
      <c r="BC748" s="1201"/>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1893"/>
      <c r="C749" s="1894"/>
      <c r="D749" s="1894"/>
      <c r="E749" s="1894"/>
      <c r="F749" s="1895"/>
      <c r="G749" s="2130"/>
      <c r="H749" s="2131"/>
      <c r="I749" s="2131"/>
      <c r="J749" s="2132"/>
      <c r="K749" s="1925"/>
      <c r="L749" s="1926"/>
      <c r="M749" s="1926"/>
      <c r="N749" s="1927"/>
      <c r="O749" s="1916"/>
      <c r="P749" s="1917"/>
      <c r="Q749" s="1917"/>
      <c r="R749" s="1917"/>
      <c r="S749" s="1918"/>
      <c r="T749" s="1916"/>
      <c r="U749" s="1917"/>
      <c r="V749" s="1917"/>
      <c r="W749" s="1918"/>
      <c r="X749" s="2092">
        <f t="shared" si="47"/>
        <v>0</v>
      </c>
      <c r="Y749" s="2093"/>
      <c r="Z749" s="2093"/>
      <c r="AA749" s="2093"/>
      <c r="AB749" s="2094"/>
      <c r="AC749" s="2121">
        <v>0</v>
      </c>
      <c r="AD749" s="2122"/>
      <c r="AE749" s="2122"/>
      <c r="AF749" s="2122"/>
      <c r="AG749" s="2123"/>
      <c r="AH749" s="2207" t="str">
        <f t="shared" si="48"/>
        <v xml:space="preserve"> </v>
      </c>
      <c r="AI749" s="2208"/>
      <c r="AJ749" s="2209"/>
      <c r="AK749" s="1893" t="s">
        <v>616</v>
      </c>
      <c r="AL749" s="1894"/>
      <c r="AM749" s="1894"/>
      <c r="AN749" s="1894"/>
      <c r="AO749" s="1895"/>
      <c r="AP749" s="239"/>
      <c r="AQ749" s="239"/>
      <c r="AR749" s="239"/>
      <c r="AS749" s="239"/>
      <c r="AY749" s="1201"/>
      <c r="AZ749" s="1201"/>
      <c r="BA749" s="1201"/>
      <c r="BB749" s="1201"/>
      <c r="BC749" s="1201"/>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893"/>
      <c r="C750" s="1894"/>
      <c r="D750" s="1894"/>
      <c r="E750" s="1894"/>
      <c r="F750" s="1895"/>
      <c r="G750" s="2130"/>
      <c r="H750" s="2131"/>
      <c r="I750" s="2131"/>
      <c r="J750" s="2132"/>
      <c r="K750" s="1925"/>
      <c r="L750" s="1926"/>
      <c r="M750" s="1926"/>
      <c r="N750" s="1927"/>
      <c r="O750" s="1916"/>
      <c r="P750" s="1917"/>
      <c r="Q750" s="1917"/>
      <c r="R750" s="1917"/>
      <c r="S750" s="1918"/>
      <c r="T750" s="1916"/>
      <c r="U750" s="1917"/>
      <c r="V750" s="1917"/>
      <c r="W750" s="1918"/>
      <c r="X750" s="2092">
        <f t="shared" si="47"/>
        <v>0</v>
      </c>
      <c r="Y750" s="2093"/>
      <c r="Z750" s="2093"/>
      <c r="AA750" s="2093"/>
      <c r="AB750" s="2094"/>
      <c r="AC750" s="2121">
        <v>0</v>
      </c>
      <c r="AD750" s="2122"/>
      <c r="AE750" s="2122"/>
      <c r="AF750" s="2122"/>
      <c r="AG750" s="2123"/>
      <c r="AH750" s="2207" t="str">
        <f t="shared" si="48"/>
        <v xml:space="preserve"> </v>
      </c>
      <c r="AI750" s="2208"/>
      <c r="AJ750" s="2209"/>
      <c r="AK750" s="1893" t="s">
        <v>616</v>
      </c>
      <c r="AL750" s="1894"/>
      <c r="AM750" s="1894"/>
      <c r="AN750" s="1894"/>
      <c r="AO750" s="1895"/>
      <c r="AP750" s="239"/>
      <c r="AQ750" s="239"/>
      <c r="AR750" s="239"/>
      <c r="AS750" s="239"/>
      <c r="AY750" s="1201"/>
      <c r="AZ750" s="1201"/>
      <c r="BA750" s="1201"/>
      <c r="BB750" s="1201"/>
      <c r="BC750" s="1201"/>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1893"/>
      <c r="C751" s="1894"/>
      <c r="D751" s="1894"/>
      <c r="E751" s="1894"/>
      <c r="F751" s="1895"/>
      <c r="G751" s="2130"/>
      <c r="H751" s="2131"/>
      <c r="I751" s="2131"/>
      <c r="J751" s="2132"/>
      <c r="K751" s="1925"/>
      <c r="L751" s="1926"/>
      <c r="M751" s="1926"/>
      <c r="N751" s="1927"/>
      <c r="O751" s="1916"/>
      <c r="P751" s="1917"/>
      <c r="Q751" s="1917"/>
      <c r="R751" s="1917"/>
      <c r="S751" s="1918"/>
      <c r="T751" s="1916"/>
      <c r="U751" s="1917"/>
      <c r="V751" s="1917"/>
      <c r="W751" s="1918"/>
      <c r="X751" s="2092">
        <f t="shared" si="47"/>
        <v>0</v>
      </c>
      <c r="Y751" s="2093"/>
      <c r="Z751" s="2093"/>
      <c r="AA751" s="2093"/>
      <c r="AB751" s="2094"/>
      <c r="AC751" s="2121">
        <v>0</v>
      </c>
      <c r="AD751" s="2122"/>
      <c r="AE751" s="2122"/>
      <c r="AF751" s="2122"/>
      <c r="AG751" s="2123"/>
      <c r="AH751" s="2207" t="str">
        <f t="shared" si="48"/>
        <v xml:space="preserve"> </v>
      </c>
      <c r="AI751" s="2208"/>
      <c r="AJ751" s="2209"/>
      <c r="AK751" s="1893" t="s">
        <v>616</v>
      </c>
      <c r="AL751" s="1894"/>
      <c r="AM751" s="1894"/>
      <c r="AN751" s="1894"/>
      <c r="AO751" s="1895"/>
      <c r="AP751" s="239"/>
      <c r="AQ751" s="239"/>
      <c r="AR751" s="239"/>
      <c r="AS751" s="239"/>
      <c r="AY751" s="1201"/>
      <c r="AZ751" s="1201"/>
      <c r="BA751" s="1201"/>
      <c r="BB751" s="1201"/>
      <c r="BC751" s="1201"/>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1893"/>
      <c r="C752" s="1894"/>
      <c r="D752" s="1894"/>
      <c r="E752" s="1894"/>
      <c r="F752" s="1895"/>
      <c r="G752" s="2130"/>
      <c r="H752" s="2131"/>
      <c r="I752" s="2131"/>
      <c r="J752" s="2132"/>
      <c r="K752" s="1925"/>
      <c r="L752" s="1926"/>
      <c r="M752" s="1926"/>
      <c r="N752" s="1927"/>
      <c r="O752" s="1916"/>
      <c r="P752" s="1917"/>
      <c r="Q752" s="1917"/>
      <c r="R752" s="1917"/>
      <c r="S752" s="1918"/>
      <c r="T752" s="1916"/>
      <c r="U752" s="1917"/>
      <c r="V752" s="1917"/>
      <c r="W752" s="1918"/>
      <c r="X752" s="2092">
        <f t="shared" si="47"/>
        <v>0</v>
      </c>
      <c r="Y752" s="2093"/>
      <c r="Z752" s="2093"/>
      <c r="AA752" s="2093"/>
      <c r="AB752" s="2094"/>
      <c r="AC752" s="2121">
        <v>0</v>
      </c>
      <c r="AD752" s="2122"/>
      <c r="AE752" s="2122"/>
      <c r="AF752" s="2122"/>
      <c r="AG752" s="2123"/>
      <c r="AH752" s="2207" t="str">
        <f t="shared" si="48"/>
        <v xml:space="preserve"> </v>
      </c>
      <c r="AI752" s="2208"/>
      <c r="AJ752" s="2209"/>
      <c r="AK752" s="1893" t="s">
        <v>616</v>
      </c>
      <c r="AL752" s="1894"/>
      <c r="AM752" s="1894"/>
      <c r="AN752" s="1894"/>
      <c r="AO752" s="1895"/>
      <c r="AP752" s="239"/>
      <c r="AQ752" s="239"/>
      <c r="AR752" s="239"/>
      <c r="AS752" s="239"/>
      <c r="AY752" s="1201"/>
      <c r="AZ752" s="1201"/>
      <c r="BA752" s="1201"/>
      <c r="BB752" s="1201"/>
      <c r="BC752" s="1201"/>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1979" t="s">
        <v>130</v>
      </c>
      <c r="C753" s="1980"/>
      <c r="D753" s="1980"/>
      <c r="E753" s="1980"/>
      <c r="F753" s="1981"/>
      <c r="G753" s="2127">
        <f>SUM(G728:J752)</f>
        <v>110</v>
      </c>
      <c r="H753" s="2128"/>
      <c r="I753" s="2128"/>
      <c r="J753" s="2129"/>
      <c r="K753" s="963" t="s">
        <v>129</v>
      </c>
      <c r="L753" s="77"/>
      <c r="M753" s="77"/>
      <c r="N753" s="78"/>
      <c r="O753" s="2092">
        <f>SUMPRODUCT(G728:G752,O728:O752)</f>
        <v>152929</v>
      </c>
      <c r="P753" s="2093"/>
      <c r="Q753" s="2093"/>
      <c r="R753" s="2093"/>
      <c r="S753" s="2094"/>
      <c r="X753" s="965" t="s">
        <v>950</v>
      </c>
      <c r="Y753" s="964"/>
      <c r="Z753" s="964"/>
      <c r="AA753" s="964"/>
      <c r="AB753" s="966"/>
      <c r="AC753" s="2216">
        <f>BI696</f>
        <v>0.47454545454545444</v>
      </c>
      <c r="AD753" s="2217"/>
      <c r="AE753" s="2217"/>
      <c r="AF753" s="2217"/>
      <c r="AG753" s="2218"/>
      <c r="AH753" s="2216">
        <f>BI728</f>
        <v>0.40527438703404361</v>
      </c>
      <c r="AI753" s="2217"/>
      <c r="AJ753" s="2218"/>
      <c r="AP753" s="958"/>
      <c r="AQ753" s="958"/>
      <c r="AR753" s="958"/>
      <c r="AS753" s="958"/>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126" t="s">
        <v>2312</v>
      </c>
      <c r="C754" s="2126"/>
      <c r="D754" s="2126"/>
      <c r="E754" s="2126"/>
      <c r="F754" s="2126"/>
      <c r="G754" s="2126"/>
      <c r="H754" s="2126"/>
      <c r="I754" s="2126"/>
      <c r="J754" s="2126"/>
      <c r="K754" s="2126"/>
      <c r="L754" s="2126"/>
      <c r="M754" s="2126"/>
      <c r="N754" s="2126"/>
      <c r="O754" s="2126"/>
      <c r="P754" s="2126"/>
      <c r="Q754" s="2126"/>
      <c r="R754" s="2126"/>
      <c r="S754" s="2126"/>
      <c r="T754" s="2126"/>
      <c r="U754" s="2126"/>
      <c r="V754" s="2126"/>
      <c r="W754" s="2126"/>
      <c r="X754" s="2126"/>
      <c r="Y754" s="2126"/>
      <c r="Z754" s="2126"/>
      <c r="AA754" s="2126"/>
      <c r="AB754" s="2126"/>
      <c r="AC754" s="2126"/>
      <c r="AD754" s="2126"/>
      <c r="AE754" s="2126"/>
      <c r="AF754" s="2126"/>
      <c r="AG754" s="2126"/>
      <c r="AH754" s="2126"/>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126"/>
      <c r="C755" s="2126"/>
      <c r="D755" s="2126"/>
      <c r="E755" s="2126"/>
      <c r="F755" s="2126"/>
      <c r="G755" s="2126"/>
      <c r="H755" s="2126"/>
      <c r="I755" s="2126"/>
      <c r="J755" s="2126"/>
      <c r="K755" s="2126"/>
      <c r="L755" s="2126"/>
      <c r="M755" s="2126"/>
      <c r="N755" s="2126"/>
      <c r="O755" s="2126"/>
      <c r="P755" s="2126"/>
      <c r="Q755" s="2126"/>
      <c r="R755" s="2126"/>
      <c r="S755" s="2126"/>
      <c r="T755" s="2126"/>
      <c r="U755" s="2126"/>
      <c r="V755" s="2126"/>
      <c r="W755" s="2126"/>
      <c r="X755" s="2126"/>
      <c r="Y755" s="2126"/>
      <c r="Z755" s="2126"/>
      <c r="AA755" s="2126"/>
      <c r="AB755" s="2126"/>
      <c r="AC755" s="2126"/>
      <c r="AD755" s="2126"/>
      <c r="AE755" s="2126"/>
      <c r="AF755" s="2126"/>
      <c r="AG755" s="2126"/>
      <c r="AH755" s="2126"/>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2310</v>
      </c>
      <c r="D756" s="1135"/>
      <c r="E756" s="1135"/>
      <c r="F756" s="1135"/>
      <c r="G756" s="1136"/>
      <c r="H756" s="1136"/>
      <c r="I756" s="1136"/>
      <c r="J756" s="1136"/>
      <c r="K756" s="1135"/>
      <c r="L756" s="1135"/>
      <c r="M756" s="1135"/>
      <c r="N756" s="1135"/>
      <c r="O756" s="2019">
        <f>CS637</f>
        <v>141</v>
      </c>
      <c r="P756" s="2019"/>
      <c r="Q756" s="2019"/>
      <c r="R756" s="2019"/>
      <c r="S756" s="1137"/>
      <c r="T756" s="1137"/>
      <c r="U756" s="179" t="s">
        <v>2311</v>
      </c>
      <c r="V756" s="1135"/>
      <c r="W756" s="1135"/>
      <c r="X756" s="1135"/>
      <c r="Y756" s="1136"/>
      <c r="Z756" s="1136"/>
      <c r="AA756" s="1136"/>
      <c r="AB756" s="1136"/>
      <c r="AC756" s="1135"/>
      <c r="AD756" s="1135"/>
      <c r="AE756" s="1135"/>
      <c r="AF756" s="1135"/>
      <c r="AG756" s="2219">
        <v>16</v>
      </c>
      <c r="AH756" s="2219"/>
      <c r="AI756" s="2219"/>
      <c r="AJ756" s="2219"/>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959"/>
      <c r="AQ757" s="959"/>
      <c r="AR757" s="959"/>
      <c r="AS757" s="959"/>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2309</v>
      </c>
      <c r="D758" s="1139"/>
      <c r="E758" s="1139"/>
      <c r="F758" s="1139"/>
      <c r="G758" s="1139"/>
      <c r="H758" s="1139"/>
      <c r="I758" s="1139"/>
      <c r="J758" s="1139"/>
      <c r="K758" s="1139"/>
      <c r="L758" s="1139"/>
      <c r="M758" s="1139"/>
      <c r="N758" s="1139"/>
      <c r="O758" s="1139"/>
      <c r="P758" s="1139"/>
      <c r="Q758" s="1139"/>
      <c r="R758" s="1139"/>
      <c r="S758" s="1139"/>
      <c r="T758" s="1139"/>
      <c r="U758" s="1139"/>
      <c r="V758" s="1139"/>
      <c r="W758" s="1139"/>
      <c r="X758" s="1139"/>
      <c r="Y758" s="1139"/>
      <c r="Z758" s="1139"/>
      <c r="AA758" s="1139"/>
      <c r="AB758" s="1139"/>
      <c r="AC758" s="1139"/>
      <c r="AD758" s="2290" t="s">
        <v>616</v>
      </c>
      <c r="AE758" s="2290"/>
      <c r="AF758" s="2290"/>
      <c r="AG758" s="1139"/>
      <c r="AH758" s="1139"/>
      <c r="AI758" s="1139"/>
      <c r="AJ758" s="1139"/>
      <c r="AK758" s="1139"/>
      <c r="AL758" s="1139"/>
      <c r="AM758" s="1139"/>
      <c r="AN758" s="1139"/>
      <c r="AO758" s="1139"/>
      <c r="AP758" s="1139"/>
      <c r="AQ758" s="1139"/>
      <c r="AR758" s="113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140" t="s">
        <v>2687</v>
      </c>
      <c r="D759" s="1139"/>
      <c r="E759" s="1139"/>
      <c r="F759" s="1139"/>
      <c r="G759" s="1139"/>
      <c r="H759" s="1139"/>
      <c r="I759" s="1139"/>
      <c r="J759" s="1139"/>
      <c r="K759" s="1139"/>
      <c r="L759" s="1139"/>
      <c r="M759" s="1139"/>
      <c r="N759" s="1139"/>
      <c r="O759" s="1139"/>
      <c r="P759" s="1139"/>
      <c r="Q759" s="1139"/>
      <c r="R759" s="1139"/>
      <c r="S759" s="1139"/>
      <c r="T759" s="1139"/>
      <c r="U759" s="1139"/>
      <c r="V759" s="1139"/>
      <c r="W759" s="1139"/>
      <c r="X759" s="1139"/>
      <c r="Y759" s="1139"/>
      <c r="Z759" s="1139"/>
      <c r="AA759" s="1139"/>
      <c r="AB759" s="1139"/>
      <c r="AC759" s="1139"/>
      <c r="AD759" s="1139"/>
      <c r="AE759" s="1139"/>
      <c r="AF759" s="1139"/>
      <c r="AG759" s="1139"/>
      <c r="AH759" s="1139"/>
      <c r="AI759" s="1139"/>
      <c r="AJ759" s="1139"/>
      <c r="AK759" s="1139"/>
      <c r="AL759" s="1139"/>
      <c r="AM759" s="1139"/>
      <c r="AN759" s="1139"/>
      <c r="AO759" s="1139"/>
      <c r="AP759" s="1139"/>
      <c r="AQ759" s="1139"/>
      <c r="AR759" s="1139"/>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601</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138"/>
      <c r="C761" s="254" t="s">
        <v>181</v>
      </c>
      <c r="D761" s="1138"/>
      <c r="E761" s="1138"/>
      <c r="F761" s="1138"/>
      <c r="G761" s="957"/>
      <c r="H761" s="957"/>
      <c r="I761" s="957"/>
      <c r="J761" s="957"/>
      <c r="K761" s="957"/>
      <c r="L761" s="1138"/>
      <c r="M761" s="1138"/>
      <c r="N761" s="1138"/>
      <c r="O761" s="1138"/>
      <c r="P761" s="1138"/>
      <c r="Q761" s="957"/>
      <c r="R761" s="957"/>
      <c r="S761" s="957"/>
      <c r="T761" s="957"/>
      <c r="U761" s="957"/>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65" customHeight="1">
      <c r="B762" s="1138"/>
      <c r="C762" s="2125" t="s">
        <v>2688</v>
      </c>
      <c r="D762" s="2125"/>
      <c r="E762" s="2125"/>
      <c r="F762" s="2125"/>
      <c r="G762" s="2125"/>
      <c r="H762" s="2125"/>
      <c r="I762" s="2125"/>
      <c r="J762" s="2125"/>
      <c r="K762" s="2125"/>
      <c r="L762" s="2125"/>
      <c r="M762" s="2125"/>
      <c r="N762" s="2125"/>
      <c r="O762" s="2125"/>
      <c r="P762" s="2125"/>
      <c r="Q762" s="2125"/>
      <c r="R762" s="2125"/>
      <c r="S762" s="2125"/>
      <c r="T762" s="2125"/>
      <c r="U762" s="2125"/>
      <c r="V762" s="2125"/>
      <c r="W762" s="2125"/>
      <c r="X762" s="2125"/>
      <c r="Y762" s="2125"/>
      <c r="Z762" s="2125"/>
      <c r="AA762" s="2125"/>
      <c r="AB762" s="2125"/>
      <c r="AC762" s="2125"/>
      <c r="AD762" s="2125"/>
      <c r="AE762" s="2125"/>
      <c r="AF762" s="2125"/>
      <c r="AG762" s="2125"/>
      <c r="AH762" s="2125"/>
      <c r="AI762" s="2125"/>
      <c r="AJ762" s="2125"/>
      <c r="AK762" s="2125"/>
      <c r="AL762" s="2125"/>
      <c r="AM762" s="2125"/>
      <c r="AN762" s="2125"/>
      <c r="AO762" s="2125"/>
      <c r="AP762" s="2125"/>
      <c r="AQ762" s="2125"/>
      <c r="AR762" s="2125"/>
      <c r="AS762" s="239"/>
      <c r="AT762" s="88"/>
      <c r="AU762" s="88"/>
      <c r="AV762" s="88"/>
      <c r="AW762" s="88"/>
      <c r="AX762" s="88"/>
      <c r="AY762" s="88"/>
      <c r="CR762" s="177"/>
    </row>
    <row r="763" spans="1:16383" s="58" customFormat="1" ht="12.75" customHeight="1">
      <c r="A763" s="239"/>
      <c r="B763" s="1138"/>
      <c r="C763" s="2125"/>
      <c r="D763" s="2125"/>
      <c r="E763" s="2125"/>
      <c r="F763" s="2125"/>
      <c r="G763" s="2125"/>
      <c r="H763" s="2125"/>
      <c r="I763" s="2125"/>
      <c r="J763" s="2125"/>
      <c r="K763" s="2125"/>
      <c r="L763" s="2125"/>
      <c r="M763" s="2125"/>
      <c r="N763" s="2125"/>
      <c r="O763" s="2125"/>
      <c r="P763" s="2125"/>
      <c r="Q763" s="2125"/>
      <c r="R763" s="2125"/>
      <c r="S763" s="2125"/>
      <c r="T763" s="2125"/>
      <c r="U763" s="2125"/>
      <c r="V763" s="2125"/>
      <c r="W763" s="2125"/>
      <c r="X763" s="2125"/>
      <c r="Y763" s="2125"/>
      <c r="Z763" s="2125"/>
      <c r="AA763" s="2125"/>
      <c r="AB763" s="2125"/>
      <c r="AC763" s="2125"/>
      <c r="AD763" s="2125"/>
      <c r="AE763" s="2125"/>
      <c r="AF763" s="2125"/>
      <c r="AG763" s="2125"/>
      <c r="AH763" s="2125"/>
      <c r="AI763" s="2125"/>
      <c r="AJ763" s="2125"/>
      <c r="AK763" s="2125"/>
      <c r="AL763" s="2125"/>
      <c r="AM763" s="2125"/>
      <c r="AN763" s="2125"/>
      <c r="AO763" s="2125"/>
      <c r="AP763" s="2125"/>
      <c r="AQ763" s="2125"/>
      <c r="AR763" s="2125"/>
      <c r="AS763" s="239"/>
      <c r="AT763" s="88"/>
      <c r="AU763" s="88"/>
      <c r="AV763" s="88"/>
      <c r="AW763" s="88"/>
      <c r="AX763" s="88"/>
      <c r="AY763" s="88"/>
      <c r="CR763" s="177"/>
    </row>
    <row r="764" spans="1:16383" s="58" customFormat="1" ht="12.75" customHeight="1">
      <c r="B764" s="1138"/>
      <c r="C764" s="2125"/>
      <c r="D764" s="2125"/>
      <c r="E764" s="2125"/>
      <c r="F764" s="2125"/>
      <c r="G764" s="2125"/>
      <c r="H764" s="2125"/>
      <c r="I764" s="2125"/>
      <c r="J764" s="2125"/>
      <c r="K764" s="2125"/>
      <c r="L764" s="2125"/>
      <c r="M764" s="2125"/>
      <c r="N764" s="2125"/>
      <c r="O764" s="2125"/>
      <c r="P764" s="2125"/>
      <c r="Q764" s="2125"/>
      <c r="R764" s="2125"/>
      <c r="S764" s="2125"/>
      <c r="T764" s="2125"/>
      <c r="U764" s="2125"/>
      <c r="V764" s="2125"/>
      <c r="W764" s="2125"/>
      <c r="X764" s="2125"/>
      <c r="Y764" s="2125"/>
      <c r="Z764" s="2125"/>
      <c r="AA764" s="2125"/>
      <c r="AB764" s="2125"/>
      <c r="AC764" s="2125"/>
      <c r="AD764" s="2125"/>
      <c r="AE764" s="2125"/>
      <c r="AF764" s="2125"/>
      <c r="AG764" s="2125"/>
      <c r="AH764" s="2125"/>
      <c r="AI764" s="2125"/>
      <c r="AJ764" s="2125"/>
      <c r="AK764" s="2125"/>
      <c r="AL764" s="2125"/>
      <c r="AM764" s="2125"/>
      <c r="AN764" s="2125"/>
      <c r="AO764" s="2125"/>
      <c r="AP764" s="2125"/>
      <c r="AQ764" s="2125"/>
      <c r="AR764" s="2125"/>
      <c r="AS764" s="239"/>
      <c r="AT764" s="88"/>
      <c r="AU764" s="88"/>
      <c r="AV764" s="88"/>
      <c r="AW764" s="88"/>
      <c r="AX764" s="88"/>
      <c r="AY764" s="88"/>
      <c r="CR764" s="177"/>
    </row>
    <row r="765" spans="1:16383" s="58" customFormat="1" ht="12.75" customHeight="1">
      <c r="B765" s="1138"/>
      <c r="C765" s="2125" t="s">
        <v>2689</v>
      </c>
      <c r="D765" s="2125"/>
      <c r="E765" s="2125"/>
      <c r="F765" s="2125"/>
      <c r="G765" s="2125"/>
      <c r="H765" s="2125"/>
      <c r="I765" s="2125"/>
      <c r="J765" s="2125"/>
      <c r="K765" s="2125"/>
      <c r="L765" s="2125"/>
      <c r="M765" s="2125"/>
      <c r="N765" s="2125"/>
      <c r="O765" s="2125"/>
      <c r="P765" s="2125"/>
      <c r="Q765" s="2125"/>
      <c r="R765" s="2125"/>
      <c r="S765" s="2125"/>
      <c r="T765" s="2125"/>
      <c r="U765" s="2125"/>
      <c r="V765" s="2125"/>
      <c r="W765" s="2125"/>
      <c r="X765" s="2125"/>
      <c r="Y765" s="2125"/>
      <c r="Z765" s="2125"/>
      <c r="AA765" s="2125"/>
      <c r="AB765" s="2125"/>
      <c r="AC765" s="2125"/>
      <c r="AD765" s="2125"/>
      <c r="AE765" s="2125"/>
      <c r="AF765" s="2125"/>
      <c r="AG765" s="2125"/>
      <c r="AH765" s="2125"/>
      <c r="AI765" s="2125"/>
      <c r="AJ765" s="2125"/>
      <c r="AK765" s="2125"/>
      <c r="AL765" s="2125"/>
      <c r="AM765" s="2125"/>
      <c r="AN765" s="2125"/>
      <c r="AO765" s="2125"/>
      <c r="AP765" s="2125"/>
      <c r="AQ765" s="2125"/>
      <c r="AR765" s="2125"/>
      <c r="AS765" s="239"/>
      <c r="AT765" s="88"/>
      <c r="AU765" s="88"/>
      <c r="AV765" s="88"/>
      <c r="AW765" s="88"/>
      <c r="AX765" s="88"/>
      <c r="AY765" s="88"/>
      <c r="CR765" s="177"/>
    </row>
    <row r="766" spans="1:16383" s="58" customFormat="1" ht="12.75" customHeight="1">
      <c r="B766" s="1138"/>
      <c r="C766" s="2125"/>
      <c r="D766" s="2125"/>
      <c r="E766" s="2125"/>
      <c r="F766" s="2125"/>
      <c r="G766" s="2125"/>
      <c r="H766" s="2125"/>
      <c r="I766" s="2125"/>
      <c r="J766" s="2125"/>
      <c r="K766" s="2125"/>
      <c r="L766" s="2125"/>
      <c r="M766" s="2125"/>
      <c r="N766" s="2125"/>
      <c r="O766" s="2125"/>
      <c r="P766" s="2125"/>
      <c r="Q766" s="2125"/>
      <c r="R766" s="2125"/>
      <c r="S766" s="2125"/>
      <c r="T766" s="2125"/>
      <c r="U766" s="2125"/>
      <c r="V766" s="2125"/>
      <c r="W766" s="2125"/>
      <c r="X766" s="2125"/>
      <c r="Y766" s="2125"/>
      <c r="Z766" s="2125"/>
      <c r="AA766" s="2125"/>
      <c r="AB766" s="2125"/>
      <c r="AC766" s="2125"/>
      <c r="AD766" s="2125"/>
      <c r="AE766" s="2125"/>
      <c r="AF766" s="2125"/>
      <c r="AG766" s="2125"/>
      <c r="AH766" s="2125"/>
      <c r="AI766" s="2125"/>
      <c r="AJ766" s="2125"/>
      <c r="AK766" s="2125"/>
      <c r="AL766" s="2125"/>
      <c r="AM766" s="2125"/>
      <c r="AN766" s="2125"/>
      <c r="AO766" s="2125"/>
      <c r="AP766" s="2125"/>
      <c r="AQ766" s="2125"/>
      <c r="AR766" s="2125"/>
      <c r="AS766" s="239"/>
      <c r="AT766" s="88"/>
      <c r="AU766" s="88"/>
      <c r="AV766" s="88"/>
      <c r="AW766" s="88"/>
      <c r="AX766" s="88"/>
      <c r="AY766" s="88"/>
      <c r="CR766" s="177"/>
    </row>
    <row r="767" spans="1:16383" s="58" customFormat="1" ht="12.75" customHeight="1">
      <c r="B767" s="1138"/>
      <c r="C767" s="2125"/>
      <c r="D767" s="2125"/>
      <c r="E767" s="2125"/>
      <c r="F767" s="2125"/>
      <c r="G767" s="2125"/>
      <c r="H767" s="2125"/>
      <c r="I767" s="2125"/>
      <c r="J767" s="2125"/>
      <c r="K767" s="2125"/>
      <c r="L767" s="2125"/>
      <c r="M767" s="2125"/>
      <c r="N767" s="2125"/>
      <c r="O767" s="2125"/>
      <c r="P767" s="2125"/>
      <c r="Q767" s="2125"/>
      <c r="R767" s="2125"/>
      <c r="S767" s="2125"/>
      <c r="T767" s="2125"/>
      <c r="U767" s="2125"/>
      <c r="V767" s="2125"/>
      <c r="W767" s="2125"/>
      <c r="X767" s="2125"/>
      <c r="Y767" s="2125"/>
      <c r="Z767" s="2125"/>
      <c r="AA767" s="2125"/>
      <c r="AB767" s="2125"/>
      <c r="AC767" s="2125"/>
      <c r="AD767" s="2125"/>
      <c r="AE767" s="2125"/>
      <c r="AF767" s="2125"/>
      <c r="AG767" s="2125"/>
      <c r="AH767" s="2125"/>
      <c r="AI767" s="2125"/>
      <c r="AJ767" s="2125"/>
      <c r="AK767" s="2125"/>
      <c r="AL767" s="2125"/>
      <c r="AM767" s="2125"/>
      <c r="AN767" s="2125"/>
      <c r="AO767" s="2125"/>
      <c r="AP767" s="2125"/>
      <c r="AQ767" s="2125"/>
      <c r="AR767" s="2125"/>
      <c r="AS767" s="239"/>
      <c r="AT767" s="88"/>
      <c r="AU767" s="88"/>
      <c r="AV767" s="88"/>
      <c r="AW767" s="88"/>
      <c r="AX767" s="88"/>
      <c r="AY767" s="88"/>
      <c r="CR767" s="177"/>
    </row>
    <row r="768" spans="1:16383" ht="12.75" customHeight="1">
      <c r="J768" s="1988" t="s">
        <v>403</v>
      </c>
      <c r="K768" s="1989"/>
      <c r="L768" s="1989"/>
      <c r="M768" s="1989"/>
      <c r="N768" s="1990"/>
      <c r="O768" s="2215" t="s">
        <v>290</v>
      </c>
      <c r="P768" s="2215"/>
      <c r="Q768" s="2215"/>
      <c r="R768" s="2215"/>
      <c r="S768" s="2215"/>
      <c r="T768" s="2106" t="s">
        <v>1986</v>
      </c>
      <c r="U768" s="2107"/>
      <c r="V768" s="2107"/>
      <c r="W768" s="2108"/>
      <c r="X768" s="1988" t="s">
        <v>470</v>
      </c>
      <c r="Y768" s="1989"/>
      <c r="Z768" s="1989"/>
      <c r="AA768" s="1989"/>
      <c r="AB768" s="1990"/>
      <c r="AC768" s="1988" t="s">
        <v>291</v>
      </c>
      <c r="AD768" s="1989"/>
      <c r="AE768" s="1989"/>
      <c r="AF768" s="1989"/>
      <c r="AG768" s="1990"/>
      <c r="AH768" s="1068"/>
      <c r="AI768" s="1105"/>
      <c r="AJ768" s="1105"/>
      <c r="AK768" s="1105"/>
      <c r="AL768" s="1105"/>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1991"/>
      <c r="K769" s="1992"/>
      <c r="L769" s="1992"/>
      <c r="M769" s="1992"/>
      <c r="N769" s="1993"/>
      <c r="O769" s="2215"/>
      <c r="P769" s="2215"/>
      <c r="Q769" s="2215"/>
      <c r="R769" s="2215"/>
      <c r="S769" s="2215"/>
      <c r="T769" s="2109"/>
      <c r="U769" s="2110"/>
      <c r="V769" s="2110"/>
      <c r="W769" s="2111"/>
      <c r="X769" s="1991"/>
      <c r="Y769" s="1992"/>
      <c r="Z769" s="1992"/>
      <c r="AA769" s="1992"/>
      <c r="AB769" s="1993"/>
      <c r="AC769" s="1991"/>
      <c r="AD769" s="1992"/>
      <c r="AE769" s="1992"/>
      <c r="AF769" s="1992"/>
      <c r="AG769" s="1993"/>
      <c r="AH769" s="1105"/>
      <c r="AI769" s="1105"/>
      <c r="AJ769" s="1105"/>
      <c r="AK769" s="1105"/>
      <c r="AL769" s="1105"/>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1991"/>
      <c r="K770" s="1992"/>
      <c r="L770" s="1992"/>
      <c r="M770" s="1992"/>
      <c r="N770" s="1993"/>
      <c r="O770" s="2215"/>
      <c r="P770" s="2215"/>
      <c r="Q770" s="2215"/>
      <c r="R770" s="2215"/>
      <c r="S770" s="2215"/>
      <c r="T770" s="2109"/>
      <c r="U770" s="2110"/>
      <c r="V770" s="2110"/>
      <c r="W770" s="2111"/>
      <c r="X770" s="1991"/>
      <c r="Y770" s="1992"/>
      <c r="Z770" s="1992"/>
      <c r="AA770" s="1992"/>
      <c r="AB770" s="1993"/>
      <c r="AC770" s="1991"/>
      <c r="AD770" s="1992"/>
      <c r="AE770" s="1992"/>
      <c r="AF770" s="1992"/>
      <c r="AG770" s="1993"/>
      <c r="AH770" s="1105"/>
      <c r="AI770" s="39"/>
      <c r="AJ770" s="39"/>
      <c r="AK770" s="1105"/>
      <c r="AL770" s="1105"/>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1994"/>
      <c r="K771" s="1995"/>
      <c r="L771" s="1995"/>
      <c r="M771" s="1995"/>
      <c r="N771" s="1996"/>
      <c r="O771" s="2215"/>
      <c r="P771" s="2215"/>
      <c r="Q771" s="2215"/>
      <c r="R771" s="2215"/>
      <c r="S771" s="2215"/>
      <c r="T771" s="2112"/>
      <c r="U771" s="2113"/>
      <c r="V771" s="2113"/>
      <c r="W771" s="2114"/>
      <c r="X771" s="1994"/>
      <c r="Y771" s="1995"/>
      <c r="Z771" s="1995"/>
      <c r="AA771" s="1995"/>
      <c r="AB771" s="1996"/>
      <c r="AC771" s="1994"/>
      <c r="AD771" s="1995"/>
      <c r="AE771" s="1995"/>
      <c r="AF771" s="1995"/>
      <c r="AG771" s="1996"/>
      <c r="AH771" s="1105"/>
      <c r="AI771" s="1105"/>
      <c r="AJ771" s="1105"/>
      <c r="AK771" s="1105"/>
      <c r="AL771" s="1105"/>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893" t="s">
        <v>329</v>
      </c>
      <c r="K772" s="1894"/>
      <c r="L772" s="1894"/>
      <c r="M772" s="1894"/>
      <c r="N772" s="1895"/>
      <c r="O772" s="1932">
        <v>1</v>
      </c>
      <c r="P772" s="1932"/>
      <c r="Q772" s="1932"/>
      <c r="R772" s="1932"/>
      <c r="S772" s="1932"/>
      <c r="T772" s="1925">
        <v>356</v>
      </c>
      <c r="U772" s="1926"/>
      <c r="V772" s="1926"/>
      <c r="W772" s="1927"/>
      <c r="X772" s="1916"/>
      <c r="Y772" s="1917"/>
      <c r="Z772" s="1917"/>
      <c r="AA772" s="1917"/>
      <c r="AB772" s="1918"/>
      <c r="AC772" s="2092">
        <f>X772*O772</f>
        <v>0</v>
      </c>
      <c r="AD772" s="2093"/>
      <c r="AE772" s="2093"/>
      <c r="AF772" s="2093"/>
      <c r="AG772" s="2094"/>
      <c r="AH772" s="1106"/>
      <c r="AI772" s="1105"/>
      <c r="AJ772" s="1105"/>
      <c r="AK772" s="1106"/>
      <c r="AL772" s="1106"/>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893" t="s">
        <v>168</v>
      </c>
      <c r="K773" s="1894"/>
      <c r="L773" s="1894"/>
      <c r="M773" s="1894"/>
      <c r="N773" s="1895"/>
      <c r="O773" s="1932">
        <v>1</v>
      </c>
      <c r="P773" s="1932"/>
      <c r="Q773" s="1932"/>
      <c r="R773" s="1932"/>
      <c r="S773" s="1932"/>
      <c r="T773" s="1925">
        <v>726</v>
      </c>
      <c r="U773" s="1926"/>
      <c r="V773" s="1926"/>
      <c r="W773" s="1927"/>
      <c r="X773" s="1916"/>
      <c r="Y773" s="1917"/>
      <c r="Z773" s="1917"/>
      <c r="AA773" s="1917"/>
      <c r="AB773" s="1918"/>
      <c r="AC773" s="2092">
        <f>X773*O773</f>
        <v>0</v>
      </c>
      <c r="AD773" s="2093"/>
      <c r="AE773" s="2093"/>
      <c r="AF773" s="2093"/>
      <c r="AG773" s="2094"/>
      <c r="AH773" s="1106"/>
      <c r="AI773" s="1106"/>
      <c r="AJ773" s="1106"/>
      <c r="AK773" s="1106"/>
      <c r="AL773" s="1106"/>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893"/>
      <c r="K774" s="1894"/>
      <c r="L774" s="1894"/>
      <c r="M774" s="1894"/>
      <c r="N774" s="1895"/>
      <c r="O774" s="1932"/>
      <c r="P774" s="1932"/>
      <c r="Q774" s="1932"/>
      <c r="R774" s="1932"/>
      <c r="S774" s="1932"/>
      <c r="T774" s="1925"/>
      <c r="U774" s="1926"/>
      <c r="V774" s="1926"/>
      <c r="W774" s="1927"/>
      <c r="X774" s="1916"/>
      <c r="Y774" s="1917"/>
      <c r="Z774" s="1917"/>
      <c r="AA774" s="1917"/>
      <c r="AB774" s="1918"/>
      <c r="AC774" s="2092">
        <f>X774*O774</f>
        <v>0</v>
      </c>
      <c r="AD774" s="2093"/>
      <c r="AE774" s="2093"/>
      <c r="AF774" s="2093"/>
      <c r="AG774" s="2094"/>
      <c r="AH774" s="1106"/>
      <c r="AI774" s="1106"/>
      <c r="AJ774" s="1106"/>
      <c r="AK774" s="1106"/>
      <c r="AL774" s="1106"/>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893"/>
      <c r="K775" s="1894"/>
      <c r="L775" s="1894"/>
      <c r="M775" s="1894"/>
      <c r="N775" s="1895"/>
      <c r="O775" s="1932"/>
      <c r="P775" s="1932"/>
      <c r="Q775" s="1932"/>
      <c r="R775" s="1932"/>
      <c r="S775" s="1932"/>
      <c r="T775" s="1925"/>
      <c r="U775" s="1926"/>
      <c r="V775" s="1926"/>
      <c r="W775" s="1927"/>
      <c r="X775" s="1916"/>
      <c r="Y775" s="1917"/>
      <c r="Z775" s="1917"/>
      <c r="AA775" s="1917"/>
      <c r="AB775" s="1918"/>
      <c r="AC775" s="2092">
        <f>X775*O775</f>
        <v>0</v>
      </c>
      <c r="AD775" s="2093"/>
      <c r="AE775" s="2093"/>
      <c r="AF775" s="2093"/>
      <c r="AG775" s="2094"/>
      <c r="AH775" s="1106"/>
      <c r="AI775" s="1106"/>
      <c r="AJ775" s="1106"/>
      <c r="AK775" s="1106"/>
      <c r="AL775" s="1106"/>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1979" t="s">
        <v>130</v>
      </c>
      <c r="K776" s="1980"/>
      <c r="L776" s="1980"/>
      <c r="M776" s="1980"/>
      <c r="N776" s="1981"/>
      <c r="O776" s="2250">
        <f>SUM(O772:S775)</f>
        <v>2</v>
      </c>
      <c r="P776" s="2251"/>
      <c r="Q776" s="2251"/>
      <c r="R776" s="2251"/>
      <c r="S776" s="2252"/>
      <c r="X776" s="2287" t="s">
        <v>129</v>
      </c>
      <c r="Y776" s="2288"/>
      <c r="Z776" s="2288"/>
      <c r="AA776" s="2288"/>
      <c r="AB776" s="2289"/>
      <c r="AC776" s="2092">
        <f>SUM(AC772:AG775)</f>
        <v>0</v>
      </c>
      <c r="AD776" s="2093"/>
      <c r="AE776" s="2093"/>
      <c r="AF776" s="2093"/>
      <c r="AG776" s="2094"/>
      <c r="AH776" s="39"/>
      <c r="AI776" s="1106"/>
      <c r="AJ776" s="1106"/>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1911" t="s">
        <v>694</v>
      </c>
      <c r="K778" s="1911"/>
      <c r="L778" s="91"/>
      <c r="M778" s="62" t="s">
        <v>1033</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2690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611</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1988" t="s">
        <v>403</v>
      </c>
      <c r="K782" s="1989"/>
      <c r="L782" s="1989"/>
      <c r="M782" s="1989"/>
      <c r="N782" s="1990"/>
      <c r="O782" s="2215" t="s">
        <v>290</v>
      </c>
      <c r="P782" s="2215"/>
      <c r="Q782" s="2215"/>
      <c r="R782" s="2215"/>
      <c r="S782" s="2215"/>
      <c r="T782" s="2106" t="s">
        <v>1986</v>
      </c>
      <c r="U782" s="2107"/>
      <c r="V782" s="2107"/>
      <c r="W782" s="2108"/>
      <c r="X782" s="1988" t="s">
        <v>470</v>
      </c>
      <c r="Y782" s="1989"/>
      <c r="Z782" s="1989"/>
      <c r="AA782" s="1989"/>
      <c r="AB782" s="1990"/>
      <c r="AC782" s="1988" t="s">
        <v>291</v>
      </c>
      <c r="AD782" s="1989"/>
      <c r="AE782" s="1989"/>
      <c r="AF782" s="1989"/>
      <c r="AG782" s="1990"/>
      <c r="AH782" s="2140" t="s">
        <v>2181</v>
      </c>
      <c r="AI782" s="2141"/>
      <c r="AJ782" s="2141"/>
      <c r="AK782" s="2141"/>
      <c r="AL782" s="214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1991"/>
      <c r="K783" s="1992"/>
      <c r="L783" s="1992"/>
      <c r="M783" s="1992"/>
      <c r="N783" s="1993"/>
      <c r="O783" s="2215"/>
      <c r="P783" s="2215"/>
      <c r="Q783" s="2215"/>
      <c r="R783" s="2215"/>
      <c r="S783" s="2215"/>
      <c r="T783" s="2109"/>
      <c r="U783" s="2110"/>
      <c r="V783" s="2110"/>
      <c r="W783" s="2111"/>
      <c r="X783" s="1991"/>
      <c r="Y783" s="1992"/>
      <c r="Z783" s="1992"/>
      <c r="AA783" s="1992"/>
      <c r="AB783" s="1993"/>
      <c r="AC783" s="1991"/>
      <c r="AD783" s="1992"/>
      <c r="AE783" s="1992"/>
      <c r="AF783" s="1992"/>
      <c r="AG783" s="1993"/>
      <c r="AH783" s="2140"/>
      <c r="AI783" s="2141"/>
      <c r="AJ783" s="2141"/>
      <c r="AK783" s="2141"/>
      <c r="AL783" s="214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1991"/>
      <c r="K784" s="1992"/>
      <c r="L784" s="1992"/>
      <c r="M784" s="1992"/>
      <c r="N784" s="1993"/>
      <c r="O784" s="2215"/>
      <c r="P784" s="2215"/>
      <c r="Q784" s="2215"/>
      <c r="R784" s="2215"/>
      <c r="S784" s="2215"/>
      <c r="T784" s="2109"/>
      <c r="U784" s="2110"/>
      <c r="V784" s="2110"/>
      <c r="W784" s="2111"/>
      <c r="X784" s="1991"/>
      <c r="Y784" s="1992"/>
      <c r="Z784" s="1992"/>
      <c r="AA784" s="1992"/>
      <c r="AB784" s="1993"/>
      <c r="AC784" s="1991"/>
      <c r="AD784" s="1992"/>
      <c r="AE784" s="1992"/>
      <c r="AF784" s="1992"/>
      <c r="AG784" s="1993"/>
      <c r="AH784" s="2140"/>
      <c r="AI784" s="2141"/>
      <c r="AJ784" s="2141"/>
      <c r="AK784" s="2141"/>
      <c r="AL784" s="214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1994"/>
      <c r="K785" s="1995"/>
      <c r="L785" s="1995"/>
      <c r="M785" s="1995"/>
      <c r="N785" s="1996"/>
      <c r="O785" s="2215"/>
      <c r="P785" s="2215"/>
      <c r="Q785" s="2215"/>
      <c r="R785" s="2215"/>
      <c r="S785" s="2215"/>
      <c r="T785" s="2112"/>
      <c r="U785" s="2113"/>
      <c r="V785" s="2113"/>
      <c r="W785" s="2114"/>
      <c r="X785" s="1994"/>
      <c r="Y785" s="1995"/>
      <c r="Z785" s="1995"/>
      <c r="AA785" s="1995"/>
      <c r="AB785" s="1996"/>
      <c r="AC785" s="1994"/>
      <c r="AD785" s="1995"/>
      <c r="AE785" s="1995"/>
      <c r="AF785" s="1995"/>
      <c r="AG785" s="1996"/>
      <c r="AH785" s="2140"/>
      <c r="AI785" s="2141"/>
      <c r="AJ785" s="2141"/>
      <c r="AK785" s="2141"/>
      <c r="AL785" s="214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893"/>
      <c r="K786" s="1894"/>
      <c r="L786" s="1894"/>
      <c r="M786" s="1894"/>
      <c r="N786" s="1895"/>
      <c r="O786" s="1932"/>
      <c r="P786" s="1932"/>
      <c r="Q786" s="1932"/>
      <c r="R786" s="1932"/>
      <c r="S786" s="1932"/>
      <c r="T786" s="1925"/>
      <c r="U786" s="1926"/>
      <c r="V786" s="1926"/>
      <c r="W786" s="1927"/>
      <c r="X786" s="1916"/>
      <c r="Y786" s="1917"/>
      <c r="Z786" s="1917"/>
      <c r="AA786" s="1917"/>
      <c r="AB786" s="1918"/>
      <c r="AC786" s="2092">
        <f t="shared" ref="AC786:AC795" si="49">X786*O786</f>
        <v>0</v>
      </c>
      <c r="AD786" s="2093"/>
      <c r="AE786" s="2093"/>
      <c r="AF786" s="2093"/>
      <c r="AG786" s="2094"/>
      <c r="AH786" s="2142"/>
      <c r="AI786" s="2143"/>
      <c r="AJ786" s="2143"/>
      <c r="AK786" s="2143"/>
      <c r="AL786" s="214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893"/>
      <c r="K787" s="1894"/>
      <c r="L787" s="1894"/>
      <c r="M787" s="1894"/>
      <c r="N787" s="1895"/>
      <c r="O787" s="1932"/>
      <c r="P787" s="1932"/>
      <c r="Q787" s="1932"/>
      <c r="R787" s="1932"/>
      <c r="S787" s="1932"/>
      <c r="T787" s="1925"/>
      <c r="U787" s="1926"/>
      <c r="V787" s="1926"/>
      <c r="W787" s="1927"/>
      <c r="X787" s="1916"/>
      <c r="Y787" s="1917"/>
      <c r="Z787" s="1917"/>
      <c r="AA787" s="1917"/>
      <c r="AB787" s="1918"/>
      <c r="AC787" s="2092">
        <f t="shared" si="49"/>
        <v>0</v>
      </c>
      <c r="AD787" s="2093"/>
      <c r="AE787" s="2093"/>
      <c r="AF787" s="2093"/>
      <c r="AG787" s="2094"/>
      <c r="AH787" s="2142"/>
      <c r="AI787" s="2143"/>
      <c r="AJ787" s="2143"/>
      <c r="AK787" s="2143"/>
      <c r="AL787" s="214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893"/>
      <c r="K788" s="1894"/>
      <c r="L788" s="1894"/>
      <c r="M788" s="1894"/>
      <c r="N788" s="1895"/>
      <c r="O788" s="1932"/>
      <c r="P788" s="1932"/>
      <c r="Q788" s="1932"/>
      <c r="R788" s="1932"/>
      <c r="S788" s="1932"/>
      <c r="T788" s="1925"/>
      <c r="U788" s="1926"/>
      <c r="V788" s="1926"/>
      <c r="W788" s="1927"/>
      <c r="X788" s="1916"/>
      <c r="Y788" s="1917"/>
      <c r="Z788" s="1917"/>
      <c r="AA788" s="1917"/>
      <c r="AB788" s="1918"/>
      <c r="AC788" s="2092">
        <f t="shared" si="49"/>
        <v>0</v>
      </c>
      <c r="AD788" s="2093"/>
      <c r="AE788" s="2093"/>
      <c r="AF788" s="2093"/>
      <c r="AG788" s="2094"/>
      <c r="AH788" s="2142"/>
      <c r="AI788" s="2143"/>
      <c r="AJ788" s="2143"/>
      <c r="AK788" s="2143"/>
      <c r="AL788" s="214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893"/>
      <c r="K789" s="1894"/>
      <c r="L789" s="1894"/>
      <c r="M789" s="1894"/>
      <c r="N789" s="1895"/>
      <c r="O789" s="1932"/>
      <c r="P789" s="1932"/>
      <c r="Q789" s="1932"/>
      <c r="R789" s="1932"/>
      <c r="S789" s="1932"/>
      <c r="T789" s="1925"/>
      <c r="U789" s="1926"/>
      <c r="V789" s="1926"/>
      <c r="W789" s="1927"/>
      <c r="X789" s="1916"/>
      <c r="Y789" s="1917"/>
      <c r="Z789" s="1917"/>
      <c r="AA789" s="1917"/>
      <c r="AB789" s="1918"/>
      <c r="AC789" s="2092">
        <f t="shared" si="49"/>
        <v>0</v>
      </c>
      <c r="AD789" s="2093"/>
      <c r="AE789" s="2093"/>
      <c r="AF789" s="2093"/>
      <c r="AG789" s="2094"/>
      <c r="AH789" s="2142"/>
      <c r="AI789" s="2143"/>
      <c r="AJ789" s="2143"/>
      <c r="AK789" s="2143"/>
      <c r="AL789" s="214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893"/>
      <c r="K790" s="1894"/>
      <c r="L790" s="1894"/>
      <c r="M790" s="1894"/>
      <c r="N790" s="1895"/>
      <c r="O790" s="1932"/>
      <c r="P790" s="1932"/>
      <c r="Q790" s="1932"/>
      <c r="R790" s="1932"/>
      <c r="S790" s="1932"/>
      <c r="T790" s="1925"/>
      <c r="U790" s="1926"/>
      <c r="V790" s="1926"/>
      <c r="W790" s="1927"/>
      <c r="X790" s="1916"/>
      <c r="Y790" s="1917"/>
      <c r="Z790" s="1917"/>
      <c r="AA790" s="1917"/>
      <c r="AB790" s="1918"/>
      <c r="AC790" s="2092">
        <f t="shared" si="49"/>
        <v>0</v>
      </c>
      <c r="AD790" s="2093"/>
      <c r="AE790" s="2093"/>
      <c r="AF790" s="2093"/>
      <c r="AG790" s="2094"/>
      <c r="AH790" s="2142"/>
      <c r="AI790" s="2143"/>
      <c r="AJ790" s="2143"/>
      <c r="AK790" s="2143"/>
      <c r="AL790" s="214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893"/>
      <c r="K791" s="1894"/>
      <c r="L791" s="1894"/>
      <c r="M791" s="1894"/>
      <c r="N791" s="1895"/>
      <c r="O791" s="1932"/>
      <c r="P791" s="1932"/>
      <c r="Q791" s="1932"/>
      <c r="R791" s="1932"/>
      <c r="S791" s="1932"/>
      <c r="T791" s="1925"/>
      <c r="U791" s="1926"/>
      <c r="V791" s="1926"/>
      <c r="W791" s="1927"/>
      <c r="X791" s="1916"/>
      <c r="Y791" s="1917"/>
      <c r="Z791" s="1917"/>
      <c r="AA791" s="1917"/>
      <c r="AB791" s="1918"/>
      <c r="AC791" s="2092">
        <f t="shared" si="49"/>
        <v>0</v>
      </c>
      <c r="AD791" s="2093"/>
      <c r="AE791" s="2093"/>
      <c r="AF791" s="2093"/>
      <c r="AG791" s="2094"/>
      <c r="AH791" s="2142"/>
      <c r="AI791" s="2143"/>
      <c r="AJ791" s="2143"/>
      <c r="AK791" s="2143"/>
      <c r="AL791" s="214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893"/>
      <c r="K792" s="1894"/>
      <c r="L792" s="1894"/>
      <c r="M792" s="1894"/>
      <c r="N792" s="1895"/>
      <c r="O792" s="1932"/>
      <c r="P792" s="1932"/>
      <c r="Q792" s="1932"/>
      <c r="R792" s="1932"/>
      <c r="S792" s="1932"/>
      <c r="T792" s="1925"/>
      <c r="U792" s="1926"/>
      <c r="V792" s="1926"/>
      <c r="W792" s="1927"/>
      <c r="X792" s="1916"/>
      <c r="Y792" s="1917"/>
      <c r="Z792" s="1917"/>
      <c r="AA792" s="1917"/>
      <c r="AB792" s="1918"/>
      <c r="AC792" s="2092">
        <f t="shared" si="49"/>
        <v>0</v>
      </c>
      <c r="AD792" s="2093"/>
      <c r="AE792" s="2093"/>
      <c r="AF792" s="2093"/>
      <c r="AG792" s="2094"/>
      <c r="AH792" s="2142"/>
      <c r="AI792" s="2143"/>
      <c r="AJ792" s="2143"/>
      <c r="AK792" s="2143"/>
      <c r="AL792" s="214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893"/>
      <c r="K793" s="1894"/>
      <c r="L793" s="1894"/>
      <c r="M793" s="1894"/>
      <c r="N793" s="1895"/>
      <c r="O793" s="1932"/>
      <c r="P793" s="1932"/>
      <c r="Q793" s="1932"/>
      <c r="R793" s="1932"/>
      <c r="S793" s="1932"/>
      <c r="T793" s="1925"/>
      <c r="U793" s="1926"/>
      <c r="V793" s="1926"/>
      <c r="W793" s="1927"/>
      <c r="X793" s="1916"/>
      <c r="Y793" s="1917"/>
      <c r="Z793" s="1917"/>
      <c r="AA793" s="1917"/>
      <c r="AB793" s="1918"/>
      <c r="AC793" s="2092">
        <f t="shared" si="49"/>
        <v>0</v>
      </c>
      <c r="AD793" s="2093"/>
      <c r="AE793" s="2093"/>
      <c r="AF793" s="2093"/>
      <c r="AG793" s="2094"/>
      <c r="AH793" s="2142"/>
      <c r="AI793" s="2143"/>
      <c r="AJ793" s="2143"/>
      <c r="AK793" s="2143"/>
      <c r="AL793" s="214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893"/>
      <c r="K794" s="1894"/>
      <c r="L794" s="1894"/>
      <c r="M794" s="1894"/>
      <c r="N794" s="1895"/>
      <c r="O794" s="1932"/>
      <c r="P794" s="1932"/>
      <c r="Q794" s="1932"/>
      <c r="R794" s="1932"/>
      <c r="S794" s="1932"/>
      <c r="T794" s="1925"/>
      <c r="U794" s="1926"/>
      <c r="V794" s="1926"/>
      <c r="W794" s="1927"/>
      <c r="X794" s="1916"/>
      <c r="Y794" s="1917"/>
      <c r="Z794" s="1917"/>
      <c r="AA794" s="1917"/>
      <c r="AB794" s="1918"/>
      <c r="AC794" s="2092">
        <f t="shared" si="49"/>
        <v>0</v>
      </c>
      <c r="AD794" s="2093"/>
      <c r="AE794" s="2093"/>
      <c r="AF794" s="2093"/>
      <c r="AG794" s="2094"/>
      <c r="AH794" s="2142"/>
      <c r="AI794" s="2143"/>
      <c r="AJ794" s="2143"/>
      <c r="AK794" s="2143"/>
      <c r="AL794" s="214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893"/>
      <c r="K795" s="1894"/>
      <c r="L795" s="1894"/>
      <c r="M795" s="1894"/>
      <c r="N795" s="1895"/>
      <c r="O795" s="1932"/>
      <c r="P795" s="1932"/>
      <c r="Q795" s="1932"/>
      <c r="R795" s="1932"/>
      <c r="S795" s="1932"/>
      <c r="T795" s="1925"/>
      <c r="U795" s="1926"/>
      <c r="V795" s="1926"/>
      <c r="W795" s="1927"/>
      <c r="X795" s="1916"/>
      <c r="Y795" s="1917"/>
      <c r="Z795" s="1917"/>
      <c r="AA795" s="1917"/>
      <c r="AB795" s="1918"/>
      <c r="AC795" s="2092">
        <f t="shared" si="49"/>
        <v>0</v>
      </c>
      <c r="AD795" s="2093"/>
      <c r="AE795" s="2093"/>
      <c r="AF795" s="2093"/>
      <c r="AG795" s="2094"/>
      <c r="AH795" s="2142"/>
      <c r="AI795" s="2143"/>
      <c r="AJ795" s="2143"/>
      <c r="AK795" s="2143"/>
      <c r="AL795" s="214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1979" t="s">
        <v>130</v>
      </c>
      <c r="K796" s="1980"/>
      <c r="L796" s="1980"/>
      <c r="M796" s="1980"/>
      <c r="N796" s="1981"/>
      <c r="O796" s="2124">
        <f>SUM(O786:S795)</f>
        <v>0</v>
      </c>
      <c r="P796" s="2124"/>
      <c r="Q796" s="2124"/>
      <c r="R796" s="2124"/>
      <c r="S796" s="2124"/>
      <c r="X796" s="967" t="s">
        <v>129</v>
      </c>
      <c r="Y796" s="968"/>
      <c r="Z796" s="968"/>
      <c r="AA796" s="968"/>
      <c r="AB796" s="969"/>
      <c r="AC796" s="2092">
        <f>SUM(AC786:AG795)</f>
        <v>0</v>
      </c>
      <c r="AD796" s="2093"/>
      <c r="AE796" s="2093"/>
      <c r="AF796" s="2093"/>
      <c r="AG796" s="2094"/>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02">
        <f>O753+AC776+AC796</f>
        <v>152929</v>
      </c>
      <c r="Z798" s="2002"/>
      <c r="AA798" s="2002"/>
      <c r="AB798" s="2002"/>
      <c r="AC798" s="200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02">
        <f>(O753+AC776+AC796)*12</f>
        <v>1835148</v>
      </c>
      <c r="Z799" s="2002"/>
      <c r="AA799" s="2002"/>
      <c r="AB799" s="2002"/>
      <c r="AC799" s="2002"/>
      <c r="AZ799" s="58"/>
      <c r="BA799" s="51" t="s">
        <v>657</v>
      </c>
      <c r="BB799" s="51"/>
      <c r="BC799" s="51"/>
      <c r="BD799" s="51"/>
      <c r="BE799" s="51"/>
      <c r="BF799" s="51"/>
      <c r="BG799" s="51"/>
      <c r="BH799" s="51"/>
      <c r="BI799" s="51"/>
      <c r="BJ799" s="51"/>
      <c r="BK799" s="51"/>
      <c r="BL799" s="51"/>
      <c r="BM799" s="51"/>
      <c r="BN799" s="2213" t="s">
        <v>493</v>
      </c>
      <c r="BO799" s="2214"/>
      <c r="BP799" s="58"/>
      <c r="BQ799" s="58"/>
      <c r="BR799" s="58"/>
      <c r="BS799" s="51" t="s">
        <v>659</v>
      </c>
      <c r="BT799" s="51"/>
      <c r="BU799" s="51"/>
      <c r="BV799" s="51"/>
      <c r="BW799" s="51"/>
      <c r="BX799" s="51"/>
      <c r="BY799" s="51"/>
      <c r="BZ799" s="51"/>
      <c r="CA799" s="51"/>
      <c r="CB799" s="2210" t="str">
        <f>T189</f>
        <v>San Francisco</v>
      </c>
      <c r="CC799" s="2211"/>
      <c r="CD799" s="2211"/>
      <c r="CE799" s="2211"/>
      <c r="CF799" s="2211"/>
      <c r="CG799" s="2211"/>
      <c r="CH799" s="221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614</v>
      </c>
      <c r="B801" s="50"/>
      <c r="C801" s="50" t="s">
        <v>637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493</v>
      </c>
      <c r="BP801" s="54"/>
      <c r="BQ801" s="54"/>
      <c r="BR801" s="54"/>
      <c r="BS801" s="54"/>
      <c r="BT801" s="54"/>
      <c r="CR801" s="112"/>
    </row>
    <row r="802" spans="1:110" s="51" customFormat="1" ht="13.2">
      <c r="A802" s="50"/>
      <c r="B802" s="50"/>
      <c r="C802" s="50" t="s">
        <v>970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492</v>
      </c>
      <c r="BO802" s="53" t="s">
        <v>2336</v>
      </c>
      <c r="BP802" s="54"/>
      <c r="BQ802" s="54"/>
      <c r="BR802" s="54"/>
      <c r="BS802" s="54"/>
      <c r="BT802" s="54"/>
      <c r="BV802" s="53" t="s">
        <v>2337</v>
      </c>
      <c r="CB802" s="107"/>
      <c r="CC802" s="107"/>
      <c r="CD802" s="107"/>
      <c r="CE802" s="107"/>
      <c r="CF802" s="107"/>
      <c r="CG802" s="107"/>
      <c r="CH802" s="107"/>
      <c r="CI802" s="107"/>
      <c r="CJ802" s="107"/>
      <c r="CK802" s="107"/>
      <c r="CL802" s="107"/>
      <c r="CM802" s="107"/>
      <c r="CN802" s="107"/>
      <c r="CO802" s="107"/>
      <c r="CP802" s="107"/>
      <c r="CQ802" s="107"/>
      <c r="CR802" s="109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09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116">
        <v>14</v>
      </c>
      <c r="AA804" s="2117"/>
      <c r="AB804" s="2117"/>
      <c r="AC804" s="2117"/>
      <c r="AD804" s="2117"/>
      <c r="AE804" s="211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09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119">
        <v>20</v>
      </c>
      <c r="AA805" s="2117"/>
      <c r="AB805" s="2117"/>
      <c r="AC805" s="2117"/>
      <c r="AD805" s="2117"/>
      <c r="AE805" s="211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095"/>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59">
        <v>0</v>
      </c>
      <c r="AA806" s="2176"/>
      <c r="AB806" s="2176"/>
      <c r="AC806" s="2176"/>
      <c r="AD806" s="2176"/>
      <c r="AE806" s="217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095"/>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14">
        <f>'Subsidy Contract Calculation'!J30</f>
        <v>310488</v>
      </c>
      <c r="AA807" s="2015"/>
      <c r="AB807" s="2015"/>
      <c r="AC807" s="2015"/>
      <c r="AD807" s="2015"/>
      <c r="AE807" s="201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095"/>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658</v>
      </c>
      <c r="BQ808" s="109" t="s">
        <v>330</v>
      </c>
      <c r="BR808" s="109" t="s">
        <v>168</v>
      </c>
      <c r="BS808" s="109" t="s">
        <v>169</v>
      </c>
      <c r="BT808" s="109" t="s">
        <v>484</v>
      </c>
      <c r="BU808" s="56"/>
      <c r="BV808" s="56"/>
      <c r="BW808" s="108" t="s">
        <v>658</v>
      </c>
      <c r="BX808" s="109" t="s">
        <v>330</v>
      </c>
      <c r="BY808" s="109" t="s">
        <v>168</v>
      </c>
      <c r="BZ808" s="109" t="s">
        <v>169</v>
      </c>
      <c r="CA808" s="109" t="s">
        <v>484</v>
      </c>
      <c r="CB808" s="107"/>
      <c r="CC808" s="107"/>
      <c r="CD808" s="107"/>
      <c r="CE808" s="107"/>
      <c r="CF808" s="107"/>
      <c r="CG808" s="107"/>
      <c r="CH808" s="107"/>
      <c r="CI808" s="107"/>
      <c r="CJ808" s="107"/>
      <c r="CK808" s="107"/>
      <c r="CL808" s="107"/>
      <c r="CM808" s="107"/>
      <c r="CN808" s="107"/>
      <c r="CO808" s="107"/>
      <c r="CP808" s="107"/>
      <c r="CQ808" s="107"/>
      <c r="CR808" s="1095"/>
      <c r="CS808" s="107"/>
      <c r="CT808" s="107"/>
      <c r="CU808" s="107"/>
      <c r="CV808" s="107"/>
      <c r="CW808" s="107"/>
      <c r="CX808" s="107"/>
      <c r="CY808" s="107"/>
      <c r="CZ808" s="107"/>
      <c r="DA808" s="107"/>
      <c r="DB808" s="107"/>
      <c r="DC808" s="107"/>
      <c r="DD808" s="107"/>
      <c r="DE808" s="107"/>
      <c r="DF808" s="107"/>
    </row>
    <row r="809" spans="1:110" s="7" customFormat="1" ht="13.8">
      <c r="A809" s="50" t="s">
        <v>615</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661</v>
      </c>
      <c r="BP809" s="505">
        <v>384234</v>
      </c>
      <c r="BQ809" s="505">
        <v>443018</v>
      </c>
      <c r="BR809" s="505">
        <v>534400</v>
      </c>
      <c r="BS809" s="505">
        <v>684032</v>
      </c>
      <c r="BT809" s="505">
        <v>762054</v>
      </c>
      <c r="BU809" s="56"/>
      <c r="BV809" s="36" t="s">
        <v>661</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971"/>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662</v>
      </c>
      <c r="BP810" s="503">
        <v>278972</v>
      </c>
      <c r="BQ810" s="503">
        <v>321652</v>
      </c>
      <c r="BR810" s="503">
        <v>388000</v>
      </c>
      <c r="BS810" s="503">
        <v>496640</v>
      </c>
      <c r="BT810" s="503">
        <v>553288</v>
      </c>
      <c r="BU810" s="56"/>
      <c r="BV810" s="36" t="s">
        <v>662</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97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880">
        <v>6240</v>
      </c>
      <c r="AA811" s="1881"/>
      <c r="AB811" s="1881"/>
      <c r="AC811" s="1881"/>
      <c r="AD811" s="1881"/>
      <c r="AE811" s="188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97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880"/>
      <c r="AA812" s="1881"/>
      <c r="AB812" s="1881"/>
      <c r="AC812" s="1881"/>
      <c r="AD812" s="1881"/>
      <c r="AE812" s="188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685</v>
      </c>
      <c r="BP812" s="503">
        <v>246186</v>
      </c>
      <c r="BQ812" s="503">
        <v>283850</v>
      </c>
      <c r="BR812" s="503">
        <v>342400</v>
      </c>
      <c r="BS812" s="503">
        <v>438272</v>
      </c>
      <c r="BT812" s="503">
        <v>488262</v>
      </c>
      <c r="BU812" s="56"/>
      <c r="BV812" s="36" t="s">
        <v>685</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971"/>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880"/>
      <c r="AA813" s="1881"/>
      <c r="AB813" s="1881"/>
      <c r="AC813" s="1881"/>
      <c r="AD813" s="1881"/>
      <c r="AE813" s="188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686</v>
      </c>
      <c r="BP813" s="505">
        <v>278972</v>
      </c>
      <c r="BQ813" s="505">
        <v>321652</v>
      </c>
      <c r="BR813" s="505">
        <v>388000</v>
      </c>
      <c r="BS813" s="505">
        <v>496640</v>
      </c>
      <c r="BT813" s="505">
        <v>553288</v>
      </c>
      <c r="BU813" s="56"/>
      <c r="BV813" s="36" t="s">
        <v>686</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97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37" t="s">
        <v>339</v>
      </c>
      <c r="Q814" s="2138"/>
      <c r="R814" s="2138"/>
      <c r="S814" s="2138"/>
      <c r="T814" s="2138"/>
      <c r="U814" s="2138"/>
      <c r="V814" s="2138"/>
      <c r="W814" s="2138"/>
      <c r="X814" s="2138"/>
      <c r="Y814" s="2139"/>
      <c r="Z814" s="1880"/>
      <c r="AA814" s="1881"/>
      <c r="AB814" s="1881"/>
      <c r="AC814" s="1881"/>
      <c r="AD814" s="1881"/>
      <c r="AE814" s="188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687</v>
      </c>
      <c r="BP814" s="503">
        <v>278972</v>
      </c>
      <c r="BQ814" s="503">
        <v>321652</v>
      </c>
      <c r="BR814" s="503">
        <v>388000</v>
      </c>
      <c r="BS814" s="503">
        <v>496640</v>
      </c>
      <c r="BT814" s="503">
        <v>553288</v>
      </c>
      <c r="BU814" s="56"/>
      <c r="BV814" s="36" t="s">
        <v>687</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97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14">
        <f>SUM(Z811:AE814)</f>
        <v>6240</v>
      </c>
      <c r="AA815" s="2015"/>
      <c r="AB815" s="2015"/>
      <c r="AC815" s="2015"/>
      <c r="AD815" s="2015"/>
      <c r="AE815" s="201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688</v>
      </c>
      <c r="BP815" s="505">
        <v>384234</v>
      </c>
      <c r="BQ815" s="505">
        <v>443018</v>
      </c>
      <c r="BR815" s="505">
        <v>534400</v>
      </c>
      <c r="BS815" s="505">
        <v>684032</v>
      </c>
      <c r="BT815" s="505">
        <v>762054</v>
      </c>
      <c r="BU815" s="56"/>
      <c r="BV815" s="36" t="s">
        <v>688</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97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669</v>
      </c>
      <c r="Z816" s="2014">
        <f>Z815+Y799+Z807</f>
        <v>2151876</v>
      </c>
      <c r="AA816" s="2015"/>
      <c r="AB816" s="2015"/>
      <c r="AC816" s="2015"/>
      <c r="AD816" s="2015"/>
      <c r="AE816" s="201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689</v>
      </c>
      <c r="BP816" s="503">
        <v>278972</v>
      </c>
      <c r="BQ816" s="503">
        <v>321652</v>
      </c>
      <c r="BR816" s="503">
        <v>388000</v>
      </c>
      <c r="BS816" s="503">
        <v>496640</v>
      </c>
      <c r="BT816" s="503">
        <v>553288</v>
      </c>
      <c r="BU816" s="56"/>
      <c r="BV816" s="36" t="s">
        <v>689</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97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690</v>
      </c>
      <c r="BP817" s="505">
        <v>278397</v>
      </c>
      <c r="BQ817" s="505">
        <v>320989</v>
      </c>
      <c r="BR817" s="505">
        <v>387200</v>
      </c>
      <c r="BS817" s="505">
        <v>495616</v>
      </c>
      <c r="BT817" s="505">
        <v>552147</v>
      </c>
      <c r="BU817" s="56"/>
      <c r="BV817" s="36" t="s">
        <v>690</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971"/>
      <c r="CS817" s="61"/>
      <c r="CT817" s="61"/>
      <c r="CU817" s="61"/>
      <c r="CV817" s="61"/>
      <c r="CW817" s="61"/>
      <c r="CX817" s="61"/>
      <c r="CY817" s="61"/>
      <c r="CZ817" s="61"/>
      <c r="DA817" s="61"/>
      <c r="DB817" s="61"/>
      <c r="DC817" s="61"/>
      <c r="DD817" s="61"/>
      <c r="DE817" s="61"/>
      <c r="DF817" s="61"/>
    </row>
    <row r="818" spans="1:110" s="7" customFormat="1" ht="12.75" customHeight="1">
      <c r="A818" s="50" t="s">
        <v>617</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692</v>
      </c>
      <c r="BP818" s="503">
        <v>238133</v>
      </c>
      <c r="BQ818" s="503">
        <v>274565</v>
      </c>
      <c r="BR818" s="503">
        <v>331200</v>
      </c>
      <c r="BS818" s="503">
        <v>423936</v>
      </c>
      <c r="BT818" s="503">
        <v>472291</v>
      </c>
      <c r="BU818" s="56"/>
      <c r="BV818" s="36" t="s">
        <v>692</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97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695</v>
      </c>
      <c r="BP819" s="505">
        <v>278972</v>
      </c>
      <c r="BQ819" s="505">
        <v>321652</v>
      </c>
      <c r="BR819" s="505">
        <v>388000</v>
      </c>
      <c r="BS819" s="505">
        <v>496640</v>
      </c>
      <c r="BT819" s="505">
        <v>553288</v>
      </c>
      <c r="BU819" s="56"/>
      <c r="BV819" s="36" t="s">
        <v>695</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97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696</v>
      </c>
      <c r="BP820" s="503">
        <v>278972</v>
      </c>
      <c r="BQ820" s="503">
        <v>321652</v>
      </c>
      <c r="BR820" s="503">
        <v>388000</v>
      </c>
      <c r="BS820" s="503">
        <v>496640</v>
      </c>
      <c r="BT820" s="503">
        <v>553288</v>
      </c>
      <c r="BU820" s="56"/>
      <c r="BV820" s="36" t="s">
        <v>696</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97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147" t="s">
        <v>131</v>
      </c>
      <c r="N821" s="2147"/>
      <c r="O821" s="2147"/>
      <c r="P821" s="2148"/>
      <c r="Q821" s="2115" t="s">
        <v>295</v>
      </c>
      <c r="R821" s="2115"/>
      <c r="S821" s="2115"/>
      <c r="T821" s="2115"/>
      <c r="U821" s="2115" t="s">
        <v>296</v>
      </c>
      <c r="V821" s="2115"/>
      <c r="W821" s="2115"/>
      <c r="X821" s="2115"/>
      <c r="Y821" s="2115" t="s">
        <v>297</v>
      </c>
      <c r="Z821" s="2115"/>
      <c r="AA821" s="2115"/>
      <c r="AB821" s="2115"/>
      <c r="AC821" s="2115" t="s">
        <v>367</v>
      </c>
      <c r="AD821" s="2115"/>
      <c r="AE821" s="2115"/>
      <c r="AF821" s="2115"/>
      <c r="AG821" s="2282" t="s">
        <v>340</v>
      </c>
      <c r="AH821" s="2282"/>
      <c r="AI821" s="2282"/>
      <c r="AJ821" s="228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698</v>
      </c>
      <c r="BP821" s="505">
        <v>240434</v>
      </c>
      <c r="BQ821" s="505">
        <v>277218</v>
      </c>
      <c r="BR821" s="505">
        <v>334400</v>
      </c>
      <c r="BS821" s="505">
        <v>428032</v>
      </c>
      <c r="BT821" s="505">
        <v>476854</v>
      </c>
      <c r="BU821" s="56"/>
      <c r="BV821" s="36" t="s">
        <v>698</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97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149"/>
      <c r="N822" s="2149"/>
      <c r="O822" s="2149"/>
      <c r="P822" s="2150"/>
      <c r="Q822" s="2115"/>
      <c r="R822" s="2115"/>
      <c r="S822" s="2115"/>
      <c r="T822" s="2115"/>
      <c r="U822" s="2115"/>
      <c r="V822" s="2115"/>
      <c r="W822" s="2115"/>
      <c r="X822" s="2115"/>
      <c r="Y822" s="2115"/>
      <c r="Z822" s="2115"/>
      <c r="AA822" s="2115"/>
      <c r="AB822" s="2115"/>
      <c r="AC822" s="2115"/>
      <c r="AD822" s="2115"/>
      <c r="AE822" s="2115"/>
      <c r="AF822" s="2115"/>
      <c r="AG822" s="2282"/>
      <c r="AH822" s="2282"/>
      <c r="AI822" s="2282"/>
      <c r="AJ822" s="228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699</v>
      </c>
      <c r="BP822" s="503">
        <v>278972</v>
      </c>
      <c r="BQ822" s="503">
        <v>321652</v>
      </c>
      <c r="BR822" s="503">
        <v>388000</v>
      </c>
      <c r="BS822" s="503">
        <v>496640</v>
      </c>
      <c r="BT822" s="503">
        <v>553288</v>
      </c>
      <c r="BU822" s="56"/>
      <c r="BV822" s="36" t="s">
        <v>699</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971"/>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2" t="s">
        <v>43</v>
      </c>
      <c r="D823" s="2203"/>
      <c r="E823" s="2203"/>
      <c r="F823" s="2203"/>
      <c r="G823" s="2203"/>
      <c r="H823" s="2203"/>
      <c r="I823" s="80"/>
      <c r="J823" s="80"/>
      <c r="K823" s="80"/>
      <c r="L823" s="81"/>
      <c r="M823" s="1976">
        <v>6.05</v>
      </c>
      <c r="N823" s="1977"/>
      <c r="O823" s="1977"/>
      <c r="P823" s="1978"/>
      <c r="Q823" s="2120"/>
      <c r="R823" s="2120"/>
      <c r="S823" s="2120"/>
      <c r="T823" s="2120"/>
      <c r="U823" s="2120">
        <v>10.5</v>
      </c>
      <c r="V823" s="2120"/>
      <c r="W823" s="2120"/>
      <c r="X823" s="2120"/>
      <c r="Y823" s="2120"/>
      <c r="Z823" s="2120"/>
      <c r="AA823" s="2120"/>
      <c r="AB823" s="2120"/>
      <c r="AC823" s="1976"/>
      <c r="AD823" s="1977"/>
      <c r="AE823" s="1977"/>
      <c r="AF823" s="1978"/>
      <c r="AG823" s="1976"/>
      <c r="AH823" s="1977"/>
      <c r="AI823" s="1977"/>
      <c r="AJ823" s="197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971"/>
      <c r="CS823" s="61"/>
      <c r="CT823" s="61"/>
      <c r="CU823" s="61"/>
      <c r="CV823" s="61"/>
      <c r="CW823" s="61"/>
      <c r="CX823" s="61"/>
      <c r="CY823" s="61"/>
      <c r="CZ823" s="61"/>
      <c r="DA823" s="61"/>
      <c r="DB823" s="61"/>
      <c r="DC823" s="61"/>
      <c r="DD823" s="61"/>
      <c r="DE823" s="61"/>
      <c r="DF823" s="61"/>
    </row>
    <row r="824" spans="1:110" s="7" customFormat="1" ht="12.75" customHeight="1">
      <c r="A824" s="12"/>
      <c r="B824" s="12"/>
      <c r="C824" s="1921" t="s">
        <v>44</v>
      </c>
      <c r="D824" s="1919"/>
      <c r="E824" s="1919"/>
      <c r="F824" s="1919"/>
      <c r="G824" s="1919"/>
      <c r="H824" s="1919"/>
      <c r="I824" s="77"/>
      <c r="J824" s="77"/>
      <c r="K824" s="77"/>
      <c r="L824" s="78"/>
      <c r="M824" s="1976"/>
      <c r="N824" s="1977"/>
      <c r="O824" s="1977"/>
      <c r="P824" s="1978"/>
      <c r="Q824" s="2120"/>
      <c r="R824" s="2120"/>
      <c r="S824" s="2120"/>
      <c r="T824" s="2120"/>
      <c r="U824" s="2120"/>
      <c r="V824" s="2120"/>
      <c r="W824" s="2120"/>
      <c r="X824" s="2120"/>
      <c r="Y824" s="2120"/>
      <c r="Z824" s="2120"/>
      <c r="AA824" s="2120"/>
      <c r="AB824" s="2120"/>
      <c r="AC824" s="1976"/>
      <c r="AD824" s="1977"/>
      <c r="AE824" s="1977"/>
      <c r="AF824" s="1978"/>
      <c r="AG824" s="1976"/>
      <c r="AH824" s="1977"/>
      <c r="AI824" s="1977"/>
      <c r="AJ824" s="197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971"/>
      <c r="CS824" s="61"/>
      <c r="CT824" s="61"/>
      <c r="CU824" s="61"/>
      <c r="CV824" s="61"/>
      <c r="CW824" s="61"/>
      <c r="CX824" s="61"/>
      <c r="CY824" s="61"/>
      <c r="CZ824" s="61"/>
      <c r="DA824" s="61"/>
      <c r="DB824" s="61"/>
      <c r="DC824" s="61"/>
      <c r="DD824" s="61"/>
      <c r="DE824" s="61"/>
      <c r="DF824" s="61"/>
    </row>
    <row r="825" spans="1:110" s="7" customFormat="1" ht="12.75" customHeight="1">
      <c r="A825" s="12"/>
      <c r="B825" s="12"/>
      <c r="C825" s="1921" t="s">
        <v>45</v>
      </c>
      <c r="D825" s="1919"/>
      <c r="E825" s="1919"/>
      <c r="F825" s="1919"/>
      <c r="G825" s="1919"/>
      <c r="H825" s="1919"/>
      <c r="I825" s="96"/>
      <c r="J825" s="96"/>
      <c r="K825" s="96"/>
      <c r="L825" s="97"/>
      <c r="M825" s="1976">
        <v>9.39</v>
      </c>
      <c r="N825" s="1977"/>
      <c r="O825" s="1977"/>
      <c r="P825" s="1978"/>
      <c r="Q825" s="2120"/>
      <c r="R825" s="2120"/>
      <c r="S825" s="2120"/>
      <c r="T825" s="2120"/>
      <c r="U825" s="2120">
        <v>12.45</v>
      </c>
      <c r="V825" s="2120"/>
      <c r="W825" s="2120"/>
      <c r="X825" s="2120"/>
      <c r="Y825" s="2120"/>
      <c r="Z825" s="2120"/>
      <c r="AA825" s="2120"/>
      <c r="AB825" s="2120"/>
      <c r="AC825" s="1976"/>
      <c r="AD825" s="1977"/>
      <c r="AE825" s="1977"/>
      <c r="AF825" s="1978"/>
      <c r="AG825" s="1976"/>
      <c r="AH825" s="1977"/>
      <c r="AI825" s="1977"/>
      <c r="AJ825" s="197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971"/>
      <c r="CS825" s="61"/>
      <c r="CT825" s="61"/>
      <c r="CU825" s="61"/>
      <c r="CV825" s="61"/>
      <c r="CW825" s="61"/>
      <c r="CX825" s="61"/>
      <c r="CY825" s="61"/>
      <c r="CZ825" s="61"/>
      <c r="DA825" s="61"/>
      <c r="DB825" s="61"/>
      <c r="DC825" s="61"/>
      <c r="DD825" s="61"/>
      <c r="DE825" s="61"/>
      <c r="DF825" s="61"/>
    </row>
    <row r="826" spans="1:110" s="7" customFormat="1" ht="12.75" customHeight="1">
      <c r="A826" s="12"/>
      <c r="B826" s="12"/>
      <c r="C826" s="1921" t="s">
        <v>803</v>
      </c>
      <c r="D826" s="1919"/>
      <c r="E826" s="1919"/>
      <c r="F826" s="1919"/>
      <c r="G826" s="1919"/>
      <c r="H826" s="1919"/>
      <c r="I826" s="96"/>
      <c r="J826" s="96"/>
      <c r="K826" s="96"/>
      <c r="L826" s="97"/>
      <c r="M826" s="1976">
        <v>5.03</v>
      </c>
      <c r="N826" s="1977"/>
      <c r="O826" s="1977"/>
      <c r="P826" s="1978"/>
      <c r="Q826" s="2120"/>
      <c r="R826" s="2120"/>
      <c r="S826" s="2120"/>
      <c r="T826" s="2120"/>
      <c r="U826" s="2120">
        <v>8.1999999999999993</v>
      </c>
      <c r="V826" s="2120"/>
      <c r="W826" s="2120"/>
      <c r="X826" s="2120"/>
      <c r="Y826" s="2120"/>
      <c r="Z826" s="2120"/>
      <c r="AA826" s="2120"/>
      <c r="AB826" s="2120"/>
      <c r="AC826" s="1976"/>
      <c r="AD826" s="1977"/>
      <c r="AE826" s="1977"/>
      <c r="AF826" s="1978"/>
      <c r="AG826" s="1976"/>
      <c r="AH826" s="1977"/>
      <c r="AI826" s="1977"/>
      <c r="AJ826" s="197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971"/>
      <c r="CS826" s="61"/>
      <c r="CT826" s="61"/>
      <c r="CU826" s="61"/>
      <c r="CV826" s="61"/>
      <c r="CW826" s="61"/>
      <c r="CX826" s="61"/>
      <c r="CY826" s="61"/>
      <c r="CZ826" s="61"/>
      <c r="DA826" s="61"/>
      <c r="DB826" s="61"/>
      <c r="DC826" s="61"/>
      <c r="DD826" s="61"/>
      <c r="DE826" s="61"/>
      <c r="DF826" s="61"/>
    </row>
    <row r="827" spans="1:110" s="7" customFormat="1" ht="12.75" customHeight="1">
      <c r="A827" s="12"/>
      <c r="B827" s="12"/>
      <c r="C827" s="1921" t="s">
        <v>483</v>
      </c>
      <c r="D827" s="1919"/>
      <c r="E827" s="1919"/>
      <c r="F827" s="1919"/>
      <c r="G827" s="1919"/>
      <c r="H827" s="1919"/>
      <c r="I827" s="96"/>
      <c r="J827" s="96"/>
      <c r="K827" s="96"/>
      <c r="L827" s="97"/>
      <c r="M827" s="1976">
        <v>21.59</v>
      </c>
      <c r="N827" s="1977"/>
      <c r="O827" s="1977"/>
      <c r="P827" s="1978"/>
      <c r="Q827" s="2120"/>
      <c r="R827" s="2120"/>
      <c r="S827" s="2120"/>
      <c r="T827" s="2120"/>
      <c r="U827" s="2120">
        <v>30.91</v>
      </c>
      <c r="V827" s="2120"/>
      <c r="W827" s="2120"/>
      <c r="X827" s="2120"/>
      <c r="Y827" s="2120"/>
      <c r="Z827" s="2120"/>
      <c r="AA827" s="2120"/>
      <c r="AB827" s="2120"/>
      <c r="AC827" s="1976"/>
      <c r="AD827" s="1977"/>
      <c r="AE827" s="1977"/>
      <c r="AF827" s="1978"/>
      <c r="AG827" s="1976"/>
      <c r="AH827" s="1977"/>
      <c r="AI827" s="1977"/>
      <c r="AJ827" s="197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971"/>
      <c r="CS827" s="61"/>
      <c r="CT827" s="61"/>
      <c r="CU827" s="61"/>
      <c r="CV827" s="61"/>
      <c r="CW827" s="61"/>
      <c r="CX827" s="61"/>
      <c r="CY827" s="61"/>
      <c r="CZ827" s="61"/>
      <c r="DA827" s="61"/>
      <c r="DB827" s="61"/>
      <c r="DC827" s="61"/>
      <c r="DD827" s="61"/>
      <c r="DE827" s="61"/>
      <c r="DF827" s="61"/>
    </row>
    <row r="828" spans="1:110" s="7" customFormat="1" ht="12.75" customHeight="1">
      <c r="A828" s="12"/>
      <c r="B828" s="12"/>
      <c r="C828" s="2151" t="s">
        <v>823</v>
      </c>
      <c r="D828" s="1919"/>
      <c r="E828" s="1919"/>
      <c r="F828" s="1919"/>
      <c r="G828" s="1919"/>
      <c r="H828" s="1919"/>
      <c r="I828" s="96"/>
      <c r="J828" s="96"/>
      <c r="K828" s="96"/>
      <c r="L828" s="97"/>
      <c r="M828" s="2120"/>
      <c r="N828" s="2120"/>
      <c r="O828" s="2120"/>
      <c r="P828" s="2120"/>
      <c r="Q828" s="2120"/>
      <c r="R828" s="2120"/>
      <c r="S828" s="2120"/>
      <c r="T828" s="2120"/>
      <c r="U828" s="2120"/>
      <c r="V828" s="2120"/>
      <c r="W828" s="2120"/>
      <c r="X828" s="2120"/>
      <c r="Y828" s="2120"/>
      <c r="Z828" s="2120"/>
      <c r="AA828" s="2120"/>
      <c r="AB828" s="2120"/>
      <c r="AC828" s="1976"/>
      <c r="AD828" s="1977"/>
      <c r="AE828" s="1977"/>
      <c r="AF828" s="1978"/>
      <c r="AG828" s="1976"/>
      <c r="AH828" s="1977"/>
      <c r="AI828" s="1977"/>
      <c r="AJ828" s="197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97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133" t="s">
        <v>339</v>
      </c>
      <c r="G829" s="2134"/>
      <c r="H829" s="2134"/>
      <c r="I829" s="2134"/>
      <c r="J829" s="2134"/>
      <c r="K829" s="2134"/>
      <c r="L829" s="2135"/>
      <c r="M829" s="2120"/>
      <c r="N829" s="2120"/>
      <c r="O829" s="2120"/>
      <c r="P829" s="2120"/>
      <c r="Q829" s="2120"/>
      <c r="R829" s="2120"/>
      <c r="S829" s="2120"/>
      <c r="T829" s="2120"/>
      <c r="U829" s="2120"/>
      <c r="V829" s="2120"/>
      <c r="W829" s="2120"/>
      <c r="X829" s="2120"/>
      <c r="Y829" s="2120"/>
      <c r="Z829" s="2120"/>
      <c r="AA829" s="2120"/>
      <c r="AB829" s="2120"/>
      <c r="AC829" s="1976"/>
      <c r="AD829" s="1977"/>
      <c r="AE829" s="1977"/>
      <c r="AF829" s="1978"/>
      <c r="AG829" s="1976"/>
      <c r="AH829" s="1977"/>
      <c r="AI829" s="1977"/>
      <c r="AJ829" s="197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971"/>
      <c r="CS829" s="61"/>
      <c r="CT829" s="61"/>
      <c r="CU829" s="61"/>
      <c r="CV829" s="61"/>
      <c r="CW829" s="61"/>
      <c r="CX829" s="61"/>
      <c r="CY829" s="61"/>
      <c r="CZ829" s="61"/>
      <c r="DA829" s="61"/>
      <c r="DB829" s="61"/>
      <c r="DC829" s="61"/>
      <c r="DD829" s="61"/>
      <c r="DE829" s="61"/>
      <c r="DF829" s="61"/>
    </row>
    <row r="830" spans="1:110" s="7" customFormat="1" ht="12.75" customHeight="1">
      <c r="A830" s="12"/>
      <c r="B830" s="12"/>
      <c r="C830" s="1979" t="s">
        <v>129</v>
      </c>
      <c r="D830" s="1980"/>
      <c r="E830" s="1980"/>
      <c r="F830" s="1980"/>
      <c r="G830" s="1980"/>
      <c r="H830" s="1980"/>
      <c r="I830" s="1980"/>
      <c r="J830" s="1980"/>
      <c r="K830" s="1980"/>
      <c r="L830" s="1981"/>
      <c r="M830" s="2145">
        <f>SUM(M823:P829)</f>
        <v>42.06</v>
      </c>
      <c r="N830" s="2145"/>
      <c r="O830" s="2145"/>
      <c r="P830" s="2145"/>
      <c r="Q830" s="2145">
        <f>SUM(Q823:T829)</f>
        <v>0</v>
      </c>
      <c r="R830" s="2145"/>
      <c r="S830" s="2145"/>
      <c r="T830" s="2145"/>
      <c r="U830" s="2145">
        <f>SUM(U823:X829)</f>
        <v>62.06</v>
      </c>
      <c r="V830" s="2145"/>
      <c r="W830" s="2145"/>
      <c r="X830" s="2145"/>
      <c r="Y830" s="2145">
        <f>SUM(Y823:AB829)</f>
        <v>0</v>
      </c>
      <c r="Z830" s="2145"/>
      <c r="AA830" s="2145"/>
      <c r="AB830" s="2145"/>
      <c r="AC830" s="2145">
        <f>SUM(AC823:AF829)</f>
        <v>0</v>
      </c>
      <c r="AD830" s="2145"/>
      <c r="AE830" s="2145"/>
      <c r="AF830" s="2145"/>
      <c r="AG830" s="2145">
        <f>SUM(AG823:AJ829)</f>
        <v>0</v>
      </c>
      <c r="AH830" s="2145"/>
      <c r="AI830" s="2145"/>
      <c r="AJ830" s="214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97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97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97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97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971"/>
      <c r="CS834" s="61"/>
      <c r="CT834" s="61"/>
      <c r="CU834" s="61"/>
      <c r="CV834" s="61"/>
      <c r="CW834" s="61"/>
      <c r="CX834" s="61"/>
      <c r="CY834" s="61"/>
      <c r="CZ834" s="61"/>
      <c r="DA834" s="61"/>
      <c r="DB834" s="61"/>
      <c r="DC834" s="61"/>
      <c r="DD834" s="61"/>
      <c r="DE834" s="61"/>
      <c r="DF834" s="61"/>
    </row>
    <row r="835" spans="1:110" s="7" customFormat="1" ht="12.75" customHeight="1">
      <c r="A835" s="12"/>
      <c r="B835" s="12"/>
      <c r="C835" s="2185" t="s">
        <v>2592</v>
      </c>
      <c r="D835" s="2186"/>
      <c r="E835" s="2186"/>
      <c r="F835" s="2186"/>
      <c r="G835" s="2186"/>
      <c r="H835" s="2186"/>
      <c r="I835" s="2186"/>
      <c r="J835" s="2186"/>
      <c r="K835" s="2186"/>
      <c r="L835" s="2186"/>
      <c r="M835" s="2186"/>
      <c r="N835" s="2186"/>
      <c r="O835" s="2186"/>
      <c r="P835" s="2186"/>
      <c r="Q835" s="2186"/>
      <c r="R835" s="2186"/>
      <c r="S835" s="2186"/>
      <c r="T835" s="2186"/>
      <c r="U835" s="2186"/>
      <c r="V835" s="2186"/>
      <c r="W835" s="2186"/>
      <c r="X835" s="2186"/>
      <c r="Y835" s="2186"/>
      <c r="Z835" s="2186"/>
      <c r="AA835" s="2186"/>
      <c r="AB835" s="2186"/>
      <c r="AC835" s="2186"/>
      <c r="AD835" s="2186"/>
      <c r="AE835" s="2186"/>
      <c r="AF835" s="2186"/>
      <c r="AG835" s="2186"/>
      <c r="AH835" s="2186"/>
      <c r="AI835" s="2186"/>
      <c r="AJ835" s="218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971"/>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1316</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97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095"/>
      <c r="CS837" s="107"/>
      <c r="CT837" s="107"/>
      <c r="CU837" s="107"/>
      <c r="CV837" s="107"/>
      <c r="CW837" s="107"/>
      <c r="CX837" s="107"/>
      <c r="CY837" s="107"/>
      <c r="CZ837" s="107"/>
      <c r="DA837" s="107"/>
      <c r="DB837" s="107"/>
      <c r="DC837" s="107"/>
      <c r="DD837" s="107"/>
      <c r="DE837" s="107"/>
      <c r="DF837" s="107"/>
    </row>
    <row r="838" spans="1:110" s="51" customFormat="1" ht="13.8">
      <c r="A838" s="50" t="s">
        <v>491</v>
      </c>
      <c r="B838" s="12"/>
      <c r="C838" s="50" t="s">
        <v>801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09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095"/>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01">
        <v>3120</v>
      </c>
      <c r="X840" s="2001"/>
      <c r="Y840" s="2001"/>
      <c r="Z840" s="2001"/>
      <c r="AA840" s="2001"/>
      <c r="AB840" s="2001"/>
      <c r="AC840" s="200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09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01">
        <v>6000</v>
      </c>
      <c r="X841" s="2001"/>
      <c r="Y841" s="2001"/>
      <c r="Z841" s="2001"/>
      <c r="AA841" s="2001"/>
      <c r="AB841" s="2001"/>
      <c r="AC841" s="200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09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01">
        <v>27800</v>
      </c>
      <c r="X842" s="2001"/>
      <c r="Y842" s="2001"/>
      <c r="Z842" s="2001"/>
      <c r="AA842" s="2001"/>
      <c r="AB842" s="2001"/>
      <c r="AC842" s="200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660</v>
      </c>
      <c r="BP842" s="503">
        <v>278397</v>
      </c>
      <c r="BQ842" s="503">
        <v>320989</v>
      </c>
      <c r="BR842" s="503">
        <v>387200</v>
      </c>
      <c r="BS842" s="503">
        <v>495616</v>
      </c>
      <c r="BT842" s="503">
        <v>552147</v>
      </c>
      <c r="BU842" s="56"/>
      <c r="BV842" s="36" t="s">
        <v>660</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09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01">
        <v>116000</v>
      </c>
      <c r="X843" s="2001"/>
      <c r="Y843" s="2001"/>
      <c r="Z843" s="2001"/>
      <c r="AA843" s="2001"/>
      <c r="AB843" s="2001"/>
      <c r="AC843" s="200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714</v>
      </c>
      <c r="BP843" s="505">
        <v>278972</v>
      </c>
      <c r="BQ843" s="505">
        <v>321652</v>
      </c>
      <c r="BR843" s="505">
        <v>388000</v>
      </c>
      <c r="BS843" s="505">
        <v>496640</v>
      </c>
      <c r="BT843" s="505">
        <v>553288</v>
      </c>
      <c r="BU843" s="56"/>
      <c r="BV843" s="36" t="s">
        <v>714</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09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152" t="s">
        <v>2593</v>
      </c>
      <c r="N844" s="2134"/>
      <c r="O844" s="2134"/>
      <c r="P844" s="2134"/>
      <c r="Q844" s="2134"/>
      <c r="R844" s="2134"/>
      <c r="S844" s="2134"/>
      <c r="T844" s="2134"/>
      <c r="U844" s="2134"/>
      <c r="V844" s="2135"/>
      <c r="W844" s="2001">
        <v>70037</v>
      </c>
      <c r="X844" s="2001"/>
      <c r="Y844" s="2001"/>
      <c r="Z844" s="2001"/>
      <c r="AA844" s="2001"/>
      <c r="AB844" s="2001"/>
      <c r="AC844" s="200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53">
        <f>ROUNDDOWN(BC932*2,2)</f>
        <v>0</v>
      </c>
      <c r="BJ844" s="2253"/>
      <c r="BK844" s="2253"/>
      <c r="BL844" s="2253"/>
      <c r="BM844" s="56"/>
      <c r="BN844" s="56"/>
      <c r="BO844" s="36" t="s">
        <v>715</v>
      </c>
      <c r="BP844" s="503">
        <v>240434</v>
      </c>
      <c r="BQ844" s="503">
        <v>277218</v>
      </c>
      <c r="BR844" s="503">
        <v>334400</v>
      </c>
      <c r="BS844" s="503">
        <v>428032</v>
      </c>
      <c r="BT844" s="503">
        <v>476854</v>
      </c>
      <c r="BU844" s="56"/>
      <c r="BV844" s="36" t="s">
        <v>715</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09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014">
        <f>SUM(W840:AC844)</f>
        <v>222957</v>
      </c>
      <c r="X845" s="2015"/>
      <c r="Y845" s="2015"/>
      <c r="Z845" s="2015"/>
      <c r="AA845" s="2015"/>
      <c r="AB845" s="2015"/>
      <c r="AC845" s="201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716</v>
      </c>
      <c r="BP845" s="505">
        <v>268043</v>
      </c>
      <c r="BQ845" s="505">
        <v>309051</v>
      </c>
      <c r="BR845" s="505">
        <v>372800</v>
      </c>
      <c r="BS845" s="505">
        <v>477184</v>
      </c>
      <c r="BT845" s="505">
        <v>531613</v>
      </c>
      <c r="BU845" s="56"/>
      <c r="BV845" s="36" t="s">
        <v>716</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095"/>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717</v>
      </c>
      <c r="BP846" s="503">
        <v>530910</v>
      </c>
      <c r="BQ846" s="503">
        <v>612134</v>
      </c>
      <c r="BR846" s="503">
        <v>738400</v>
      </c>
      <c r="BS846" s="503">
        <v>945152</v>
      </c>
      <c r="BT846" s="503">
        <v>1052958</v>
      </c>
      <c r="BU846" s="56"/>
      <c r="BV846" s="36" t="s">
        <v>717</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09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1979" t="s">
        <v>351</v>
      </c>
      <c r="K847" s="1980"/>
      <c r="L847" s="1980"/>
      <c r="M847" s="1980"/>
      <c r="N847" s="1980"/>
      <c r="O847" s="1980"/>
      <c r="P847" s="1980"/>
      <c r="Q847" s="1980"/>
      <c r="R847" s="1980"/>
      <c r="S847" s="1980"/>
      <c r="T847" s="1980"/>
      <c r="U847" s="1980"/>
      <c r="V847" s="1981"/>
      <c r="W847" s="1880">
        <v>87360</v>
      </c>
      <c r="X847" s="1881"/>
      <c r="Y847" s="1881"/>
      <c r="Z847" s="1881"/>
      <c r="AA847" s="1881"/>
      <c r="AB847" s="1881"/>
      <c r="AC847" s="1882"/>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09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09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585</v>
      </c>
      <c r="D849" s="12"/>
      <c r="E849" s="12"/>
      <c r="F849" s="12"/>
      <c r="G849" s="12"/>
      <c r="H849" s="12"/>
      <c r="I849" s="12"/>
      <c r="J849" s="76" t="s">
        <v>358</v>
      </c>
      <c r="K849" s="77"/>
      <c r="L849" s="77"/>
      <c r="M849" s="77"/>
      <c r="N849" s="77"/>
      <c r="O849" s="77"/>
      <c r="P849" s="77"/>
      <c r="Q849" s="77"/>
      <c r="R849" s="77"/>
      <c r="S849" s="77"/>
      <c r="T849" s="77"/>
      <c r="U849" s="77"/>
      <c r="V849" s="78"/>
      <c r="W849" s="2136"/>
      <c r="X849" s="2136"/>
      <c r="Y849" s="2136"/>
      <c r="Z849" s="2136"/>
      <c r="AA849" s="2136"/>
      <c r="AB849" s="2136"/>
      <c r="AC849" s="213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095"/>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136"/>
      <c r="X850" s="2136"/>
      <c r="Y850" s="2136"/>
      <c r="Z850" s="2136"/>
      <c r="AA850" s="2136"/>
      <c r="AB850" s="2136"/>
      <c r="AC850" s="213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724</v>
      </c>
      <c r="BP850" s="503">
        <v>311183</v>
      </c>
      <c r="BQ850" s="503">
        <v>358791</v>
      </c>
      <c r="BR850" s="503">
        <v>432800</v>
      </c>
      <c r="BS850" s="503">
        <v>553984</v>
      </c>
      <c r="BT850" s="503">
        <v>617173</v>
      </c>
      <c r="BU850" s="56"/>
      <c r="BV850" s="36" t="s">
        <v>724</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095"/>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483</v>
      </c>
      <c r="K851" s="77"/>
      <c r="L851" s="77"/>
      <c r="M851" s="77"/>
      <c r="N851" s="77"/>
      <c r="O851" s="77"/>
      <c r="P851" s="77"/>
      <c r="Q851" s="77"/>
      <c r="R851" s="77"/>
      <c r="S851" s="77"/>
      <c r="T851" s="77"/>
      <c r="U851" s="77"/>
      <c r="V851" s="78"/>
      <c r="W851" s="2136">
        <v>53099</v>
      </c>
      <c r="X851" s="2136"/>
      <c r="Y851" s="2136"/>
      <c r="Z851" s="2136"/>
      <c r="AA851" s="2136"/>
      <c r="AB851" s="2136"/>
      <c r="AC851" s="213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158"/>
      <c r="BH851" s="2158"/>
      <c r="BI851" s="2158"/>
      <c r="BJ851" s="2158"/>
      <c r="BK851" s="2158"/>
      <c r="BL851" s="2158"/>
      <c r="BM851" s="56"/>
      <c r="BN851" s="56"/>
      <c r="BO851" s="36" t="s">
        <v>725</v>
      </c>
      <c r="BP851" s="504">
        <v>440028</v>
      </c>
      <c r="BQ851" s="504">
        <v>507348</v>
      </c>
      <c r="BR851" s="504">
        <v>612000</v>
      </c>
      <c r="BS851" s="504">
        <v>783360</v>
      </c>
      <c r="BT851" s="504">
        <v>872712</v>
      </c>
      <c r="BU851" s="56"/>
      <c r="BV851" s="36" t="s">
        <v>725</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095"/>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645</v>
      </c>
      <c r="K852" s="77"/>
      <c r="L852" s="77"/>
      <c r="M852" s="77"/>
      <c r="N852" s="77"/>
      <c r="O852" s="77"/>
      <c r="P852" s="77"/>
      <c r="Q852" s="77"/>
      <c r="R852" s="77"/>
      <c r="S852" s="77"/>
      <c r="T852" s="77"/>
      <c r="U852" s="77"/>
      <c r="V852" s="78"/>
      <c r="W852" s="2136">
        <v>174688</v>
      </c>
      <c r="X852" s="2136"/>
      <c r="Y852" s="2136"/>
      <c r="Z852" s="2136"/>
      <c r="AA852" s="2136"/>
      <c r="AB852" s="2136"/>
      <c r="AC852" s="213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726</v>
      </c>
      <c r="BP852" s="503">
        <v>311183</v>
      </c>
      <c r="BQ852" s="503">
        <v>358791</v>
      </c>
      <c r="BR852" s="503">
        <v>432800</v>
      </c>
      <c r="BS852" s="503">
        <v>553984</v>
      </c>
      <c r="BT852" s="503">
        <v>617173</v>
      </c>
      <c r="BU852" s="56"/>
      <c r="BV852" s="36" t="s">
        <v>726</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095"/>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153">
        <f>SUM(W849:AC852)</f>
        <v>227787</v>
      </c>
      <c r="X853" s="2153"/>
      <c r="Y853" s="2153"/>
      <c r="Z853" s="2153"/>
      <c r="AA853" s="2153"/>
      <c r="AB853" s="2153"/>
      <c r="AC853" s="215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727</v>
      </c>
      <c r="BP853" s="505">
        <v>246186</v>
      </c>
      <c r="BQ853" s="505">
        <v>283850</v>
      </c>
      <c r="BR853" s="505">
        <v>342400</v>
      </c>
      <c r="BS853" s="505">
        <v>438272</v>
      </c>
      <c r="BT853" s="505">
        <v>488262</v>
      </c>
      <c r="BU853" s="56"/>
      <c r="BV853" s="36" t="s">
        <v>727</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09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146">
        <f>SUM(AZ821:AZ849)</f>
        <v>7.5000000000000011E-2</v>
      </c>
      <c r="BA854" s="2146"/>
      <c r="BB854" s="21"/>
      <c r="BC854" s="21"/>
      <c r="BD854" s="21"/>
      <c r="BO854" s="36" t="s">
        <v>728</v>
      </c>
      <c r="BP854" s="503">
        <v>278972</v>
      </c>
      <c r="BQ854" s="503">
        <v>321652</v>
      </c>
      <c r="BR854" s="503">
        <v>388000</v>
      </c>
      <c r="BS854" s="503">
        <v>496640</v>
      </c>
      <c r="BT854" s="503">
        <v>553288</v>
      </c>
      <c r="BU854" s="56"/>
      <c r="BV854" s="36" t="s">
        <v>728</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095"/>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352</v>
      </c>
      <c r="D855" s="12"/>
      <c r="E855" s="12"/>
      <c r="F855" s="12"/>
      <c r="G855" s="12"/>
      <c r="H855" s="12"/>
      <c r="I855" s="12"/>
      <c r="J855" s="76" t="s">
        <v>644</v>
      </c>
      <c r="K855" s="77"/>
      <c r="L855" s="77"/>
      <c r="M855" s="77"/>
      <c r="N855" s="77"/>
      <c r="O855" s="77"/>
      <c r="P855" s="77"/>
      <c r="Q855" s="77"/>
      <c r="R855" s="77"/>
      <c r="S855" s="77"/>
      <c r="T855" s="77"/>
      <c r="U855" s="77"/>
      <c r="V855" s="78"/>
      <c r="W855" s="2003">
        <v>148397</v>
      </c>
      <c r="X855" s="2004"/>
      <c r="Y855" s="2004"/>
      <c r="Z855" s="2004"/>
      <c r="AA855" s="2004"/>
      <c r="AB855" s="2004"/>
      <c r="AC855" s="200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729</v>
      </c>
      <c r="BP855" s="505">
        <v>278972</v>
      </c>
      <c r="BQ855" s="505">
        <v>321652</v>
      </c>
      <c r="BR855" s="505">
        <v>388000</v>
      </c>
      <c r="BS855" s="505">
        <v>496640</v>
      </c>
      <c r="BT855" s="505">
        <v>553288</v>
      </c>
      <c r="BU855" s="56"/>
      <c r="BV855" s="36" t="s">
        <v>729</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095"/>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1858</v>
      </c>
      <c r="K856" s="77"/>
      <c r="L856" s="77"/>
      <c r="M856" s="77"/>
      <c r="N856" s="77"/>
      <c r="O856" s="77"/>
      <c r="P856" s="77"/>
      <c r="Q856" s="77"/>
      <c r="R856" s="77"/>
      <c r="S856" s="77"/>
      <c r="T856" s="2192">
        <v>4</v>
      </c>
      <c r="U856" s="2193"/>
      <c r="V856" s="2194"/>
      <c r="W856" s="929"/>
      <c r="X856" s="930"/>
      <c r="Y856" s="930"/>
      <c r="Z856" s="930"/>
      <c r="AA856" s="930"/>
      <c r="AB856" s="930"/>
      <c r="AC856" s="931"/>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730</v>
      </c>
      <c r="BP856" s="503">
        <v>307732</v>
      </c>
      <c r="BQ856" s="503">
        <v>354812</v>
      </c>
      <c r="BR856" s="503">
        <v>428000</v>
      </c>
      <c r="BS856" s="503">
        <v>547840</v>
      </c>
      <c r="BT856" s="503">
        <v>610328</v>
      </c>
      <c r="BU856" s="56"/>
      <c r="BV856" s="36" t="s">
        <v>730</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095"/>
      <c r="CS856" s="107"/>
      <c r="CT856" s="107"/>
      <c r="CU856" s="107"/>
      <c r="CV856" s="107"/>
      <c r="CW856" s="107"/>
      <c r="CX856" s="107"/>
      <c r="CY856" s="107"/>
      <c r="CZ856" s="107"/>
      <c r="DA856" s="107"/>
      <c r="DB856" s="107"/>
      <c r="DC856" s="107"/>
      <c r="DD856" s="107"/>
      <c r="DE856" s="107"/>
      <c r="DF856" s="107"/>
    </row>
    <row r="857" spans="1:110" ht="12.75" customHeight="1">
      <c r="C857" s="50"/>
      <c r="J857" s="76" t="s">
        <v>643</v>
      </c>
      <c r="K857" s="77"/>
      <c r="L857" s="77"/>
      <c r="M857" s="77"/>
      <c r="N857" s="77"/>
      <c r="O857" s="77"/>
      <c r="P857" s="77"/>
      <c r="Q857" s="77"/>
      <c r="R857" s="77"/>
      <c r="S857" s="77"/>
      <c r="T857" s="77"/>
      <c r="U857" s="77"/>
      <c r="V857" s="78"/>
      <c r="W857" s="2003">
        <v>115306</v>
      </c>
      <c r="X857" s="2004"/>
      <c r="Y857" s="2004"/>
      <c r="Z857" s="2004"/>
      <c r="AA857" s="2004"/>
      <c r="AB857" s="2004"/>
      <c r="AC857" s="200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971"/>
      <c r="CS857" s="61"/>
      <c r="CT857" s="61"/>
      <c r="CU857" s="61"/>
      <c r="CV857" s="61"/>
      <c r="CW857" s="61"/>
      <c r="CX857" s="61"/>
      <c r="CY857" s="61"/>
      <c r="CZ857" s="61"/>
      <c r="DA857" s="61"/>
      <c r="DB857" s="61"/>
      <c r="DC857" s="61"/>
      <c r="DD857" s="61"/>
      <c r="DE857" s="61"/>
      <c r="DF857" s="61"/>
    </row>
    <row r="858" spans="1:110" s="711" customFormat="1" ht="12.75" customHeight="1">
      <c r="C858" s="50"/>
      <c r="J858" s="185" t="s">
        <v>1859</v>
      </c>
      <c r="K858" s="77"/>
      <c r="L858" s="77"/>
      <c r="M858" s="77"/>
      <c r="N858" s="77"/>
      <c r="O858" s="77"/>
      <c r="P858" s="77"/>
      <c r="Q858" s="77"/>
      <c r="R858" s="77"/>
      <c r="S858" s="77"/>
      <c r="T858" s="2192">
        <v>2</v>
      </c>
      <c r="U858" s="2193"/>
      <c r="V858" s="2194"/>
      <c r="W858" s="929"/>
      <c r="X858" s="930"/>
      <c r="Y858" s="930"/>
      <c r="Z858" s="930"/>
      <c r="AA858" s="930"/>
      <c r="AB858" s="930"/>
      <c r="AC858" s="931"/>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971"/>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152" t="s">
        <v>2594</v>
      </c>
      <c r="N859" s="2134"/>
      <c r="O859" s="2134"/>
      <c r="P859" s="2134"/>
      <c r="Q859" s="2134"/>
      <c r="R859" s="2134"/>
      <c r="S859" s="2134"/>
      <c r="T859" s="2134"/>
      <c r="U859" s="2134"/>
      <c r="V859" s="2135"/>
      <c r="W859" s="2003">
        <v>132248</v>
      </c>
      <c r="X859" s="2004"/>
      <c r="Y859" s="2004"/>
      <c r="Z859" s="2004"/>
      <c r="AA859" s="2004"/>
      <c r="AB859" s="2004"/>
      <c r="AC859" s="200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971"/>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83">
        <f>SUM(W855:AC859)</f>
        <v>395951</v>
      </c>
      <c r="X860" s="2284"/>
      <c r="Y860" s="2284"/>
      <c r="Z860" s="2284"/>
      <c r="AA860" s="2284"/>
      <c r="AB860" s="2284"/>
      <c r="AC860" s="2285"/>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97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003">
        <v>170000</v>
      </c>
      <c r="X861" s="2004"/>
      <c r="Y861" s="2004"/>
      <c r="Z861" s="2004"/>
      <c r="AA861" s="2004"/>
      <c r="AB861" s="2004"/>
      <c r="AC861" s="200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971"/>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971"/>
      <c r="CS862" s="61"/>
      <c r="CT862" s="61"/>
      <c r="CU862" s="61"/>
      <c r="CV862" s="61"/>
      <c r="CW862" s="61"/>
      <c r="CX862" s="61"/>
      <c r="CY862" s="61"/>
      <c r="CZ862" s="61"/>
      <c r="DA862" s="61"/>
      <c r="DB862" s="61"/>
      <c r="DC862" s="61"/>
      <c r="DD862" s="61"/>
      <c r="DE862" s="61"/>
      <c r="DF862" s="61"/>
    </row>
    <row r="863" spans="1:110" ht="12.75" customHeight="1">
      <c r="C863" s="50" t="s">
        <v>404</v>
      </c>
      <c r="J863" s="76" t="s">
        <v>642</v>
      </c>
      <c r="K863" s="77"/>
      <c r="L863" s="77"/>
      <c r="M863" s="77"/>
      <c r="N863" s="77"/>
      <c r="O863" s="77"/>
      <c r="P863" s="77"/>
      <c r="Q863" s="77"/>
      <c r="R863" s="77"/>
      <c r="S863" s="77"/>
      <c r="T863" s="77"/>
      <c r="U863" s="77"/>
      <c r="V863" s="78"/>
      <c r="W863" s="2001"/>
      <c r="X863" s="2001"/>
      <c r="Y863" s="2001"/>
      <c r="Z863" s="2001"/>
      <c r="AA863" s="2001"/>
      <c r="AB863" s="2001"/>
      <c r="AC863" s="2001"/>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971"/>
      <c r="CS863" s="61"/>
      <c r="CT863" s="61"/>
      <c r="CU863" s="61"/>
      <c r="CV863" s="61"/>
      <c r="CW863" s="61"/>
      <c r="CX863" s="61"/>
      <c r="CY863" s="61"/>
      <c r="CZ863" s="61"/>
      <c r="DA863" s="61"/>
      <c r="DB863" s="61"/>
      <c r="DC863" s="61"/>
      <c r="DD863" s="61"/>
      <c r="DE863" s="61"/>
      <c r="DF863" s="61"/>
    </row>
    <row r="864" spans="1:110" ht="12.75" customHeight="1">
      <c r="J864" s="76" t="s">
        <v>546</v>
      </c>
      <c r="K864" s="77"/>
      <c r="L864" s="77"/>
      <c r="M864" s="77"/>
      <c r="N864" s="77"/>
      <c r="O864" s="77"/>
      <c r="P864" s="77"/>
      <c r="Q864" s="77"/>
      <c r="R864" s="77"/>
      <c r="S864" s="77"/>
      <c r="T864" s="77"/>
      <c r="U864" s="77"/>
      <c r="V864" s="78"/>
      <c r="W864" s="2001">
        <v>103160</v>
      </c>
      <c r="X864" s="2001"/>
      <c r="Y864" s="2001"/>
      <c r="Z864" s="2001"/>
      <c r="AA864" s="2001"/>
      <c r="AB864" s="2001"/>
      <c r="AC864" s="2001"/>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971"/>
      <c r="CS864" s="61"/>
      <c r="CT864" s="61"/>
      <c r="CU864" s="61"/>
      <c r="CV864" s="61"/>
      <c r="CW864" s="61"/>
      <c r="CX864" s="61"/>
      <c r="CY864" s="61"/>
      <c r="CZ864" s="61"/>
      <c r="DA864" s="61"/>
      <c r="DB864" s="61"/>
      <c r="DC864" s="61"/>
      <c r="DD864" s="61"/>
      <c r="DE864" s="61"/>
      <c r="DF864" s="61"/>
    </row>
    <row r="865" spans="3:110" ht="12.75" customHeight="1">
      <c r="J865" s="76" t="s">
        <v>545</v>
      </c>
      <c r="K865" s="77"/>
      <c r="L865" s="77"/>
      <c r="M865" s="77"/>
      <c r="N865" s="77"/>
      <c r="O865" s="77"/>
      <c r="P865" s="77"/>
      <c r="Q865" s="77"/>
      <c r="R865" s="77"/>
      <c r="S865" s="77"/>
      <c r="T865" s="77"/>
      <c r="U865" s="77"/>
      <c r="V865" s="78"/>
      <c r="W865" s="2001">
        <v>48257</v>
      </c>
      <c r="X865" s="2001"/>
      <c r="Y865" s="2001"/>
      <c r="Z865" s="2001"/>
      <c r="AA865" s="2001"/>
      <c r="AB865" s="2001"/>
      <c r="AC865" s="2001"/>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971"/>
      <c r="CS865" s="61"/>
      <c r="CT865" s="61"/>
      <c r="CU865" s="61"/>
      <c r="CV865" s="61"/>
      <c r="CW865" s="61"/>
      <c r="CX865" s="61"/>
      <c r="CY865" s="61"/>
      <c r="CZ865" s="61"/>
      <c r="DA865" s="61"/>
      <c r="DB865" s="61"/>
      <c r="DC865" s="61"/>
      <c r="DD865" s="61"/>
      <c r="DE865" s="61"/>
      <c r="DF865" s="61"/>
    </row>
    <row r="866" spans="3:110" ht="12.75" customHeight="1">
      <c r="J866" s="76" t="s">
        <v>544</v>
      </c>
      <c r="K866" s="77"/>
      <c r="L866" s="77"/>
      <c r="M866" s="77"/>
      <c r="N866" s="77"/>
      <c r="O866" s="77"/>
      <c r="P866" s="77"/>
      <c r="Q866" s="77"/>
      <c r="R866" s="77"/>
      <c r="S866" s="77"/>
      <c r="T866" s="77"/>
      <c r="U866" s="77"/>
      <c r="V866" s="78"/>
      <c r="W866" s="2001"/>
      <c r="X866" s="2001"/>
      <c r="Y866" s="2001"/>
      <c r="Z866" s="2001"/>
      <c r="AA866" s="2001"/>
      <c r="AB866" s="2001"/>
      <c r="AC866" s="2001"/>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971"/>
      <c r="CS866" s="61"/>
      <c r="CT866" s="61"/>
      <c r="CU866" s="61"/>
      <c r="CV866" s="61"/>
      <c r="CW866" s="61"/>
      <c r="CX866" s="61"/>
      <c r="CY866" s="61"/>
      <c r="CZ866" s="61"/>
      <c r="DA866" s="61"/>
      <c r="DB866" s="61"/>
      <c r="DC866" s="61"/>
      <c r="DD866" s="61"/>
      <c r="DE866" s="61"/>
      <c r="DF866" s="61"/>
    </row>
    <row r="867" spans="3:110" ht="12.75" customHeight="1">
      <c r="J867" s="76" t="s">
        <v>543</v>
      </c>
      <c r="K867" s="77"/>
      <c r="L867" s="77"/>
      <c r="M867" s="77"/>
      <c r="N867" s="77"/>
      <c r="O867" s="77"/>
      <c r="P867" s="77"/>
      <c r="Q867" s="77"/>
      <c r="R867" s="77"/>
      <c r="S867" s="77"/>
      <c r="T867" s="77"/>
      <c r="U867" s="77"/>
      <c r="V867" s="78"/>
      <c r="W867" s="2001"/>
      <c r="X867" s="2001"/>
      <c r="Y867" s="2001"/>
      <c r="Z867" s="2001"/>
      <c r="AA867" s="2001"/>
      <c r="AB867" s="2001"/>
      <c r="AC867" s="200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971"/>
      <c r="CS867" s="61"/>
      <c r="CT867" s="61"/>
      <c r="CU867" s="61"/>
      <c r="CV867" s="61"/>
      <c r="CW867" s="61"/>
      <c r="CX867" s="61"/>
      <c r="CY867" s="61"/>
      <c r="CZ867" s="61"/>
      <c r="DA867" s="61"/>
      <c r="DB867" s="61"/>
      <c r="DC867" s="61"/>
      <c r="DD867" s="61"/>
      <c r="DE867" s="61"/>
      <c r="DF867" s="61"/>
    </row>
    <row r="868" spans="3:110" ht="12.75" customHeight="1">
      <c r="J868" s="76" t="s">
        <v>542</v>
      </c>
      <c r="K868" s="77"/>
      <c r="L868" s="77"/>
      <c r="M868" s="77"/>
      <c r="N868" s="77"/>
      <c r="O868" s="77"/>
      <c r="P868" s="77"/>
      <c r="Q868" s="77"/>
      <c r="R868" s="77"/>
      <c r="S868" s="77"/>
      <c r="T868" s="77"/>
      <c r="U868" s="77"/>
      <c r="V868" s="78"/>
      <c r="W868" s="2001"/>
      <c r="X868" s="2001"/>
      <c r="Y868" s="2001"/>
      <c r="Z868" s="2001"/>
      <c r="AA868" s="2001"/>
      <c r="AB868" s="2001"/>
      <c r="AC868" s="200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971"/>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152" t="s">
        <v>2595</v>
      </c>
      <c r="N869" s="2134"/>
      <c r="O869" s="2134"/>
      <c r="P869" s="2134"/>
      <c r="Q869" s="2134"/>
      <c r="R869" s="2134"/>
      <c r="S869" s="2134"/>
      <c r="T869" s="2134"/>
      <c r="U869" s="2134"/>
      <c r="V869" s="2135"/>
      <c r="W869" s="2001">
        <v>19136</v>
      </c>
      <c r="X869" s="2001"/>
      <c r="Y869" s="2001"/>
      <c r="Z869" s="2001"/>
      <c r="AA869" s="2001"/>
      <c r="AB869" s="2001"/>
      <c r="AC869" s="2001"/>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97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002">
        <f>SUM(W863:AC869)</f>
        <v>170553</v>
      </c>
      <c r="X870" s="2002"/>
      <c r="Y870" s="2002"/>
      <c r="Z870" s="2002"/>
      <c r="AA870" s="2002"/>
      <c r="AB870" s="2002"/>
      <c r="AC870" s="200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97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971"/>
      <c r="CS871" s="61"/>
      <c r="CT871" s="61"/>
      <c r="CU871" s="61"/>
      <c r="CV871" s="61"/>
      <c r="CW871" s="61"/>
      <c r="CX871" s="61"/>
      <c r="CY871" s="61"/>
      <c r="CZ871" s="61"/>
      <c r="DA871" s="61"/>
      <c r="DB871" s="61"/>
      <c r="DC871" s="61"/>
      <c r="DD871" s="61"/>
      <c r="DE871" s="61"/>
      <c r="DF871" s="61"/>
    </row>
    <row r="872" spans="3:110" ht="12.75" customHeight="1">
      <c r="C872" s="50" t="s">
        <v>1409</v>
      </c>
      <c r="J872" s="76" t="s">
        <v>174</v>
      </c>
      <c r="K872" s="77"/>
      <c r="L872" s="77"/>
      <c r="M872" s="2152" t="s">
        <v>2596</v>
      </c>
      <c r="N872" s="2134"/>
      <c r="O872" s="2134"/>
      <c r="P872" s="2134"/>
      <c r="Q872" s="2134"/>
      <c r="R872" s="2134"/>
      <c r="S872" s="2134"/>
      <c r="T872" s="2134"/>
      <c r="U872" s="2134"/>
      <c r="V872" s="2135"/>
      <c r="W872" s="1880">
        <v>2500</v>
      </c>
      <c r="X872" s="1881"/>
      <c r="Y872" s="1881"/>
      <c r="Z872" s="1881"/>
      <c r="AA872" s="1881"/>
      <c r="AB872" s="1881"/>
      <c r="AC872" s="1882"/>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971"/>
      <c r="CS872" s="61"/>
      <c r="CT872" s="61"/>
      <c r="CU872" s="61"/>
      <c r="CV872" s="61"/>
      <c r="CW872" s="61"/>
      <c r="CX872" s="61"/>
      <c r="CY872" s="61"/>
      <c r="CZ872" s="61"/>
      <c r="DA872" s="61"/>
      <c r="DB872" s="61"/>
      <c r="DC872" s="61"/>
      <c r="DD872" s="61"/>
      <c r="DE872" s="61"/>
      <c r="DF872" s="61"/>
    </row>
    <row r="873" spans="3:110" ht="12.75" customHeight="1">
      <c r="C873" s="50" t="s">
        <v>1410</v>
      </c>
      <c r="J873" s="76" t="s">
        <v>174</v>
      </c>
      <c r="K873" s="77"/>
      <c r="L873" s="77"/>
      <c r="M873" s="2133" t="s">
        <v>339</v>
      </c>
      <c r="N873" s="2134"/>
      <c r="O873" s="2134"/>
      <c r="P873" s="2134"/>
      <c r="Q873" s="2134"/>
      <c r="R873" s="2134"/>
      <c r="S873" s="2134"/>
      <c r="T873" s="2134"/>
      <c r="U873" s="2134"/>
      <c r="V873" s="2135"/>
      <c r="W873" s="1880"/>
      <c r="X873" s="1881"/>
      <c r="Y873" s="1881"/>
      <c r="Z873" s="1881"/>
      <c r="AA873" s="1881"/>
      <c r="AB873" s="1881"/>
      <c r="AC873" s="1882"/>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971"/>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33" t="s">
        <v>339</v>
      </c>
      <c r="N874" s="2134"/>
      <c r="O874" s="2134"/>
      <c r="P874" s="2134"/>
      <c r="Q874" s="2134"/>
      <c r="R874" s="2134"/>
      <c r="S874" s="2134"/>
      <c r="T874" s="2134"/>
      <c r="U874" s="2134"/>
      <c r="V874" s="2135"/>
      <c r="W874" s="1880"/>
      <c r="X874" s="1881"/>
      <c r="Y874" s="1881"/>
      <c r="Z874" s="1881"/>
      <c r="AA874" s="1881"/>
      <c r="AB874" s="1881"/>
      <c r="AC874" s="188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971"/>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33" t="s">
        <v>339</v>
      </c>
      <c r="N875" s="2134"/>
      <c r="O875" s="2134"/>
      <c r="P875" s="2134"/>
      <c r="Q875" s="2134"/>
      <c r="R875" s="2134"/>
      <c r="S875" s="2134"/>
      <c r="T875" s="2134"/>
      <c r="U875" s="2134"/>
      <c r="V875" s="2135"/>
      <c r="W875" s="1880"/>
      <c r="X875" s="1881"/>
      <c r="Y875" s="1881"/>
      <c r="Z875" s="1881"/>
      <c r="AA875" s="1881"/>
      <c r="AB875" s="1881"/>
      <c r="AC875" s="188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971"/>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33" t="s">
        <v>339</v>
      </c>
      <c r="N876" s="2134"/>
      <c r="O876" s="2134"/>
      <c r="P876" s="2134"/>
      <c r="Q876" s="2134"/>
      <c r="R876" s="2134"/>
      <c r="S876" s="2134"/>
      <c r="T876" s="2134"/>
      <c r="U876" s="2134"/>
      <c r="V876" s="2135"/>
      <c r="W876" s="1880"/>
      <c r="X876" s="1881"/>
      <c r="Y876" s="1881"/>
      <c r="Z876" s="1881"/>
      <c r="AA876" s="1881"/>
      <c r="AB876" s="1881"/>
      <c r="AC876" s="188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97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14">
        <f>SUM(W872:AC876)</f>
        <v>2500</v>
      </c>
      <c r="X877" s="2015"/>
      <c r="Y877" s="2015"/>
      <c r="Z877" s="2015"/>
      <c r="AA877" s="2015"/>
      <c r="AB877" s="2015"/>
      <c r="AC877" s="201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971"/>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971"/>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971"/>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97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940" t="s">
        <v>282</v>
      </c>
      <c r="AC881" s="2015">
        <f>W845+W853+W860+W861+W870+W877+W847</f>
        <v>1277108</v>
      </c>
      <c r="AD881" s="2015"/>
      <c r="AE881" s="2015"/>
      <c r="AF881" s="2015"/>
      <c r="AG881" s="2015"/>
      <c r="AH881" s="201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97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940" t="s">
        <v>535</v>
      </c>
      <c r="AC882" s="2190">
        <f>O796+O776+G753</f>
        <v>112</v>
      </c>
      <c r="AD882" s="2190"/>
      <c r="AE882" s="2190"/>
      <c r="AF882" s="2190"/>
      <c r="AG882" s="2190"/>
      <c r="AH882" s="21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971"/>
      <c r="CS882" s="61"/>
      <c r="CT882" s="61"/>
      <c r="CU882" s="61"/>
      <c r="CV882" s="61"/>
      <c r="CW882" s="61"/>
      <c r="CX882" s="61"/>
      <c r="CY882" s="61"/>
      <c r="CZ882" s="61"/>
      <c r="DA882" s="61"/>
      <c r="DB882" s="61"/>
      <c r="DC882" s="61"/>
      <c r="DD882" s="61"/>
      <c r="DE882" s="61"/>
      <c r="DF882" s="61"/>
    </row>
    <row r="883" spans="1:110" ht="12.75" customHeight="1">
      <c r="C883" s="71"/>
      <c r="D883" s="72"/>
      <c r="E883" s="2188" t="s">
        <v>33</v>
      </c>
      <c r="F883" s="2188"/>
      <c r="G883" s="2188"/>
      <c r="H883" s="2188"/>
      <c r="I883" s="2188"/>
      <c r="J883" s="2188"/>
      <c r="K883" s="2188"/>
      <c r="L883" s="2188"/>
      <c r="M883" s="2188"/>
      <c r="N883" s="2188"/>
      <c r="O883" s="2188"/>
      <c r="P883" s="2188"/>
      <c r="Q883" s="2188"/>
      <c r="R883" s="2188"/>
      <c r="S883" s="2188"/>
      <c r="T883" s="2188"/>
      <c r="U883" s="2188"/>
      <c r="V883" s="2188"/>
      <c r="W883" s="2188"/>
      <c r="X883" s="2188"/>
      <c r="Y883" s="2188"/>
      <c r="Z883" s="2188"/>
      <c r="AA883" s="2188"/>
      <c r="AB883" s="2189"/>
      <c r="AC883" s="2002">
        <f>IF(ISERROR((ROUNDDOWN(AC881/AC882,0))),0,(ROUNDDOWN(AC881/AC882,0)))</f>
        <v>11402</v>
      </c>
      <c r="AD883" s="2002"/>
      <c r="AE883" s="2002"/>
      <c r="AF883" s="2002"/>
      <c r="AG883" s="2002"/>
      <c r="AH883" s="200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97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926" t="s">
        <v>802</v>
      </c>
      <c r="AC884" s="1881">
        <f>3/12*SUM(AC881,AC886:AH892,AF637:AJ638,'15 Year Pro Forma'!E23)</f>
        <v>490766.15938639303</v>
      </c>
      <c r="AD884" s="1881"/>
      <c r="AE884" s="1881"/>
      <c r="AF884" s="1881"/>
      <c r="AG884" s="1881"/>
      <c r="AH884" s="188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97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926" t="s">
        <v>1320</v>
      </c>
      <c r="AC885" s="1882"/>
      <c r="AD885" s="2001"/>
      <c r="AE885" s="2001"/>
      <c r="AF885" s="2001"/>
      <c r="AG885" s="2001"/>
      <c r="AH885" s="200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97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926" t="s">
        <v>534</v>
      </c>
      <c r="AC886" s="1881">
        <f>194436+9600</f>
        <v>204036</v>
      </c>
      <c r="AD886" s="1881"/>
      <c r="AE886" s="1881"/>
      <c r="AF886" s="1881"/>
      <c r="AG886" s="1881"/>
      <c r="AH886" s="188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97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926" t="s">
        <v>84</v>
      </c>
      <c r="AC887" s="1881">
        <v>56000</v>
      </c>
      <c r="AD887" s="1881"/>
      <c r="AE887" s="1881"/>
      <c r="AF887" s="1881"/>
      <c r="AG887" s="1881"/>
      <c r="AH887" s="188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971"/>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935" t="s">
        <v>1985</v>
      </c>
      <c r="AC888" s="1976"/>
      <c r="AD888" s="1977"/>
      <c r="AE888" s="1977"/>
      <c r="AF888" s="1977"/>
      <c r="AG888" s="1977"/>
      <c r="AH888" s="197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971"/>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926" t="s">
        <v>85</v>
      </c>
      <c r="AC889" s="1881">
        <v>2500</v>
      </c>
      <c r="AD889" s="1881"/>
      <c r="AE889" s="1881"/>
      <c r="AF889" s="1881"/>
      <c r="AG889" s="1881"/>
      <c r="AH889" s="1882"/>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97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926" t="s">
        <v>1860</v>
      </c>
      <c r="AC890" s="1881"/>
      <c r="AD890" s="1881"/>
      <c r="AE890" s="1881"/>
      <c r="AF890" s="1881"/>
      <c r="AG890" s="1881"/>
      <c r="AH890" s="188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971"/>
      <c r="CS890" s="61"/>
      <c r="CT890" s="61"/>
      <c r="CU890" s="61"/>
      <c r="CV890" s="61"/>
      <c r="CW890" s="61"/>
      <c r="CX890" s="61"/>
      <c r="CY890" s="61"/>
      <c r="CZ890" s="61"/>
      <c r="DA890" s="61"/>
      <c r="DB890" s="61"/>
      <c r="DC890" s="61"/>
      <c r="DD890" s="61"/>
      <c r="DE890" s="61"/>
      <c r="DF890" s="61"/>
    </row>
    <row r="891" spans="1:110" s="711" customFormat="1" ht="12.75" customHeight="1">
      <c r="A891" s="12"/>
      <c r="B891" s="12"/>
      <c r="C891" s="1998" t="s">
        <v>2599</v>
      </c>
      <c r="D891" s="1999"/>
      <c r="E891" s="1999"/>
      <c r="F891" s="1999"/>
      <c r="G891" s="1999"/>
      <c r="H891" s="1999"/>
      <c r="I891" s="1999"/>
      <c r="J891" s="1999"/>
      <c r="K891" s="1999"/>
      <c r="L891" s="1999"/>
      <c r="M891" s="1999"/>
      <c r="N891" s="1999"/>
      <c r="O891" s="1999"/>
      <c r="P891" s="1999"/>
      <c r="Q891" s="1999"/>
      <c r="R891" s="1999"/>
      <c r="S891" s="1999"/>
      <c r="T891" s="1999"/>
      <c r="U891" s="1999"/>
      <c r="V891" s="1999"/>
      <c r="W891" s="1999"/>
      <c r="X891" s="1999"/>
      <c r="Y891" s="1999"/>
      <c r="Z891" s="1999"/>
      <c r="AA891" s="1999"/>
      <c r="AB891" s="2000"/>
      <c r="AC891" s="2001">
        <f>0.125%*AO637</f>
        <v>3878.75</v>
      </c>
      <c r="AD891" s="2001"/>
      <c r="AE891" s="2001"/>
      <c r="AF891" s="2001"/>
      <c r="AG891" s="2001"/>
      <c r="AH891" s="200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971"/>
      <c r="CS891" s="61"/>
      <c r="CT891" s="61"/>
      <c r="CU891" s="61"/>
      <c r="CV891" s="61"/>
      <c r="CW891" s="61"/>
      <c r="CX891" s="61"/>
      <c r="CY891" s="61"/>
      <c r="CZ891" s="61"/>
      <c r="DA891" s="61"/>
      <c r="DB891" s="61"/>
      <c r="DC891" s="61"/>
      <c r="DD891" s="61"/>
      <c r="DE891" s="61"/>
      <c r="DF891" s="61"/>
    </row>
    <row r="892" spans="1:110" ht="12.75" customHeight="1">
      <c r="C892" s="1998" t="s">
        <v>2600</v>
      </c>
      <c r="D892" s="1999"/>
      <c r="E892" s="1999"/>
      <c r="F892" s="1999"/>
      <c r="G892" s="1999"/>
      <c r="H892" s="1999"/>
      <c r="I892" s="1999"/>
      <c r="J892" s="1999"/>
      <c r="K892" s="1999"/>
      <c r="L892" s="1999"/>
      <c r="M892" s="1999"/>
      <c r="N892" s="1999"/>
      <c r="O892" s="1999"/>
      <c r="P892" s="1999"/>
      <c r="Q892" s="1999"/>
      <c r="R892" s="1999"/>
      <c r="S892" s="1999"/>
      <c r="T892" s="1999"/>
      <c r="U892" s="1999"/>
      <c r="V892" s="1999"/>
      <c r="W892" s="1999"/>
      <c r="X892" s="1999"/>
      <c r="Y892" s="1999"/>
      <c r="Z892" s="1999"/>
      <c r="AA892" s="1999"/>
      <c r="AB892" s="2000"/>
      <c r="AC892" s="2001">
        <v>3500</v>
      </c>
      <c r="AD892" s="2001"/>
      <c r="AE892" s="2001"/>
      <c r="AF892" s="2001"/>
      <c r="AG892" s="2001"/>
      <c r="AH892" s="200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97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971"/>
      <c r="CS893" s="61"/>
      <c r="CT893" s="61"/>
      <c r="CU893" s="61"/>
      <c r="CV893" s="61"/>
      <c r="CW893" s="61"/>
      <c r="CX893" s="61"/>
      <c r="CY893" s="61"/>
      <c r="CZ893" s="61"/>
      <c r="DA893" s="61"/>
      <c r="DB893" s="61"/>
      <c r="DC893" s="61"/>
      <c r="DD893" s="61"/>
      <c r="DE893" s="61"/>
      <c r="DF893" s="61"/>
    </row>
    <row r="894" spans="1:110" ht="12.75" customHeight="1">
      <c r="A894" s="50" t="s">
        <v>638</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97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971"/>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880">
        <v>1</v>
      </c>
      <c r="AA896" s="1881"/>
      <c r="AB896" s="1881"/>
      <c r="AC896" s="1881"/>
      <c r="AD896" s="1881"/>
      <c r="AE896" s="1882"/>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971"/>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880"/>
      <c r="AA897" s="1881"/>
      <c r="AB897" s="1881"/>
      <c r="AC897" s="1881"/>
      <c r="AD897" s="1881"/>
      <c r="AE897" s="188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971"/>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880"/>
      <c r="AA898" s="1881"/>
      <c r="AB898" s="1881"/>
      <c r="AC898" s="1881"/>
      <c r="AD898" s="1881"/>
      <c r="AE898" s="188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97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014">
        <f>Z896-(Z897+Z898)</f>
        <v>1</v>
      </c>
      <c r="AA899" s="2015"/>
      <c r="AB899" s="2015"/>
      <c r="AC899" s="2015"/>
      <c r="AD899" s="2015"/>
      <c r="AE899" s="2016"/>
      <c r="AZ899" s="61"/>
      <c r="BA899" s="25"/>
      <c r="BB899" s="127"/>
      <c r="BC899" s="127"/>
      <c r="BD899" s="916"/>
      <c r="BE899" s="916"/>
      <c r="BF899" s="916"/>
      <c r="BG899" s="97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971"/>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916"/>
      <c r="BE900" s="916"/>
      <c r="BF900" s="916"/>
      <c r="BG900" s="97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971"/>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972"/>
      <c r="BD901" s="2155"/>
      <c r="BE901" s="2155"/>
      <c r="BF901" s="916"/>
      <c r="BG901" s="97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971"/>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972"/>
      <c r="BD902" s="2157"/>
      <c r="BE902" s="2157"/>
      <c r="BF902" s="916"/>
      <c r="BG902" s="97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971"/>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972"/>
      <c r="BD903" s="2156"/>
      <c r="BE903" s="2156"/>
      <c r="BF903" s="916"/>
      <c r="BG903" s="97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971"/>
      <c r="CS903" s="61"/>
      <c r="CT903" s="61"/>
      <c r="CU903" s="61"/>
      <c r="CV903" s="61"/>
      <c r="CW903" s="61"/>
      <c r="CX903" s="61"/>
      <c r="CY903" s="61"/>
      <c r="CZ903" s="61"/>
      <c r="DA903" s="61"/>
      <c r="DB903" s="61"/>
      <c r="DC903" s="61"/>
      <c r="DD903" s="61"/>
      <c r="DE903" s="61"/>
      <c r="DF903" s="61"/>
    </row>
    <row r="904" spans="1:110" ht="12.75" customHeight="1">
      <c r="A904" s="39"/>
      <c r="C904" s="525" t="s">
        <v>1088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972"/>
      <c r="BD904" s="2156"/>
      <c r="BE904" s="2156"/>
      <c r="BF904" s="916"/>
      <c r="BG904" s="97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97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972"/>
      <c r="BD905" s="2156"/>
      <c r="BE905" s="2156"/>
      <c r="BF905" s="916"/>
      <c r="BG905" s="97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97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972"/>
      <c r="BD906" s="2155"/>
      <c r="BE906" s="2156"/>
      <c r="BF906" s="916"/>
      <c r="BG906" s="97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971"/>
      <c r="CS906" s="61"/>
      <c r="CT906" s="61"/>
      <c r="CU906" s="61"/>
      <c r="CV906" s="61"/>
      <c r="CW906" s="61"/>
      <c r="CX906" s="61"/>
      <c r="CY906" s="61"/>
      <c r="CZ906" s="61"/>
      <c r="DA906" s="61"/>
      <c r="DB906" s="61"/>
      <c r="DC906" s="61"/>
      <c r="DD906" s="61"/>
      <c r="DE906" s="61"/>
      <c r="DF906" s="61"/>
    </row>
    <row r="907" spans="1:110" ht="12.75" customHeight="1">
      <c r="A907" s="1933" t="s">
        <v>101</v>
      </c>
      <c r="B907" s="1933"/>
      <c r="C907" s="1933"/>
      <c r="D907" s="1933"/>
      <c r="E907" s="1933"/>
      <c r="F907" s="1933"/>
      <c r="G907" s="1933"/>
      <c r="H907" s="1933"/>
      <c r="I907" s="1933"/>
      <c r="J907" s="1933"/>
      <c r="K907" s="1933"/>
      <c r="L907" s="1933"/>
      <c r="M907" s="1933"/>
      <c r="N907" s="1933"/>
      <c r="O907" s="1933"/>
      <c r="P907" s="1933"/>
      <c r="Q907" s="1933"/>
      <c r="R907" s="1933"/>
      <c r="S907" s="1933"/>
      <c r="T907" s="1933"/>
      <c r="U907" s="1933"/>
      <c r="V907" s="1933"/>
      <c r="W907" s="1933"/>
      <c r="X907" s="1933"/>
      <c r="Y907" s="1933"/>
      <c r="Z907" s="1933"/>
      <c r="AA907" s="1933"/>
      <c r="AB907" s="1933"/>
      <c r="AC907" s="1933"/>
      <c r="AD907" s="1933"/>
      <c r="AE907" s="1933"/>
      <c r="AF907" s="1933"/>
      <c r="AG907" s="1933"/>
      <c r="AH907" s="1933"/>
      <c r="AI907" s="1933"/>
      <c r="AJ907" s="1933"/>
      <c r="AK907" s="1933"/>
      <c r="AL907" s="1933"/>
      <c r="AM907" s="144"/>
      <c r="AN907" s="144"/>
      <c r="AO907" s="144"/>
      <c r="AP907" s="144"/>
      <c r="AQ907" s="144"/>
      <c r="AR907" s="144"/>
      <c r="AS907" s="144"/>
      <c r="AT907" s="144"/>
      <c r="AU907" s="144"/>
      <c r="AV907" s="144"/>
      <c r="AW907" s="144"/>
      <c r="AX907" s="144"/>
      <c r="AY907" s="144"/>
      <c r="AZ907" s="61"/>
      <c r="BA907" s="25"/>
      <c r="BB907" s="127"/>
      <c r="BC907" s="972"/>
      <c r="BD907" s="2154"/>
      <c r="BE907" s="2154"/>
      <c r="BF907" s="2154"/>
      <c r="BG907" s="97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971"/>
      <c r="CS907" s="61"/>
      <c r="CT907" s="61"/>
      <c r="CU907" s="61"/>
      <c r="CV907" s="61"/>
      <c r="CW907" s="61"/>
      <c r="CX907" s="61"/>
      <c r="CY907" s="61"/>
      <c r="CZ907" s="61"/>
      <c r="DA907" s="61"/>
      <c r="DB907" s="61"/>
      <c r="DC907" s="61"/>
      <c r="DD907" s="61"/>
      <c r="DE907" s="61"/>
      <c r="DF907" s="61"/>
    </row>
    <row r="908" spans="1:110" ht="12.75" customHeight="1" thickBot="1">
      <c r="A908" s="1934"/>
      <c r="B908" s="1934"/>
      <c r="C908" s="1934"/>
      <c r="D908" s="1934"/>
      <c r="E908" s="1934"/>
      <c r="F908" s="1934"/>
      <c r="G908" s="1934"/>
      <c r="H908" s="1934"/>
      <c r="I908" s="1934"/>
      <c r="J908" s="1934"/>
      <c r="K908" s="1934"/>
      <c r="L908" s="1934"/>
      <c r="M908" s="1934"/>
      <c r="N908" s="1934"/>
      <c r="O908" s="1934"/>
      <c r="P908" s="1934"/>
      <c r="Q908" s="1934"/>
      <c r="R908" s="1934"/>
      <c r="S908" s="1934"/>
      <c r="T908" s="1934"/>
      <c r="U908" s="1934"/>
      <c r="V908" s="1934"/>
      <c r="W908" s="1934"/>
      <c r="X908" s="1934"/>
      <c r="Y908" s="1934"/>
      <c r="Z908" s="1934"/>
      <c r="AA908" s="1934"/>
      <c r="AB908" s="1934"/>
      <c r="AC908" s="1934"/>
      <c r="AD908" s="1934"/>
      <c r="AE908" s="1934"/>
      <c r="AF908" s="1934"/>
      <c r="AG908" s="1934"/>
      <c r="AH908" s="1934"/>
      <c r="AI908" s="1934"/>
      <c r="AJ908" s="1934"/>
      <c r="AK908" s="1934"/>
      <c r="AL908" s="1934"/>
      <c r="AM908" s="144"/>
      <c r="AN908" s="144"/>
      <c r="AO908" s="144"/>
      <c r="AP908" s="144"/>
      <c r="AQ908" s="144"/>
      <c r="AR908" s="144"/>
      <c r="AS908" s="144"/>
      <c r="AT908" s="144"/>
      <c r="AU908" s="144"/>
      <c r="AV908" s="144"/>
      <c r="AW908" s="144"/>
      <c r="AX908" s="144"/>
      <c r="AY908" s="144"/>
      <c r="AZ908" s="61"/>
      <c r="BA908" s="25"/>
      <c r="BB908" s="127"/>
      <c r="BC908" s="972"/>
      <c r="BD908" s="2144"/>
      <c r="BE908" s="2144"/>
      <c r="BF908" s="2144"/>
      <c r="BG908" s="97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97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972"/>
      <c r="BD909" s="2156"/>
      <c r="BE909" s="2156"/>
      <c r="BF909" s="916"/>
      <c r="BG909" s="97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971"/>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972"/>
      <c r="BD910" s="2155"/>
      <c r="BE910" s="2156"/>
      <c r="BF910" s="916"/>
      <c r="BG910" s="97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971"/>
      <c r="CS910" s="61"/>
      <c r="CT910" s="61"/>
      <c r="CU910" s="61"/>
      <c r="CV910" s="61"/>
      <c r="CW910" s="61"/>
      <c r="CX910" s="61"/>
      <c r="CY910" s="61"/>
      <c r="CZ910" s="61"/>
      <c r="DA910" s="61"/>
      <c r="DB910" s="61"/>
      <c r="DC910" s="61"/>
      <c r="DD910" s="61"/>
      <c r="DE910" s="61"/>
      <c r="DF910" s="61"/>
    </row>
    <row r="911" spans="1:110" ht="12.75" customHeight="1">
      <c r="AZ911" s="61"/>
      <c r="BA911" s="25"/>
      <c r="BB911" s="127"/>
      <c r="BC911" s="972"/>
      <c r="BD911" s="25"/>
      <c r="BE911" s="25"/>
      <c r="BF911" s="25"/>
      <c r="BG911" s="97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97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30" t="s">
        <v>832</v>
      </c>
      <c r="G912" s="2231"/>
      <c r="H912" s="2231"/>
      <c r="I912" s="2231"/>
      <c r="J912" s="2231"/>
      <c r="K912" s="2231"/>
      <c r="L912" s="2231"/>
      <c r="M912" s="2231"/>
      <c r="N912" s="2231"/>
      <c r="O912" s="2231"/>
      <c r="P912" s="2231"/>
      <c r="Q912" s="2231"/>
      <c r="R912" s="2231"/>
      <c r="S912" s="2231"/>
      <c r="T912" s="2232"/>
      <c r="U912" s="2097" t="s">
        <v>32</v>
      </c>
      <c r="V912" s="2012"/>
      <c r="W912" s="2012"/>
      <c r="X912" s="2012"/>
      <c r="Y912" s="2012"/>
      <c r="Z912" s="2012"/>
      <c r="AA912" s="73"/>
      <c r="AB912" s="161"/>
      <c r="AC912" s="161"/>
      <c r="AD912" s="161"/>
      <c r="AE912" s="161"/>
      <c r="AF912" s="162"/>
      <c r="AZ912" s="61"/>
      <c r="BA912" s="971"/>
      <c r="BB912" s="127"/>
      <c r="BC912" s="127"/>
      <c r="BD912" s="2155"/>
      <c r="BE912" s="2156"/>
      <c r="BF912" s="974"/>
      <c r="BG912" s="97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971"/>
      <c r="CS912" s="61"/>
      <c r="CT912" s="61"/>
      <c r="CU912" s="61"/>
      <c r="CV912" s="61"/>
      <c r="CW912" s="61"/>
      <c r="CX912" s="61"/>
      <c r="CY912" s="61"/>
      <c r="CZ912" s="61"/>
      <c r="DA912" s="61"/>
      <c r="DB912" s="61"/>
      <c r="DC912" s="61"/>
      <c r="DD912" s="61"/>
      <c r="DE912" s="61"/>
      <c r="DF912" s="61"/>
    </row>
    <row r="913" spans="2:110" ht="12.75" customHeight="1">
      <c r="B913" s="50"/>
      <c r="F913" s="2098" t="s">
        <v>861</v>
      </c>
      <c r="G913" s="2099"/>
      <c r="H913" s="2099"/>
      <c r="I913" s="2099"/>
      <c r="J913" s="2099"/>
      <c r="K913" s="2099"/>
      <c r="L913" s="2099"/>
      <c r="M913" s="2099"/>
      <c r="N913" s="2099"/>
      <c r="O913" s="2099"/>
      <c r="P913" s="2099"/>
      <c r="Q913" s="2099"/>
      <c r="R913" s="2099"/>
      <c r="S913" s="2099"/>
      <c r="T913" s="2100"/>
      <c r="U913" s="2098"/>
      <c r="V913" s="2099"/>
      <c r="W913" s="2099"/>
      <c r="X913" s="2099"/>
      <c r="Y913" s="2099"/>
      <c r="Z913" s="2099"/>
      <c r="AA913" s="74"/>
      <c r="AB913" s="57"/>
      <c r="AC913" s="57"/>
      <c r="AD913" s="57"/>
      <c r="AE913" s="57"/>
      <c r="AF913" s="163"/>
      <c r="AZ913" s="61"/>
      <c r="BA913" s="971"/>
      <c r="BB913" s="971"/>
      <c r="BC913" s="971"/>
      <c r="BD913" s="971"/>
      <c r="BE913" s="971"/>
      <c r="BF913" s="971"/>
      <c r="BG913" s="97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971"/>
      <c r="CS913" s="61"/>
      <c r="CT913" s="61"/>
      <c r="CU913" s="61"/>
      <c r="CV913" s="61"/>
      <c r="CW913" s="61"/>
      <c r="CX913" s="61"/>
      <c r="CY913" s="61"/>
      <c r="CZ913" s="61"/>
      <c r="DA913" s="61"/>
      <c r="DB913" s="61"/>
      <c r="DC913" s="61"/>
      <c r="DD913" s="61"/>
      <c r="DE913" s="61"/>
      <c r="DF913" s="61"/>
    </row>
    <row r="914" spans="2:110" ht="12.75" customHeight="1">
      <c r="B914" s="50"/>
      <c r="F914" s="2101"/>
      <c r="G914" s="2102"/>
      <c r="H914" s="2102"/>
      <c r="I914" s="2102"/>
      <c r="J914" s="2102"/>
      <c r="K914" s="2102"/>
      <c r="L914" s="2102"/>
      <c r="M914" s="2102"/>
      <c r="N914" s="2102"/>
      <c r="O914" s="2102"/>
      <c r="P914" s="2102"/>
      <c r="Q914" s="2102"/>
      <c r="R914" s="2102"/>
      <c r="S914" s="2102"/>
      <c r="T914" s="2103"/>
      <c r="U914" s="2101"/>
      <c r="V914" s="2102"/>
      <c r="W914" s="2102"/>
      <c r="X914" s="2102"/>
      <c r="Y914" s="2102"/>
      <c r="Z914" s="2102"/>
      <c r="AA914" s="164"/>
      <c r="AB914" s="2178" t="s">
        <v>405</v>
      </c>
      <c r="AC914" s="2178"/>
      <c r="AD914" s="2178"/>
      <c r="AE914" s="2178"/>
      <c r="AF914" s="165"/>
      <c r="AZ914" s="61"/>
      <c r="BA914" s="971"/>
      <c r="BB914" s="971"/>
      <c r="BC914" s="971"/>
      <c r="BD914" s="971"/>
      <c r="BE914" s="971"/>
      <c r="BF914" s="971"/>
      <c r="BG914" s="97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971"/>
      <c r="CS914" s="61"/>
      <c r="CT914" s="61"/>
      <c r="CU914" s="61"/>
      <c r="CV914" s="61"/>
      <c r="CW914" s="61"/>
      <c r="CX914" s="61"/>
      <c r="CY914" s="61"/>
      <c r="CZ914" s="61"/>
      <c r="DA914" s="61"/>
      <c r="DB914" s="61"/>
      <c r="DC914" s="61"/>
      <c r="DD914" s="61"/>
      <c r="DE914" s="61"/>
      <c r="DF914" s="61"/>
    </row>
    <row r="915" spans="2:110" ht="12.75" customHeight="1">
      <c r="B915" s="50"/>
      <c r="F915" s="76" t="s">
        <v>799</v>
      </c>
      <c r="G915" s="80"/>
      <c r="H915" s="80"/>
      <c r="I915" s="80"/>
      <c r="J915" s="80"/>
      <c r="K915" s="80"/>
      <c r="L915" s="80"/>
      <c r="M915" s="80"/>
      <c r="N915" s="80"/>
      <c r="O915" s="80"/>
      <c r="P915" s="80"/>
      <c r="Q915" s="80"/>
      <c r="R915" s="80"/>
      <c r="S915" s="80"/>
      <c r="T915" s="81"/>
      <c r="U915" s="2164" t="s">
        <v>569</v>
      </c>
      <c r="V915" s="1907"/>
      <c r="W915" s="1907"/>
      <c r="X915" s="1907"/>
      <c r="Y915" s="1907"/>
      <c r="Z915" s="1969"/>
      <c r="AA915" s="2159">
        <f>AM564</f>
        <v>45254938</v>
      </c>
      <c r="AB915" s="1890"/>
      <c r="AC915" s="1890"/>
      <c r="AD915" s="1890"/>
      <c r="AE915" s="1890"/>
      <c r="AF915" s="216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971"/>
      <c r="CS915" s="61"/>
      <c r="CT915" s="61"/>
      <c r="CU915" s="61"/>
      <c r="CV915" s="61"/>
      <c r="CW915" s="61"/>
      <c r="CX915" s="61"/>
      <c r="CY915" s="61"/>
      <c r="CZ915" s="61"/>
      <c r="DA915" s="61"/>
      <c r="DB915" s="61"/>
      <c r="DC915" s="61"/>
      <c r="DD915" s="61"/>
      <c r="DE915" s="61"/>
      <c r="DF915" s="61"/>
    </row>
    <row r="916" spans="2:110" ht="12.75" customHeight="1">
      <c r="B916" s="50"/>
      <c r="F916" s="103" t="s">
        <v>700</v>
      </c>
      <c r="G916" s="80"/>
      <c r="H916" s="80"/>
      <c r="I916" s="80"/>
      <c r="J916" s="80"/>
      <c r="K916" s="80"/>
      <c r="L916" s="80"/>
      <c r="M916" s="80"/>
      <c r="N916" s="80"/>
      <c r="O916" s="80"/>
      <c r="P916" s="80"/>
      <c r="Q916" s="80"/>
      <c r="R916" s="80"/>
      <c r="S916" s="80"/>
      <c r="T916" s="81"/>
      <c r="U916" s="2165" t="s">
        <v>569</v>
      </c>
      <c r="V916" s="1907"/>
      <c r="W916" s="1907"/>
      <c r="X916" s="1907"/>
      <c r="Y916" s="1907"/>
      <c r="Z916" s="1969"/>
      <c r="AA916" s="2159">
        <f>AM565</f>
        <v>22205103</v>
      </c>
      <c r="AB916" s="1890"/>
      <c r="AC916" s="1890"/>
      <c r="AD916" s="1890"/>
      <c r="AE916" s="1890"/>
      <c r="AF916" s="216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971"/>
      <c r="CS916" s="61"/>
      <c r="CT916" s="61"/>
      <c r="CU916" s="61"/>
      <c r="CV916" s="61"/>
      <c r="CW916" s="61"/>
      <c r="CX916" s="61"/>
      <c r="CY916" s="61"/>
      <c r="CZ916" s="61"/>
      <c r="DA916" s="61"/>
      <c r="DB916" s="61"/>
      <c r="DC916" s="61"/>
      <c r="DD916" s="61"/>
      <c r="DE916" s="61"/>
      <c r="DF916" s="61"/>
    </row>
    <row r="917" spans="2:110" ht="12.75" customHeight="1">
      <c r="F917" s="76" t="s">
        <v>841</v>
      </c>
      <c r="G917" s="77"/>
      <c r="H917" s="77"/>
      <c r="I917" s="77"/>
      <c r="J917" s="77"/>
      <c r="K917" s="77"/>
      <c r="L917" s="77"/>
      <c r="M917" s="77"/>
      <c r="N917" s="77"/>
      <c r="O917" s="77"/>
      <c r="P917" s="77"/>
      <c r="Q917" s="77"/>
      <c r="R917" s="77"/>
      <c r="S917" s="77"/>
      <c r="T917" s="78"/>
      <c r="U917" s="2165" t="s">
        <v>616</v>
      </c>
      <c r="V917" s="1907"/>
      <c r="W917" s="1907"/>
      <c r="X917" s="1907"/>
      <c r="Y917" s="1907"/>
      <c r="Z917" s="1969"/>
      <c r="AA917" s="2159"/>
      <c r="AB917" s="1890"/>
      <c r="AC917" s="1890"/>
      <c r="AD917" s="1890"/>
      <c r="AE917" s="1890"/>
      <c r="AF917" s="216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971"/>
      <c r="CS917" s="61"/>
      <c r="CT917" s="61"/>
      <c r="CU917" s="61"/>
      <c r="CV917" s="61"/>
      <c r="CW917" s="61"/>
      <c r="CX917" s="61"/>
      <c r="CY917" s="61"/>
      <c r="CZ917" s="61"/>
      <c r="DA917" s="61"/>
      <c r="DB917" s="61"/>
      <c r="DC917" s="61"/>
      <c r="DD917" s="61"/>
      <c r="DE917" s="61"/>
      <c r="DF917" s="61"/>
    </row>
    <row r="918" spans="2:110" ht="12.75" customHeight="1">
      <c r="F918" s="76" t="s">
        <v>703</v>
      </c>
      <c r="G918" s="77"/>
      <c r="H918" s="77"/>
      <c r="I918" s="77"/>
      <c r="J918" s="77"/>
      <c r="K918" s="77"/>
      <c r="L918" s="77"/>
      <c r="M918" s="77"/>
      <c r="N918" s="77"/>
      <c r="O918" s="77"/>
      <c r="P918" s="77"/>
      <c r="Q918" s="77"/>
      <c r="R918" s="77"/>
      <c r="S918" s="77"/>
      <c r="T918" s="78"/>
      <c r="U918" s="2165" t="s">
        <v>616</v>
      </c>
      <c r="V918" s="1907"/>
      <c r="W918" s="1907"/>
      <c r="X918" s="1907"/>
      <c r="Y918" s="1907"/>
      <c r="Z918" s="1969"/>
      <c r="AA918" s="2159"/>
      <c r="AB918" s="1890"/>
      <c r="AC918" s="1890"/>
      <c r="AD918" s="1890"/>
      <c r="AE918" s="1890"/>
      <c r="AF918" s="216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971"/>
      <c r="CS918" s="61"/>
      <c r="CT918" s="61"/>
      <c r="CU918" s="61"/>
      <c r="CV918" s="61"/>
      <c r="CW918" s="61"/>
      <c r="CX918" s="61"/>
      <c r="CY918" s="61"/>
      <c r="CZ918" s="61"/>
      <c r="DA918" s="61"/>
      <c r="DB918" s="61"/>
      <c r="DC918" s="61"/>
      <c r="DD918" s="61"/>
      <c r="DE918" s="61"/>
      <c r="DF918" s="61"/>
    </row>
    <row r="919" spans="2:110" ht="12.75" customHeight="1">
      <c r="F919" s="103" t="s">
        <v>826</v>
      </c>
      <c r="G919" s="77"/>
      <c r="H919" s="77"/>
      <c r="I919" s="77"/>
      <c r="J919" s="77"/>
      <c r="K919" s="77"/>
      <c r="L919" s="77"/>
      <c r="M919" s="77"/>
      <c r="N919" s="77"/>
      <c r="O919" s="77"/>
      <c r="P919" s="77"/>
      <c r="Q919" s="77"/>
      <c r="R919" s="77"/>
      <c r="S919" s="77"/>
      <c r="T919" s="78"/>
      <c r="U919" s="2165" t="s">
        <v>616</v>
      </c>
      <c r="V919" s="1907"/>
      <c r="W919" s="1907"/>
      <c r="X919" s="1907"/>
      <c r="Y919" s="1907"/>
      <c r="Z919" s="1969"/>
      <c r="AA919" s="2159"/>
      <c r="AB919" s="1890"/>
      <c r="AC919" s="1890"/>
      <c r="AD919" s="1890"/>
      <c r="AE919" s="1890"/>
      <c r="AF919" s="216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971"/>
      <c r="CS919" s="61"/>
      <c r="CT919" s="61"/>
      <c r="CU919" s="61"/>
      <c r="CV919" s="61"/>
      <c r="CW919" s="61"/>
      <c r="CX919" s="61"/>
      <c r="CY919" s="61"/>
      <c r="CZ919" s="61"/>
      <c r="DA919" s="61"/>
      <c r="DB919" s="61"/>
      <c r="DC919" s="61"/>
      <c r="DD919" s="61"/>
      <c r="DE919" s="61"/>
      <c r="DF919" s="61"/>
    </row>
    <row r="920" spans="2:110" ht="12.75" customHeight="1">
      <c r="F920" s="103" t="s">
        <v>827</v>
      </c>
      <c r="G920" s="77"/>
      <c r="H920" s="77"/>
      <c r="I920" s="77"/>
      <c r="J920" s="77"/>
      <c r="K920" s="77"/>
      <c r="L920" s="77"/>
      <c r="M920" s="77"/>
      <c r="N920" s="77"/>
      <c r="O920" s="77"/>
      <c r="P920" s="77"/>
      <c r="Q920" s="77"/>
      <c r="R920" s="77"/>
      <c r="S920" s="77"/>
      <c r="T920" s="78"/>
      <c r="U920" s="2165" t="s">
        <v>616</v>
      </c>
      <c r="V920" s="1907"/>
      <c r="W920" s="1907"/>
      <c r="X920" s="1907"/>
      <c r="Y920" s="1907"/>
      <c r="Z920" s="1969"/>
      <c r="AA920" s="2159"/>
      <c r="AB920" s="1890"/>
      <c r="AC920" s="1890"/>
      <c r="AD920" s="1890"/>
      <c r="AE920" s="1890"/>
      <c r="AF920" s="216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971"/>
      <c r="CS920" s="61"/>
      <c r="CT920" s="61"/>
      <c r="CU920" s="61"/>
      <c r="CV920" s="61"/>
      <c r="CW920" s="61"/>
      <c r="CX920" s="61"/>
      <c r="CY920" s="61"/>
      <c r="CZ920" s="61"/>
      <c r="DA920" s="61"/>
      <c r="DB920" s="61"/>
      <c r="DC920" s="61"/>
      <c r="DD920" s="61"/>
      <c r="DE920" s="61"/>
      <c r="DF920" s="61"/>
    </row>
    <row r="921" spans="2:110" ht="12.75" customHeight="1">
      <c r="F921" s="103" t="s">
        <v>828</v>
      </c>
      <c r="G921" s="77"/>
      <c r="H921" s="77"/>
      <c r="I921" s="77"/>
      <c r="J921" s="77"/>
      <c r="K921" s="77"/>
      <c r="L921" s="77"/>
      <c r="M921" s="77"/>
      <c r="N921" s="77"/>
      <c r="O921" s="77"/>
      <c r="P921" s="77"/>
      <c r="Q921" s="77"/>
      <c r="R921" s="77"/>
      <c r="S921" s="77"/>
      <c r="T921" s="78"/>
      <c r="U921" s="2165" t="s">
        <v>616</v>
      </c>
      <c r="V921" s="1907"/>
      <c r="W921" s="1907"/>
      <c r="X921" s="1907"/>
      <c r="Y921" s="1907"/>
      <c r="Z921" s="1969"/>
      <c r="AA921" s="2159"/>
      <c r="AB921" s="1890"/>
      <c r="AC921" s="1890"/>
      <c r="AD921" s="1890"/>
      <c r="AE921" s="1890"/>
      <c r="AF921" s="216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971"/>
      <c r="CS921" s="61"/>
      <c r="CT921" s="61"/>
      <c r="CU921" s="61"/>
      <c r="CV921" s="61"/>
      <c r="CW921" s="61"/>
      <c r="CX921" s="61"/>
      <c r="CY921" s="61"/>
      <c r="CZ921" s="61"/>
      <c r="DA921" s="61"/>
      <c r="DB921" s="61"/>
      <c r="DC921" s="61"/>
      <c r="DD921" s="61"/>
      <c r="DE921" s="61"/>
      <c r="DF921" s="61"/>
    </row>
    <row r="922" spans="2:110" ht="12.75" customHeight="1">
      <c r="F922" s="76" t="s">
        <v>702</v>
      </c>
      <c r="G922" s="77"/>
      <c r="H922" s="77"/>
      <c r="I922" s="77"/>
      <c r="J922" s="77"/>
      <c r="K922" s="77"/>
      <c r="L922" s="77"/>
      <c r="M922" s="77"/>
      <c r="N922" s="77"/>
      <c r="O922" s="77"/>
      <c r="P922" s="77"/>
      <c r="Q922" s="77"/>
      <c r="R922" s="77"/>
      <c r="S922" s="77"/>
      <c r="T922" s="78"/>
      <c r="U922" s="2165" t="s">
        <v>616</v>
      </c>
      <c r="V922" s="1907"/>
      <c r="W922" s="1907"/>
      <c r="X922" s="1907"/>
      <c r="Y922" s="1907"/>
      <c r="Z922" s="1969"/>
      <c r="AA922" s="2159"/>
      <c r="AB922" s="1890"/>
      <c r="AC922" s="1890"/>
      <c r="AD922" s="1890"/>
      <c r="AE922" s="1890"/>
      <c r="AF922" s="216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971"/>
      <c r="CS922" s="61"/>
      <c r="CT922" s="61"/>
      <c r="CU922" s="61"/>
      <c r="CV922" s="61"/>
      <c r="CW922" s="61"/>
      <c r="CX922" s="61"/>
      <c r="CY922" s="61"/>
      <c r="CZ922" s="61"/>
      <c r="DA922" s="61"/>
      <c r="DB922" s="61"/>
      <c r="DC922" s="61"/>
      <c r="DD922" s="61"/>
      <c r="DE922" s="61"/>
      <c r="DF922" s="61"/>
    </row>
    <row r="923" spans="2:110" ht="12.75" customHeight="1">
      <c r="F923" s="103" t="s">
        <v>704</v>
      </c>
      <c r="G923" s="77"/>
      <c r="H923" s="77"/>
      <c r="I923" s="77"/>
      <c r="J923" s="77"/>
      <c r="K923" s="77"/>
      <c r="L923" s="77"/>
      <c r="M923" s="77"/>
      <c r="N923" s="77"/>
      <c r="O923" s="77"/>
      <c r="P923" s="77"/>
      <c r="Q923" s="77"/>
      <c r="R923" s="77"/>
      <c r="S923" s="77"/>
      <c r="T923" s="78"/>
      <c r="U923" s="2165" t="s">
        <v>616</v>
      </c>
      <c r="V923" s="1907"/>
      <c r="W923" s="1907"/>
      <c r="X923" s="1907"/>
      <c r="Y923" s="1907"/>
      <c r="Z923" s="1969"/>
      <c r="AA923" s="2159"/>
      <c r="AB923" s="1890"/>
      <c r="AC923" s="1890"/>
      <c r="AD923" s="1890"/>
      <c r="AE923" s="1890"/>
      <c r="AF923" s="216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971"/>
      <c r="CS923" s="61"/>
      <c r="CT923" s="61"/>
      <c r="CU923" s="61"/>
      <c r="CV923" s="61"/>
      <c r="CW923" s="61"/>
      <c r="CX923" s="61"/>
      <c r="CY923" s="61"/>
      <c r="CZ923" s="61"/>
      <c r="DA923" s="61"/>
      <c r="DB923" s="61"/>
      <c r="DC923" s="61"/>
      <c r="DD923" s="61"/>
      <c r="DE923" s="61"/>
      <c r="DF923" s="61"/>
    </row>
    <row r="924" spans="2:110" ht="12.75" customHeight="1">
      <c r="F924" s="285" t="s">
        <v>701</v>
      </c>
      <c r="G924" s="77"/>
      <c r="H924" s="77"/>
      <c r="I924" s="77"/>
      <c r="J924" s="77"/>
      <c r="K924" s="77"/>
      <c r="L924" s="77"/>
      <c r="M924" s="77"/>
      <c r="N924" s="77"/>
      <c r="O924" s="77"/>
      <c r="P924" s="77"/>
      <c r="Q924" s="77"/>
      <c r="R924" s="77"/>
      <c r="S924" s="77"/>
      <c r="T924" s="78"/>
      <c r="U924" s="2165" t="s">
        <v>616</v>
      </c>
      <c r="V924" s="1907"/>
      <c r="W924" s="1907"/>
      <c r="X924" s="1907"/>
      <c r="Y924" s="1907"/>
      <c r="Z924" s="1969"/>
      <c r="AA924" s="2159"/>
      <c r="AB924" s="1890"/>
      <c r="AC924" s="1890"/>
      <c r="AD924" s="1890"/>
      <c r="AE924" s="1890"/>
      <c r="AF924" s="216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971"/>
      <c r="CS924" s="61"/>
      <c r="CT924" s="61"/>
      <c r="CU924" s="61"/>
      <c r="CV924" s="61"/>
      <c r="CW924" s="61"/>
      <c r="CX924" s="61"/>
      <c r="CY924" s="61"/>
      <c r="CZ924" s="61"/>
      <c r="DA924" s="61"/>
      <c r="DB924" s="61"/>
      <c r="DC924" s="61"/>
      <c r="DD924" s="61"/>
      <c r="DE924" s="61"/>
      <c r="DF924" s="61"/>
    </row>
    <row r="925" spans="2:110" ht="12.75" customHeight="1">
      <c r="F925" s="185" t="s">
        <v>1453</v>
      </c>
      <c r="G925" s="77"/>
      <c r="H925" s="77"/>
      <c r="I925" s="77"/>
      <c r="J925" s="77"/>
      <c r="K925" s="77"/>
      <c r="L925" s="77"/>
      <c r="M925" s="77"/>
      <c r="N925" s="77"/>
      <c r="O925" s="77"/>
      <c r="P925" s="77"/>
      <c r="Q925" s="77"/>
      <c r="R925" s="77"/>
      <c r="S925" s="77"/>
      <c r="T925" s="78"/>
      <c r="U925" s="2165" t="s">
        <v>616</v>
      </c>
      <c r="V925" s="1907"/>
      <c r="W925" s="1907"/>
      <c r="X925" s="1907"/>
      <c r="Y925" s="1907"/>
      <c r="Z925" s="1969"/>
      <c r="AA925" s="2159"/>
      <c r="AB925" s="1890"/>
      <c r="AC925" s="1890"/>
      <c r="AD925" s="1890"/>
      <c r="AE925" s="1890"/>
      <c r="AF925" s="216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971"/>
      <c r="CS925" s="61"/>
      <c r="CT925" s="61"/>
      <c r="CU925" s="61"/>
      <c r="CV925" s="61"/>
      <c r="CW925" s="61"/>
      <c r="CX925" s="61"/>
      <c r="CY925" s="61"/>
      <c r="CZ925" s="61"/>
      <c r="DA925" s="61"/>
      <c r="DB925" s="61"/>
      <c r="DC925" s="61"/>
      <c r="DD925" s="61"/>
      <c r="DE925" s="61"/>
      <c r="DF925" s="61"/>
    </row>
    <row r="926" spans="2:110" ht="12.75" customHeight="1">
      <c r="F926" s="103" t="s">
        <v>842</v>
      </c>
      <c r="G926" s="77"/>
      <c r="H926" s="77"/>
      <c r="I926" s="77"/>
      <c r="J926" s="77"/>
      <c r="K926" s="77"/>
      <c r="L926" s="77"/>
      <c r="M926" s="77"/>
      <c r="N926" s="77"/>
      <c r="O926" s="77"/>
      <c r="P926" s="77"/>
      <c r="Q926" s="77"/>
      <c r="R926" s="77"/>
      <c r="S926" s="77"/>
      <c r="T926" s="78"/>
      <c r="U926" s="2165" t="s">
        <v>616</v>
      </c>
      <c r="V926" s="1907"/>
      <c r="W926" s="1907"/>
      <c r="X926" s="1907"/>
      <c r="Y926" s="1907"/>
      <c r="Z926" s="1969"/>
      <c r="AA926" s="2159"/>
      <c r="AB926" s="1890"/>
      <c r="AC926" s="1890"/>
      <c r="AD926" s="1890"/>
      <c r="AE926" s="1890"/>
      <c r="AF926" s="216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971"/>
      <c r="CS926" s="61"/>
      <c r="CT926" s="61"/>
      <c r="CU926" s="61"/>
      <c r="CV926" s="61"/>
      <c r="CW926" s="61"/>
      <c r="CX926" s="61"/>
      <c r="CY926" s="61"/>
      <c r="CZ926" s="61"/>
      <c r="DA926" s="61"/>
      <c r="DB926" s="61"/>
      <c r="DC926" s="61"/>
      <c r="DD926" s="61"/>
      <c r="DE926" s="61"/>
      <c r="DF926" s="61"/>
    </row>
    <row r="927" spans="2:110" ht="12.75" customHeight="1">
      <c r="F927" s="103" t="s">
        <v>843</v>
      </c>
      <c r="G927" s="148"/>
      <c r="H927" s="148"/>
      <c r="I927" s="148"/>
      <c r="J927" s="148"/>
      <c r="K927" s="148"/>
      <c r="L927" s="148"/>
      <c r="M927" s="148"/>
      <c r="N927" s="148"/>
      <c r="O927" s="148"/>
      <c r="P927" s="148"/>
      <c r="Q927" s="148"/>
      <c r="R927" s="148"/>
      <c r="S927" s="148"/>
      <c r="T927" s="336"/>
      <c r="U927" s="2165" t="s">
        <v>616</v>
      </c>
      <c r="V927" s="1907"/>
      <c r="W927" s="1907"/>
      <c r="X927" s="1907"/>
      <c r="Y927" s="1907"/>
      <c r="Z927" s="1969"/>
      <c r="AA927" s="2159"/>
      <c r="AB927" s="1890"/>
      <c r="AC927" s="1890"/>
      <c r="AD927" s="1890"/>
      <c r="AE927" s="1890"/>
      <c r="AF927" s="216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971"/>
      <c r="CS927" s="61"/>
      <c r="CT927" s="61"/>
      <c r="CU927" s="61"/>
      <c r="CV927" s="61"/>
      <c r="CW927" s="61"/>
      <c r="CX927" s="61"/>
      <c r="CY927" s="61"/>
      <c r="CZ927" s="61"/>
      <c r="DA927" s="61"/>
      <c r="DB927" s="61"/>
      <c r="DC927" s="61"/>
      <c r="DD927" s="61"/>
      <c r="DE927" s="61"/>
      <c r="DF927" s="61"/>
    </row>
    <row r="928" spans="2:110" ht="12.75" customHeight="1">
      <c r="F928" s="877" t="s">
        <v>1437</v>
      </c>
      <c r="G928" s="148"/>
      <c r="H928" s="148"/>
      <c r="I928" s="148"/>
      <c r="J928" s="148"/>
      <c r="K928" s="148"/>
      <c r="L928" s="148"/>
      <c r="M928" s="148"/>
      <c r="N928" s="148"/>
      <c r="O928" s="148"/>
      <c r="P928" s="148"/>
      <c r="Q928" s="148"/>
      <c r="R928" s="148"/>
      <c r="S928" s="148"/>
      <c r="T928" s="336"/>
      <c r="U928" s="2165" t="s">
        <v>616</v>
      </c>
      <c r="V928" s="1907"/>
      <c r="W928" s="1907"/>
      <c r="X928" s="1907"/>
      <c r="Y928" s="1907"/>
      <c r="Z928" s="1969"/>
      <c r="AA928" s="2159"/>
      <c r="AB928" s="1890"/>
      <c r="AC928" s="1890"/>
      <c r="AD928" s="1890"/>
      <c r="AE928" s="1890"/>
      <c r="AF928" s="216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971"/>
      <c r="CS928" s="61"/>
      <c r="CT928" s="61"/>
      <c r="CU928" s="61"/>
      <c r="CV928" s="61"/>
      <c r="CW928" s="61"/>
      <c r="CX928" s="61"/>
      <c r="CY928" s="61"/>
      <c r="CZ928" s="61"/>
      <c r="DA928" s="61"/>
      <c r="DB928" s="61"/>
      <c r="DC928" s="61"/>
      <c r="DD928" s="61"/>
      <c r="DE928" s="61"/>
      <c r="DF928" s="61"/>
    </row>
    <row r="929" spans="1:110" ht="12.75" customHeight="1">
      <c r="F929" s="877" t="s">
        <v>1438</v>
      </c>
      <c r="G929" s="77"/>
      <c r="H929" s="77"/>
      <c r="I929" s="77"/>
      <c r="J929" s="77"/>
      <c r="K929" s="77"/>
      <c r="L929" s="77"/>
      <c r="M929" s="77"/>
      <c r="N929" s="77"/>
      <c r="O929" s="77"/>
      <c r="P929" s="148"/>
      <c r="Q929" s="148"/>
      <c r="R929" s="148"/>
      <c r="S929" s="148"/>
      <c r="T929" s="336"/>
      <c r="U929" s="2165" t="s">
        <v>616</v>
      </c>
      <c r="V929" s="1907"/>
      <c r="W929" s="1907"/>
      <c r="X929" s="1907"/>
      <c r="Y929" s="1907"/>
      <c r="Z929" s="1969"/>
      <c r="AA929" s="2159"/>
      <c r="AB929" s="1890"/>
      <c r="AC929" s="1890"/>
      <c r="AD929" s="1890"/>
      <c r="AE929" s="1890"/>
      <c r="AF929" s="216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971"/>
      <c r="CS929" s="61"/>
      <c r="CT929" s="61"/>
      <c r="CU929" s="61"/>
      <c r="CV929" s="61"/>
      <c r="CW929" s="61"/>
      <c r="CX929" s="61"/>
      <c r="CY929" s="61"/>
      <c r="CZ929" s="61"/>
      <c r="DA929" s="61"/>
      <c r="DB929" s="61"/>
      <c r="DC929" s="61"/>
      <c r="DD929" s="61"/>
      <c r="DE929" s="61"/>
      <c r="DF929" s="61"/>
    </row>
    <row r="930" spans="1:110" ht="12.75" customHeight="1">
      <c r="F930" s="76" t="s">
        <v>847</v>
      </c>
      <c r="G930" s="77"/>
      <c r="H930" s="77"/>
      <c r="I930" s="77"/>
      <c r="J930" s="77"/>
      <c r="K930" s="77"/>
      <c r="L930" s="77"/>
      <c r="M930" s="77"/>
      <c r="N930" s="77"/>
      <c r="O930" s="77"/>
      <c r="P930" s="2165" t="s">
        <v>694</v>
      </c>
      <c r="Q930" s="1907"/>
      <c r="R930" s="1907"/>
      <c r="S930" s="1907"/>
      <c r="T930" s="1969"/>
      <c r="U930" s="2165" t="s">
        <v>616</v>
      </c>
      <c r="V930" s="1907"/>
      <c r="W930" s="1907"/>
      <c r="X930" s="1907"/>
      <c r="Y930" s="1907"/>
      <c r="Z930" s="1969"/>
      <c r="AA930" s="2159"/>
      <c r="AB930" s="1890"/>
      <c r="AC930" s="1890"/>
      <c r="AD930" s="1890"/>
      <c r="AE930" s="1890"/>
      <c r="AF930" s="216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97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6" t="s">
        <v>2585</v>
      </c>
      <c r="J931" s="2357"/>
      <c r="K931" s="2357"/>
      <c r="L931" s="2357"/>
      <c r="M931" s="2357"/>
      <c r="N931" s="2357"/>
      <c r="O931" s="2357"/>
      <c r="P931" s="2357"/>
      <c r="Q931" s="2357"/>
      <c r="R931" s="2357"/>
      <c r="S931" s="2357"/>
      <c r="T931" s="2358"/>
      <c r="U931" s="2164" t="s">
        <v>569</v>
      </c>
      <c r="V931" s="1907"/>
      <c r="W931" s="1907"/>
      <c r="X931" s="1907"/>
      <c r="Y931" s="1907"/>
      <c r="Z931" s="1969"/>
      <c r="AA931" s="2159">
        <f>AO638</f>
        <v>20000000</v>
      </c>
      <c r="AB931" s="1890"/>
      <c r="AC931" s="1890"/>
      <c r="AD931" s="1890"/>
      <c r="AE931" s="1890"/>
      <c r="AF931" s="216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97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6" t="s">
        <v>2563</v>
      </c>
      <c r="J932" s="2138"/>
      <c r="K932" s="2138"/>
      <c r="L932" s="2138"/>
      <c r="M932" s="2138"/>
      <c r="N932" s="2138"/>
      <c r="O932" s="2138"/>
      <c r="P932" s="2138"/>
      <c r="Q932" s="2138"/>
      <c r="R932" s="2138"/>
      <c r="S932" s="2138"/>
      <c r="T932" s="2139"/>
      <c r="U932" s="2164" t="s">
        <v>569</v>
      </c>
      <c r="V932" s="1907"/>
      <c r="W932" s="1907"/>
      <c r="X932" s="1907"/>
      <c r="Y932" s="1907"/>
      <c r="Z932" s="1969"/>
      <c r="AA932" s="2159">
        <f>AO639+AO640</f>
        <v>19214139</v>
      </c>
      <c r="AB932" s="1890"/>
      <c r="AC932" s="1890"/>
      <c r="AD932" s="1890"/>
      <c r="AE932" s="1890"/>
      <c r="AF932" s="216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971"/>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37" t="str">
        <f>C641</f>
        <v>FHLB AHP</v>
      </c>
      <c r="J933" s="2138"/>
      <c r="K933" s="2138"/>
      <c r="L933" s="2138"/>
      <c r="M933" s="2138"/>
      <c r="N933" s="2138"/>
      <c r="O933" s="2138"/>
      <c r="P933" s="2138"/>
      <c r="Q933" s="2138"/>
      <c r="R933" s="2138"/>
      <c r="S933" s="2138"/>
      <c r="T933" s="2139"/>
      <c r="U933" s="2164" t="s">
        <v>569</v>
      </c>
      <c r="V933" s="1907"/>
      <c r="W933" s="1907"/>
      <c r="X933" s="1907"/>
      <c r="Y933" s="1907"/>
      <c r="Z933" s="1969"/>
      <c r="AA933" s="2159">
        <f>AO641</f>
        <v>1000000</v>
      </c>
      <c r="AB933" s="1890"/>
      <c r="AC933" s="1890"/>
      <c r="AD933" s="1890"/>
      <c r="AE933" s="1890"/>
      <c r="AF933" s="216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971"/>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137" t="str">
        <f>C642</f>
        <v>GGRC Loan</v>
      </c>
      <c r="J934" s="2138"/>
      <c r="K934" s="2138"/>
      <c r="L934" s="2138"/>
      <c r="M934" s="2138"/>
      <c r="N934" s="2138"/>
      <c r="O934" s="2138"/>
      <c r="P934" s="2138"/>
      <c r="Q934" s="2138"/>
      <c r="R934" s="2138"/>
      <c r="S934" s="2138"/>
      <c r="T934" s="2139"/>
      <c r="U934" s="2164" t="s">
        <v>569</v>
      </c>
      <c r="V934" s="1907"/>
      <c r="W934" s="1907"/>
      <c r="X934" s="1907"/>
      <c r="Y934" s="1907"/>
      <c r="Z934" s="1969"/>
      <c r="AA934" s="2159">
        <f>AO642</f>
        <v>1000000</v>
      </c>
      <c r="AB934" s="1890"/>
      <c r="AC934" s="1890"/>
      <c r="AD934" s="1890"/>
      <c r="AE934" s="1890"/>
      <c r="AF934" s="216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97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971"/>
      <c r="CS935" s="61"/>
      <c r="CT935" s="61"/>
      <c r="CU935" s="61"/>
      <c r="CV935" s="61"/>
      <c r="CW935" s="61"/>
      <c r="CX935" s="61"/>
      <c r="CY935" s="61"/>
      <c r="CZ935" s="61"/>
      <c r="DA935" s="61"/>
      <c r="DB935" s="61"/>
      <c r="DC935" s="61"/>
      <c r="DD935" s="61"/>
      <c r="DE935" s="61"/>
      <c r="DF935" s="61"/>
    </row>
    <row r="936" spans="1:110" ht="12.75" customHeight="1">
      <c r="A936" s="50" t="s">
        <v>601</v>
      </c>
      <c r="C936" s="50" t="s">
        <v>780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971"/>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960"/>
      <c r="AN937" s="960"/>
      <c r="AO937" s="960"/>
      <c r="AP937" s="960"/>
      <c r="AQ937" s="960"/>
      <c r="AR937" s="960"/>
      <c r="AS937" s="960"/>
      <c r="AT937" s="960"/>
      <c r="AU937" s="960"/>
      <c r="AV937" s="960"/>
      <c r="AW937" s="960"/>
      <c r="AX937" s="960"/>
      <c r="AY937" s="96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97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97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175">
        <v>44333</v>
      </c>
      <c r="N939" s="2176"/>
      <c r="O939" s="2176"/>
      <c r="P939" s="2176"/>
      <c r="Q939" s="2176"/>
      <c r="R939" s="2176"/>
      <c r="S939" s="2177"/>
      <c r="U939" s="103" t="s">
        <v>11</v>
      </c>
      <c r="V939" s="77"/>
      <c r="W939" s="77"/>
      <c r="X939" s="77"/>
      <c r="Y939" s="77"/>
      <c r="Z939" s="77"/>
      <c r="AA939" s="77"/>
      <c r="AB939" s="77"/>
      <c r="AC939" s="77"/>
      <c r="AD939" s="78"/>
      <c r="AE939" s="2175"/>
      <c r="AF939" s="2176"/>
      <c r="AG939" s="2176"/>
      <c r="AH939" s="2176"/>
      <c r="AI939" s="2176"/>
      <c r="AJ939" s="2176"/>
      <c r="AK939" s="217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97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61" t="s">
        <v>2597</v>
      </c>
      <c r="N940" s="2162"/>
      <c r="O940" s="2162"/>
      <c r="P940" s="2162"/>
      <c r="Q940" s="2162"/>
      <c r="R940" s="2162"/>
      <c r="S940" s="2163"/>
      <c r="U940" s="103" t="s">
        <v>12</v>
      </c>
      <c r="V940" s="77"/>
      <c r="W940" s="77"/>
      <c r="X940" s="77"/>
      <c r="Y940" s="77"/>
      <c r="Z940" s="77"/>
      <c r="AA940" s="77"/>
      <c r="AB940" s="77"/>
      <c r="AC940" s="77"/>
      <c r="AD940" s="78"/>
      <c r="AE940" s="2161"/>
      <c r="AF940" s="2162"/>
      <c r="AG940" s="2162"/>
      <c r="AH940" s="2162"/>
      <c r="AI940" s="2162"/>
      <c r="AJ940" s="2162"/>
      <c r="AK940" s="216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971"/>
      <c r="CS940" s="61"/>
      <c r="CT940" s="61"/>
      <c r="CU940" s="61"/>
      <c r="CV940" s="61"/>
      <c r="CW940" s="61"/>
      <c r="CX940" s="61"/>
      <c r="CY940" s="61"/>
      <c r="CZ940" s="61"/>
      <c r="DA940" s="61"/>
      <c r="DB940" s="61"/>
      <c r="DC940" s="61"/>
      <c r="DD940" s="61"/>
      <c r="DE940" s="61"/>
      <c r="DF940" s="61"/>
    </row>
    <row r="941" spans="1:110" ht="12.75" customHeight="1">
      <c r="C941" s="103" t="s">
        <v>926</v>
      </c>
      <c r="D941" s="77"/>
      <c r="E941" s="77"/>
      <c r="J941" s="2166" t="s">
        <v>312</v>
      </c>
      <c r="K941" s="2167"/>
      <c r="L941" s="2167"/>
      <c r="M941" s="2167"/>
      <c r="N941" s="2167"/>
      <c r="O941" s="2167"/>
      <c r="P941" s="2167"/>
      <c r="Q941" s="2167"/>
      <c r="R941" s="2167"/>
      <c r="S941" s="2168"/>
      <c r="U941" s="103" t="s">
        <v>926</v>
      </c>
      <c r="V941" s="77"/>
      <c r="W941" s="77"/>
      <c r="AB941" s="2166" t="s">
        <v>312</v>
      </c>
      <c r="AC941" s="2167"/>
      <c r="AD941" s="2167"/>
      <c r="AE941" s="2167"/>
      <c r="AF941" s="2167"/>
      <c r="AG941" s="2167"/>
      <c r="AH941" s="2167"/>
      <c r="AI941" s="2167"/>
      <c r="AJ941" s="2167"/>
      <c r="AK941" s="216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97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46">
        <f>M943/G753</f>
        <v>0.12727272727272726</v>
      </c>
      <c r="N942" s="2199"/>
      <c r="O942" s="2199"/>
      <c r="P942" s="2199"/>
      <c r="Q942" s="2199"/>
      <c r="R942" s="2199"/>
      <c r="S942" s="2200"/>
      <c r="U942" s="103" t="s">
        <v>13</v>
      </c>
      <c r="V942" s="77"/>
      <c r="W942" s="77"/>
      <c r="X942" s="77"/>
      <c r="Y942" s="77"/>
      <c r="Z942" s="77"/>
      <c r="AA942" s="77"/>
      <c r="AB942" s="77"/>
      <c r="AC942" s="77"/>
      <c r="AD942" s="78"/>
      <c r="AE942" s="2198"/>
      <c r="AF942" s="2199"/>
      <c r="AG942" s="2199"/>
      <c r="AH942" s="2199"/>
      <c r="AI942" s="2199"/>
      <c r="AJ942" s="2199"/>
      <c r="AK942" s="220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97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116">
        <v>14</v>
      </c>
      <c r="N943" s="2117"/>
      <c r="O943" s="2117"/>
      <c r="P943" s="2117"/>
      <c r="Q943" s="2117"/>
      <c r="R943" s="2117"/>
      <c r="S943" s="2118"/>
      <c r="U943" s="103" t="s">
        <v>14</v>
      </c>
      <c r="V943" s="77"/>
      <c r="W943" s="77"/>
      <c r="X943" s="77"/>
      <c r="Y943" s="77"/>
      <c r="Z943" s="77"/>
      <c r="AA943" s="77"/>
      <c r="AB943" s="77"/>
      <c r="AC943" s="77"/>
      <c r="AD943" s="78"/>
      <c r="AE943" s="2116"/>
      <c r="AF943" s="2117"/>
      <c r="AG943" s="2117"/>
      <c r="AH943" s="2117"/>
      <c r="AI943" s="2117"/>
      <c r="AJ943" s="2117"/>
      <c r="AK943" s="211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97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59">
        <f>Z807</f>
        <v>310488</v>
      </c>
      <c r="N944" s="1890"/>
      <c r="O944" s="1890"/>
      <c r="P944" s="1890"/>
      <c r="Q944" s="1890"/>
      <c r="R944" s="1890"/>
      <c r="S944" s="2160"/>
      <c r="U944" s="103" t="s">
        <v>15</v>
      </c>
      <c r="V944" s="77"/>
      <c r="W944" s="77"/>
      <c r="X944" s="77"/>
      <c r="Y944" s="77"/>
      <c r="Z944" s="77"/>
      <c r="AA944" s="77"/>
      <c r="AB944" s="77"/>
      <c r="AC944" s="77"/>
      <c r="AD944" s="78"/>
      <c r="AE944" s="2159"/>
      <c r="AF944" s="1890"/>
      <c r="AG944" s="1890"/>
      <c r="AH944" s="1890"/>
      <c r="AI944" s="1890"/>
      <c r="AJ944" s="1890"/>
      <c r="AK944" s="216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97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59">
        <f>M944*M946</f>
        <v>6209760</v>
      </c>
      <c r="N945" s="1890"/>
      <c r="O945" s="1890"/>
      <c r="P945" s="1890"/>
      <c r="Q945" s="1890"/>
      <c r="R945" s="1890"/>
      <c r="S945" s="2160"/>
      <c r="U945" s="103" t="s">
        <v>16</v>
      </c>
      <c r="V945" s="77"/>
      <c r="W945" s="77"/>
      <c r="X945" s="77"/>
      <c r="Y945" s="77"/>
      <c r="Z945" s="77"/>
      <c r="AA945" s="77"/>
      <c r="AB945" s="77"/>
      <c r="AC945" s="77"/>
      <c r="AD945" s="78"/>
      <c r="AE945" s="2159"/>
      <c r="AF945" s="1890"/>
      <c r="AG945" s="1890"/>
      <c r="AH945" s="1890"/>
      <c r="AI945" s="1890"/>
      <c r="AJ945" s="1890"/>
      <c r="AK945" s="216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971"/>
      <c r="CS945" s="61"/>
      <c r="CT945" s="61"/>
      <c r="CU945" s="61"/>
      <c r="CV945" s="61"/>
      <c r="CW945" s="61"/>
      <c r="CX945" s="61"/>
      <c r="CY945" s="61"/>
      <c r="CZ945" s="61"/>
      <c r="DA945" s="61"/>
      <c r="DB945" s="61"/>
      <c r="DC945" s="61"/>
      <c r="DD945" s="61"/>
      <c r="DE945" s="61"/>
      <c r="DF945" s="61"/>
    </row>
    <row r="946" spans="1:110" ht="12.75" customHeight="1">
      <c r="C946" s="103" t="s">
        <v>595</v>
      </c>
      <c r="D946" s="77"/>
      <c r="E946" s="77"/>
      <c r="F946" s="77"/>
      <c r="G946" s="77"/>
      <c r="H946" s="77"/>
      <c r="I946" s="77"/>
      <c r="J946" s="77"/>
      <c r="K946" s="77"/>
      <c r="L946" s="78"/>
      <c r="M946" s="2195">
        <v>20</v>
      </c>
      <c r="N946" s="2196"/>
      <c r="O946" s="2196"/>
      <c r="P946" s="2196"/>
      <c r="Q946" s="2196"/>
      <c r="R946" s="2196"/>
      <c r="S946" s="2197"/>
      <c r="U946" s="103" t="s">
        <v>595</v>
      </c>
      <c r="V946" s="77"/>
      <c r="W946" s="77"/>
      <c r="X946" s="77"/>
      <c r="Y946" s="77"/>
      <c r="Z946" s="77"/>
      <c r="AA946" s="77"/>
      <c r="AB946" s="77"/>
      <c r="AC946" s="77"/>
      <c r="AD946" s="78"/>
      <c r="AE946" s="2195"/>
      <c r="AF946" s="2196"/>
      <c r="AG946" s="2196"/>
      <c r="AH946" s="2196"/>
      <c r="AI946" s="2196"/>
      <c r="AJ946" s="2196"/>
      <c r="AK946" s="219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97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971"/>
      <c r="CS947" s="61"/>
      <c r="CT947" s="61"/>
      <c r="CU947" s="61"/>
      <c r="CV947" s="61"/>
      <c r="CW947" s="61"/>
      <c r="CX947" s="61"/>
      <c r="CY947" s="61"/>
      <c r="CZ947" s="61"/>
      <c r="DA947" s="61"/>
      <c r="DB947" s="61"/>
      <c r="DC947" s="61"/>
      <c r="DD947" s="61"/>
      <c r="DE947" s="61"/>
      <c r="DF947" s="61"/>
    </row>
    <row r="948" spans="1:110" ht="12.75" customHeight="1">
      <c r="A948" s="50" t="s">
        <v>611</v>
      </c>
      <c r="C948" s="102" t="s">
        <v>675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960"/>
      <c r="AN948" s="960"/>
      <c r="AO948" s="960"/>
      <c r="AP948" s="960"/>
      <c r="AQ948" s="960"/>
      <c r="AR948" s="960"/>
      <c r="AS948" s="960"/>
      <c r="AT948" s="960"/>
      <c r="AU948" s="960"/>
      <c r="AV948" s="960"/>
      <c r="AW948" s="960"/>
      <c r="AX948" s="960"/>
      <c r="AY948" s="96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971"/>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960"/>
      <c r="AN949" s="960"/>
      <c r="AO949" s="960"/>
      <c r="AP949" s="960"/>
      <c r="AQ949" s="960"/>
      <c r="AR949" s="960"/>
      <c r="AS949" s="960"/>
      <c r="AT949" s="960"/>
      <c r="AU949" s="960"/>
      <c r="AV949" s="960"/>
      <c r="AW949" s="960"/>
      <c r="AX949" s="960"/>
      <c r="AY949" s="96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97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960"/>
      <c r="AN950" s="960"/>
      <c r="AO950" s="960"/>
      <c r="AP950" s="960"/>
      <c r="AQ950" s="960"/>
      <c r="AR950" s="960"/>
      <c r="AS950" s="960"/>
      <c r="AT950" s="960"/>
      <c r="AU950" s="960"/>
      <c r="AV950" s="960"/>
      <c r="AW950" s="960"/>
      <c r="AX950" s="960"/>
      <c r="AY950" s="96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971"/>
      <c r="CS950" s="61"/>
      <c r="CT950" s="61"/>
      <c r="CU950" s="61"/>
      <c r="CV950" s="61"/>
      <c r="CW950" s="61"/>
      <c r="CX950" s="61"/>
      <c r="CY950" s="61"/>
      <c r="CZ950" s="61"/>
      <c r="DA950" s="61"/>
      <c r="DB950" s="61"/>
      <c r="DC950" s="61"/>
      <c r="DD950" s="61"/>
      <c r="DE950" s="61"/>
      <c r="DF950" s="61"/>
    </row>
    <row r="951" spans="1:110" ht="12.75" customHeight="1">
      <c r="F951" s="76" t="s">
        <v>596</v>
      </c>
      <c r="G951" s="77"/>
      <c r="H951" s="77"/>
      <c r="I951" s="77"/>
      <c r="J951" s="77"/>
      <c r="K951" s="77"/>
      <c r="L951" s="78"/>
      <c r="M951" s="2169" t="s">
        <v>616</v>
      </c>
      <c r="N951" s="2170"/>
      <c r="O951" s="2170"/>
      <c r="P951" s="2170"/>
      <c r="Q951" s="2170"/>
      <c r="R951" s="2170"/>
      <c r="S951" s="2171"/>
      <c r="T951" s="103" t="s">
        <v>830</v>
      </c>
      <c r="U951" s="77"/>
      <c r="V951" s="77"/>
      <c r="W951" s="77"/>
      <c r="X951" s="77"/>
      <c r="Y951" s="77"/>
      <c r="Z951" s="78"/>
      <c r="AA951" s="2169" t="s">
        <v>616</v>
      </c>
      <c r="AB951" s="2170"/>
      <c r="AC951" s="2170"/>
      <c r="AD951" s="2170"/>
      <c r="AE951" s="2170"/>
      <c r="AF951" s="2170"/>
      <c r="AG951" s="217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971"/>
      <c r="CS951" s="61"/>
      <c r="CT951" s="61"/>
      <c r="CU951" s="61"/>
      <c r="CV951" s="61"/>
      <c r="CW951" s="61"/>
      <c r="CX951" s="61"/>
      <c r="CY951" s="61"/>
      <c r="CZ951" s="61"/>
      <c r="DA951" s="61"/>
      <c r="DB951" s="61"/>
      <c r="DC951" s="61"/>
      <c r="DD951" s="61"/>
      <c r="DE951" s="61"/>
      <c r="DF951" s="61"/>
    </row>
    <row r="952" spans="1:110" ht="12.75" customHeight="1">
      <c r="F952" s="76" t="s">
        <v>597</v>
      </c>
      <c r="G952" s="77"/>
      <c r="H952" s="77"/>
      <c r="I952" s="77"/>
      <c r="J952" s="77"/>
      <c r="K952" s="77"/>
      <c r="L952" s="78"/>
      <c r="M952" s="2169" t="s">
        <v>616</v>
      </c>
      <c r="N952" s="2170"/>
      <c r="O952" s="2170"/>
      <c r="P952" s="2170"/>
      <c r="Q952" s="2170"/>
      <c r="R952" s="2170"/>
      <c r="S952" s="2171"/>
      <c r="T952" s="103" t="s">
        <v>829</v>
      </c>
      <c r="U952" s="77"/>
      <c r="V952" s="77"/>
      <c r="W952" s="77"/>
      <c r="X952" s="77"/>
      <c r="Y952" s="77"/>
      <c r="Z952" s="78"/>
      <c r="AA952" s="2169" t="s">
        <v>616</v>
      </c>
      <c r="AB952" s="2170"/>
      <c r="AC952" s="2170"/>
      <c r="AD952" s="2170"/>
      <c r="AE952" s="2170"/>
      <c r="AF952" s="2170"/>
      <c r="AG952" s="217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971"/>
      <c r="CS952" s="61"/>
      <c r="CT952" s="61"/>
      <c r="CU952" s="61"/>
      <c r="CV952" s="61"/>
      <c r="CW952" s="61"/>
      <c r="CX952" s="61"/>
      <c r="CY952" s="61"/>
      <c r="CZ952" s="61"/>
      <c r="DA952" s="61"/>
      <c r="DB952" s="61"/>
      <c r="DC952" s="61"/>
      <c r="DD952" s="61"/>
      <c r="DE952" s="61"/>
      <c r="DF952" s="61"/>
    </row>
    <row r="953" spans="1:110" ht="12.75" customHeight="1">
      <c r="F953" s="76" t="s">
        <v>951</v>
      </c>
      <c r="G953" s="77"/>
      <c r="H953" s="77"/>
      <c r="I953" s="77"/>
      <c r="J953" s="77"/>
      <c r="K953" s="77"/>
      <c r="L953" s="78"/>
      <c r="M953" s="2179" t="s">
        <v>616</v>
      </c>
      <c r="N953" s="2180"/>
      <c r="O953" s="2180"/>
      <c r="P953" s="2180"/>
      <c r="Q953" s="2180"/>
      <c r="R953" s="2180"/>
      <c r="S953" s="2181"/>
      <c r="T953" s="76" t="s">
        <v>342</v>
      </c>
      <c r="U953" s="77"/>
      <c r="V953" s="77"/>
      <c r="W953" s="77"/>
      <c r="X953" s="77"/>
      <c r="Y953" s="77"/>
      <c r="Z953" s="78"/>
      <c r="AA953" s="2169" t="s">
        <v>616</v>
      </c>
      <c r="AB953" s="2170"/>
      <c r="AC953" s="2170"/>
      <c r="AD953" s="2170"/>
      <c r="AE953" s="2170"/>
      <c r="AF953" s="2170"/>
      <c r="AG953" s="217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971"/>
      <c r="CS953" s="61"/>
      <c r="CT953" s="61"/>
      <c r="CU953" s="61"/>
      <c r="CV953" s="61"/>
      <c r="CW953" s="61"/>
      <c r="CX953" s="61"/>
      <c r="CY953" s="61"/>
      <c r="CZ953" s="61"/>
      <c r="DA953" s="61"/>
      <c r="DB953" s="61"/>
      <c r="DC953" s="61"/>
      <c r="DD953" s="61"/>
      <c r="DE953" s="61"/>
      <c r="DF953" s="61"/>
    </row>
    <row r="954" spans="1:110" ht="12.75" customHeight="1">
      <c r="F954" s="76" t="s">
        <v>598</v>
      </c>
      <c r="G954" s="77"/>
      <c r="H954" s="77"/>
      <c r="I954" s="77"/>
      <c r="J954" s="77"/>
      <c r="K954" s="77"/>
      <c r="L954" s="78"/>
      <c r="M954" s="2169" t="s">
        <v>616</v>
      </c>
      <c r="N954" s="2170"/>
      <c r="O954" s="2170"/>
      <c r="P954" s="2170"/>
      <c r="Q954" s="2170"/>
      <c r="R954" s="2170"/>
      <c r="S954" s="2171"/>
      <c r="T954" s="76" t="s">
        <v>343</v>
      </c>
      <c r="U954" s="77"/>
      <c r="V954" s="77"/>
      <c r="W954" s="77"/>
      <c r="X954" s="77"/>
      <c r="Y954" s="77"/>
      <c r="Z954" s="78"/>
      <c r="AA954" s="2169" t="s">
        <v>616</v>
      </c>
      <c r="AB954" s="2170"/>
      <c r="AC954" s="2170"/>
      <c r="AD954" s="2170"/>
      <c r="AE954" s="2170"/>
      <c r="AF954" s="2170"/>
      <c r="AG954" s="217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971"/>
      <c r="CS954" s="61"/>
      <c r="CT954" s="61"/>
      <c r="CU954" s="61"/>
      <c r="CV954" s="61"/>
      <c r="CW954" s="61"/>
      <c r="CX954" s="61"/>
      <c r="CY954" s="61"/>
      <c r="CZ954" s="61"/>
      <c r="DA954" s="61"/>
      <c r="DB954" s="61"/>
      <c r="DC954" s="61"/>
      <c r="DD954" s="61"/>
      <c r="DE954" s="61"/>
      <c r="DF954" s="61"/>
    </row>
    <row r="955" spans="1:110" ht="12.75" customHeight="1">
      <c r="F955" s="76" t="s">
        <v>488</v>
      </c>
      <c r="G955" s="77"/>
      <c r="H955" s="77"/>
      <c r="I955" s="77"/>
      <c r="J955" s="77"/>
      <c r="K955" s="77"/>
      <c r="L955" s="78"/>
      <c r="M955" s="2169" t="s">
        <v>616</v>
      </c>
      <c r="N955" s="2170"/>
      <c r="O955" s="2170"/>
      <c r="P955" s="2170"/>
      <c r="Q955" s="2170"/>
      <c r="R955" s="2170"/>
      <c r="S955" s="2171"/>
      <c r="T955" s="76" t="s">
        <v>390</v>
      </c>
      <c r="U955" s="77"/>
      <c r="V955" s="77"/>
      <c r="W955" s="77"/>
      <c r="X955" s="77"/>
      <c r="Y955" s="77"/>
      <c r="Z955" s="78"/>
      <c r="AA955" s="2169" t="s">
        <v>616</v>
      </c>
      <c r="AB955" s="2170"/>
      <c r="AC955" s="2170"/>
      <c r="AD955" s="2170"/>
      <c r="AE955" s="2170"/>
      <c r="AF955" s="2170"/>
      <c r="AG955" s="217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971"/>
      <c r="CS955" s="61"/>
      <c r="CT955" s="61"/>
      <c r="CU955" s="61"/>
      <c r="CV955" s="61"/>
      <c r="CW955" s="61"/>
      <c r="CX955" s="61"/>
      <c r="CY955" s="61"/>
      <c r="CZ955" s="61"/>
      <c r="DA955" s="61"/>
      <c r="DB955" s="61"/>
      <c r="DC955" s="61"/>
      <c r="DD955" s="61"/>
      <c r="DE955" s="61"/>
      <c r="DF955" s="61"/>
    </row>
    <row r="956" spans="1:110" ht="12.75" customHeight="1">
      <c r="F956" s="388" t="s">
        <v>926</v>
      </c>
      <c r="G956" s="72"/>
      <c r="H956" s="72"/>
      <c r="I956" s="72"/>
      <c r="J956" s="72"/>
      <c r="K956" s="72"/>
      <c r="L956" s="94"/>
      <c r="M956" s="2182" t="s">
        <v>312</v>
      </c>
      <c r="N956" s="2183"/>
      <c r="O956" s="2183"/>
      <c r="P956" s="2183"/>
      <c r="Q956" s="2183"/>
      <c r="R956" s="2183"/>
      <c r="S956" s="2184"/>
      <c r="T956" s="2172"/>
      <c r="U956" s="2173"/>
      <c r="V956" s="2173"/>
      <c r="W956" s="2173"/>
      <c r="X956" s="2173"/>
      <c r="Y956" s="2173"/>
      <c r="Z956" s="2174"/>
      <c r="AA956" s="2169" t="s">
        <v>616</v>
      </c>
      <c r="AB956" s="2170"/>
      <c r="AC956" s="2170"/>
      <c r="AD956" s="2170"/>
      <c r="AE956" s="2170"/>
      <c r="AF956" s="2170"/>
      <c r="AG956" s="217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971"/>
      <c r="CS956" s="61"/>
      <c r="CT956" s="61"/>
      <c r="CU956" s="61"/>
      <c r="CV956" s="61"/>
      <c r="CW956" s="61"/>
      <c r="CX956" s="61"/>
      <c r="CY956" s="61"/>
      <c r="CZ956" s="61"/>
      <c r="DA956" s="61"/>
      <c r="DB956" s="61"/>
      <c r="DC956" s="61"/>
      <c r="DD956" s="61"/>
      <c r="DE956" s="61"/>
      <c r="DF956" s="61"/>
    </row>
    <row r="957" spans="1:110" ht="12.75" customHeight="1">
      <c r="F957" s="71" t="s">
        <v>489</v>
      </c>
      <c r="G957" s="72"/>
      <c r="H957" s="72"/>
      <c r="I957" s="72"/>
      <c r="J957" s="72"/>
      <c r="K957" s="72"/>
      <c r="L957" s="94"/>
      <c r="M957" s="2169" t="s">
        <v>616</v>
      </c>
      <c r="N957" s="2170"/>
      <c r="O957" s="2170"/>
      <c r="P957" s="2170"/>
      <c r="Q957" s="2170"/>
      <c r="R957" s="2170"/>
      <c r="S957" s="2171"/>
      <c r="T957" s="2172"/>
      <c r="U957" s="2173"/>
      <c r="V957" s="2173"/>
      <c r="W957" s="2173"/>
      <c r="X957" s="2173"/>
      <c r="Y957" s="2173"/>
      <c r="Z957" s="2174"/>
      <c r="AA957" s="2169" t="s">
        <v>616</v>
      </c>
      <c r="AB957" s="2170"/>
      <c r="AC957" s="2170"/>
      <c r="AD957" s="2170"/>
      <c r="AE957" s="2170"/>
      <c r="AF957" s="2170"/>
      <c r="AG957" s="217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971"/>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1960" t="s">
        <v>694</v>
      </c>
      <c r="P958" s="1961"/>
      <c r="Q958" s="139"/>
      <c r="R958" s="139"/>
      <c r="S958" s="140"/>
      <c r="T958" s="71" t="s">
        <v>174</v>
      </c>
      <c r="U958" s="72"/>
      <c r="V958" s="72"/>
      <c r="W958" s="2133" t="s">
        <v>339</v>
      </c>
      <c r="X958" s="2134"/>
      <c r="Y958" s="2134"/>
      <c r="Z958" s="2134"/>
      <c r="AA958" s="2134"/>
      <c r="AB958" s="2134"/>
      <c r="AC958" s="2134"/>
      <c r="AD958" s="2134"/>
      <c r="AE958" s="2134"/>
      <c r="AF958" s="2134"/>
      <c r="AG958" s="213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971"/>
      <c r="CS958" s="61"/>
      <c r="CT958" s="61"/>
      <c r="CU958" s="61"/>
      <c r="CV958" s="61"/>
      <c r="CW958" s="61"/>
      <c r="CX958" s="61"/>
      <c r="CY958" s="61"/>
      <c r="CZ958" s="61"/>
      <c r="DA958" s="61"/>
      <c r="DB958" s="61"/>
      <c r="DC958" s="61"/>
      <c r="DD958" s="61"/>
      <c r="DE958" s="61"/>
      <c r="DF958" s="61"/>
    </row>
    <row r="959" spans="1:110" ht="12.75" customHeight="1">
      <c r="F959" s="2202" t="s">
        <v>34</v>
      </c>
      <c r="G959" s="2203"/>
      <c r="H959" s="2203"/>
      <c r="I959" s="2203"/>
      <c r="J959" s="2203"/>
      <c r="K959" s="2203"/>
      <c r="L959" s="2203"/>
      <c r="M959" s="2169" t="s">
        <v>616</v>
      </c>
      <c r="N959" s="2170"/>
      <c r="O959" s="2170"/>
      <c r="P959" s="2170"/>
      <c r="Q959" s="2170"/>
      <c r="R959" s="2170"/>
      <c r="S959" s="2171"/>
      <c r="T959" s="79"/>
      <c r="U959" s="80"/>
      <c r="V959" s="80"/>
      <c r="W959" s="80"/>
      <c r="X959" s="80"/>
      <c r="Y959" s="80"/>
      <c r="Z959" s="188" t="s">
        <v>139</v>
      </c>
      <c r="AA959" s="2353" t="s">
        <v>616</v>
      </c>
      <c r="AB959" s="2354"/>
      <c r="AC959" s="2354"/>
      <c r="AD959" s="2354"/>
      <c r="AE959" s="2354"/>
      <c r="AF959" s="2354"/>
      <c r="AG959" s="235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97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97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97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971"/>
      <c r="CS962" s="61"/>
      <c r="CT962" s="61"/>
      <c r="CU962" s="61"/>
      <c r="CV962" s="61"/>
      <c r="CW962" s="61"/>
      <c r="CX962" s="61"/>
      <c r="CY962" s="61"/>
      <c r="CZ962" s="61"/>
      <c r="DA962" s="61"/>
      <c r="DB962" s="61"/>
      <c r="DC962" s="61"/>
      <c r="DD962" s="61"/>
      <c r="DE962" s="61"/>
      <c r="DF962" s="61"/>
    </row>
    <row r="963" spans="1:110" ht="12.75" customHeight="1">
      <c r="A963" s="2286" t="s">
        <v>572</v>
      </c>
      <c r="B963" s="2286"/>
      <c r="C963" s="2286"/>
      <c r="D963" s="2286"/>
      <c r="E963" s="2286"/>
      <c r="F963" s="2286"/>
      <c r="G963" s="2286"/>
      <c r="H963" s="2286"/>
      <c r="I963" s="2286"/>
      <c r="J963" s="2286"/>
      <c r="K963" s="2286"/>
      <c r="L963" s="2286"/>
      <c r="M963" s="2286"/>
      <c r="N963" s="2286"/>
      <c r="O963" s="2286"/>
      <c r="P963" s="2286"/>
      <c r="Q963" s="2286"/>
      <c r="R963" s="2286"/>
      <c r="S963" s="2286"/>
      <c r="T963" s="2286"/>
      <c r="U963" s="2286"/>
      <c r="V963" s="2286"/>
      <c r="W963" s="2286"/>
      <c r="X963" s="2286"/>
      <c r="Y963" s="2286"/>
      <c r="Z963" s="2286"/>
      <c r="AA963" s="2286"/>
      <c r="AB963" s="2286"/>
      <c r="AC963" s="2286"/>
      <c r="AD963" s="2286"/>
      <c r="AE963" s="2286"/>
      <c r="AF963" s="2286"/>
      <c r="AG963" s="2286"/>
      <c r="AH963" s="2286"/>
      <c r="AI963" s="2286"/>
      <c r="AJ963" s="2286"/>
      <c r="AK963" s="2286"/>
      <c r="AL963" s="2286"/>
      <c r="AM963" s="2286"/>
      <c r="AN963" s="2286"/>
      <c r="AO963" s="2286"/>
      <c r="AP963" s="2286"/>
      <c r="AQ963" s="2286"/>
      <c r="AR963" s="2286"/>
      <c r="AS963" s="22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971"/>
      <c r="CS963" s="61"/>
      <c r="CT963" s="61"/>
      <c r="CU963" s="61"/>
      <c r="CV963" s="61"/>
      <c r="CW963" s="61"/>
      <c r="CX963" s="61"/>
      <c r="CY963" s="61"/>
      <c r="CZ963" s="61"/>
      <c r="DA963" s="61"/>
      <c r="DB963" s="61"/>
      <c r="DC963" s="61"/>
      <c r="DD963" s="61"/>
      <c r="DE963" s="61"/>
      <c r="DF963" s="61"/>
    </row>
    <row r="964" spans="1:110" s="51" customFormat="1" ht="12.75" customHeight="1">
      <c r="A964" s="2286"/>
      <c r="B964" s="2286"/>
      <c r="C964" s="2286"/>
      <c r="D964" s="2286"/>
      <c r="E964" s="2286"/>
      <c r="F964" s="2286"/>
      <c r="G964" s="2286"/>
      <c r="H964" s="2286"/>
      <c r="I964" s="2286"/>
      <c r="J964" s="2286"/>
      <c r="K964" s="2286"/>
      <c r="L964" s="2286"/>
      <c r="M964" s="2286"/>
      <c r="N964" s="2286"/>
      <c r="O964" s="2286"/>
      <c r="P964" s="2286"/>
      <c r="Q964" s="2286"/>
      <c r="R964" s="2286"/>
      <c r="S964" s="2286"/>
      <c r="T964" s="2286"/>
      <c r="U964" s="2286"/>
      <c r="V964" s="2286"/>
      <c r="W964" s="2286"/>
      <c r="X964" s="2286"/>
      <c r="Y964" s="2286"/>
      <c r="Z964" s="2286"/>
      <c r="AA964" s="2286"/>
      <c r="AB964" s="2286"/>
      <c r="AC964" s="2286"/>
      <c r="AD964" s="2286"/>
      <c r="AE964" s="2286"/>
      <c r="AF964" s="2286"/>
      <c r="AG964" s="2286"/>
      <c r="AH964" s="2286"/>
      <c r="AI964" s="2286"/>
      <c r="AJ964" s="2286"/>
      <c r="AK964" s="2286"/>
      <c r="AL964" s="2286"/>
      <c r="AM964" s="2286"/>
      <c r="AN964" s="2286"/>
      <c r="AO964" s="2286"/>
      <c r="AP964" s="2286"/>
      <c r="AQ964" s="2286"/>
      <c r="AR964" s="2286"/>
      <c r="AS964" s="22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095"/>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961"/>
      <c r="AN965" s="961"/>
      <c r="AO965" s="961"/>
      <c r="AP965" s="961"/>
      <c r="AQ965" s="961"/>
      <c r="AR965" s="961"/>
      <c r="AS965" s="961"/>
      <c r="AT965" s="961"/>
      <c r="AU965" s="961"/>
      <c r="AV965" s="961"/>
      <c r="AW965" s="961"/>
      <c r="AX965" s="961"/>
      <c r="AY965" s="961"/>
      <c r="AZ965" s="21"/>
      <c r="BB965" s="21"/>
      <c r="BC965" s="21"/>
      <c r="BD965" s="21"/>
      <c r="BE965" s="21"/>
      <c r="BF965" s="21"/>
      <c r="BG965" s="2158"/>
      <c r="BH965" s="2158"/>
      <c r="BI965" s="2158"/>
      <c r="BJ965" s="2158"/>
      <c r="BK965" s="2158"/>
      <c r="BL965" s="2158"/>
      <c r="BM965" s="56"/>
      <c r="BN965" s="56"/>
      <c r="CB965" s="107"/>
      <c r="CC965" s="107"/>
      <c r="CD965" s="107"/>
      <c r="CE965" s="107"/>
      <c r="CF965" s="107"/>
      <c r="CG965" s="107"/>
      <c r="CH965" s="107"/>
      <c r="CI965" s="107"/>
      <c r="CJ965" s="107"/>
      <c r="CK965" s="107"/>
      <c r="CL965" s="107"/>
      <c r="CM965" s="107"/>
      <c r="CN965" s="107"/>
      <c r="CO965" s="107"/>
      <c r="CP965" s="107"/>
      <c r="CQ965" s="107"/>
      <c r="CR965" s="1095"/>
      <c r="CS965" s="107"/>
      <c r="CT965" s="107"/>
      <c r="CU965" s="107"/>
      <c r="CV965" s="107"/>
      <c r="CW965" s="107"/>
      <c r="CX965" s="107"/>
      <c r="CY965" s="107"/>
      <c r="CZ965" s="107"/>
      <c r="DA965" s="107"/>
      <c r="DB965" s="107"/>
      <c r="DC965" s="107"/>
      <c r="DD965" s="107"/>
      <c r="DE965" s="107"/>
      <c r="DF965" s="107"/>
    </row>
    <row r="966" spans="1:110" s="51" customFormat="1" ht="13.2">
      <c r="A966" s="49" t="s">
        <v>324</v>
      </c>
      <c r="B966" s="25"/>
      <c r="C966" s="49" t="s">
        <v>640</v>
      </c>
      <c r="D966" s="25"/>
      <c r="E966" s="25"/>
      <c r="F966" s="25"/>
      <c r="G966" s="3"/>
      <c r="H966" s="25"/>
      <c r="AL966" s="105"/>
      <c r="AM966" s="961"/>
      <c r="AN966" s="961"/>
      <c r="AO966" s="961"/>
      <c r="AP966" s="961"/>
      <c r="AQ966" s="961"/>
      <c r="AR966" s="961"/>
      <c r="AS966" s="961"/>
      <c r="AT966" s="961"/>
      <c r="AU966" s="961"/>
      <c r="AV966" s="961"/>
      <c r="AW966" s="961"/>
      <c r="AX966" s="961"/>
      <c r="AY966" s="961"/>
      <c r="BB966" s="975"/>
      <c r="BC966" s="97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095"/>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961"/>
      <c r="AN967" s="961"/>
      <c r="AO967" s="961"/>
      <c r="AP967" s="961"/>
      <c r="AQ967" s="961"/>
      <c r="AR967" s="961"/>
      <c r="AS967" s="961"/>
      <c r="AT967" s="961"/>
      <c r="AU967" s="961"/>
      <c r="AV967" s="961"/>
      <c r="AW967" s="961"/>
      <c r="AX967" s="961"/>
      <c r="AY967" s="961"/>
      <c r="BB967" s="975"/>
      <c r="BC967" s="97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095"/>
      <c r="CS967" s="107"/>
      <c r="CT967" s="107"/>
      <c r="CU967" s="107"/>
      <c r="CV967" s="107"/>
      <c r="CW967" s="107"/>
      <c r="CX967" s="107"/>
      <c r="CY967" s="107"/>
      <c r="CZ967" s="107"/>
      <c r="DA967" s="107"/>
      <c r="DB967" s="107"/>
      <c r="DC967" s="107"/>
      <c r="DD967" s="107"/>
      <c r="DE967" s="107"/>
      <c r="DF967" s="107"/>
    </row>
    <row r="968" spans="1:110" s="51" customFormat="1" ht="13.2">
      <c r="A968" s="104"/>
      <c r="B968" s="117"/>
      <c r="C968" s="991"/>
      <c r="D968" s="2347" t="s">
        <v>663</v>
      </c>
      <c r="E968" s="2348"/>
      <c r="F968" s="2348"/>
      <c r="G968" s="2348"/>
      <c r="H968" s="2348"/>
      <c r="I968" s="2348"/>
      <c r="J968" s="2348"/>
      <c r="K968" s="2348"/>
      <c r="L968" s="2348"/>
      <c r="M968" s="2348"/>
      <c r="N968" s="2348"/>
      <c r="O968" s="2348"/>
      <c r="P968" s="2348"/>
      <c r="Q968" s="2349"/>
      <c r="R968" s="2347" t="s">
        <v>664</v>
      </c>
      <c r="S968" s="2348"/>
      <c r="T968" s="2348"/>
      <c r="U968" s="2348"/>
      <c r="V968" s="2348"/>
      <c r="W968" s="2348"/>
      <c r="X968" s="2348"/>
      <c r="Y968" s="2348"/>
      <c r="Z968" s="2348"/>
      <c r="AA968" s="2349"/>
      <c r="AB968" s="2347" t="s">
        <v>665</v>
      </c>
      <c r="AC968" s="2348"/>
      <c r="AD968" s="2348"/>
      <c r="AE968" s="2348"/>
      <c r="AF968" s="2348"/>
      <c r="AG968" s="2348"/>
      <c r="AH968" s="2348"/>
      <c r="AI968" s="2349"/>
      <c r="AJ968" s="2347" t="s">
        <v>666</v>
      </c>
      <c r="AK968" s="2348"/>
      <c r="AL968" s="2348"/>
      <c r="AM968" s="2348"/>
      <c r="AN968" s="2348"/>
      <c r="AO968" s="2348"/>
      <c r="AP968" s="2348"/>
      <c r="AQ968" s="2349"/>
      <c r="AR968" s="961"/>
      <c r="AS968" s="961"/>
      <c r="AT968" s="961"/>
      <c r="AU968" s="961"/>
      <c r="AV968" s="961"/>
      <c r="AW968" s="961"/>
      <c r="AX968" s="961"/>
      <c r="AY968" s="96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095"/>
      <c r="CS968" s="107"/>
      <c r="CT968" s="107"/>
      <c r="CU968" s="107"/>
      <c r="CV968" s="107"/>
      <c r="CW968" s="107"/>
      <c r="CX968" s="107"/>
      <c r="CY968" s="107"/>
      <c r="CZ968" s="107"/>
      <c r="DA968" s="107"/>
      <c r="DB968" s="107"/>
      <c r="DC968" s="107"/>
      <c r="DD968" s="107"/>
      <c r="DE968" s="107"/>
      <c r="DF968" s="107"/>
    </row>
    <row r="969" spans="1:110" s="51" customFormat="1" ht="13.2">
      <c r="B969" s="110"/>
      <c r="C969" s="992"/>
      <c r="D969" s="2239" t="s">
        <v>658</v>
      </c>
      <c r="E969" s="2240"/>
      <c r="F969" s="2240"/>
      <c r="G969" s="2240"/>
      <c r="H969" s="2240"/>
      <c r="I969" s="2240"/>
      <c r="J969" s="2240"/>
      <c r="K969" s="2240"/>
      <c r="L969" s="2240"/>
      <c r="M969" s="2240"/>
      <c r="N969" s="2240"/>
      <c r="O969" s="2240"/>
      <c r="P969" s="2240"/>
      <c r="Q969" s="2241"/>
      <c r="R969" s="2204">
        <f>IF(ISNA(IF($BN$799="4%",(INDEX($BP$809:$BT$866,MATCH($CB$799,$BO$809:$BO$866,0),MATCH(D969,$BP$808:$BT$808,0))),(INDEX($BW$809:$CA$866,MATCH($CB$799,$BV$809:$BV$866,0),MATCH(D969,$BW$808:$CA$808,0))))),0,IF($BN$799="4%",(INDEX($BP$809:$BT$866,MATCH($CB$799,$BO$809:$BO$866,0),MATCH(D969,$BP$808:$BT$808,0))),(INDEX($BW$809:$CA$866,MATCH($CB$799,$BV$809:$BV$866,0),MATCH(D969,$BW$808:$CA$808,0)))))</f>
        <v>530910</v>
      </c>
      <c r="S969" s="2204"/>
      <c r="T969" s="2204"/>
      <c r="U969" s="2204"/>
      <c r="V969" s="2204"/>
      <c r="W969" s="2204"/>
      <c r="X969" s="2204"/>
      <c r="Y969" s="2204"/>
      <c r="Z969" s="2204"/>
      <c r="AA969" s="2204"/>
      <c r="AB969" s="2350">
        <f>BN663</f>
        <v>80</v>
      </c>
      <c r="AC969" s="2351"/>
      <c r="AD969" s="2351"/>
      <c r="AE969" s="2351"/>
      <c r="AF969" s="2351"/>
      <c r="AG969" s="2351"/>
      <c r="AH969" s="2351"/>
      <c r="AI969" s="2352"/>
      <c r="AJ969" s="2245">
        <f>IF(ISERROR((R969*AB969)),0,(R969*AB969))</f>
        <v>42472800</v>
      </c>
      <c r="AK969" s="2246"/>
      <c r="AL969" s="2246"/>
      <c r="AM969" s="2246"/>
      <c r="AN969" s="2246"/>
      <c r="AO969" s="2246"/>
      <c r="AP969" s="2246"/>
      <c r="AQ969" s="2247"/>
      <c r="AR969" s="961"/>
      <c r="AS969" s="961"/>
      <c r="AT969" s="961"/>
      <c r="AU969" s="961"/>
      <c r="AV969" s="961"/>
      <c r="AW969" s="961"/>
      <c r="AX969" s="961"/>
      <c r="AY969" s="96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095"/>
      <c r="CS969" s="107"/>
      <c r="CT969" s="107"/>
      <c r="CU969" s="107"/>
      <c r="CV969" s="107"/>
      <c r="CW969" s="107"/>
      <c r="CX969" s="107"/>
      <c r="CY969" s="107"/>
      <c r="CZ969" s="107"/>
      <c r="DA969" s="107"/>
      <c r="DB969" s="107"/>
      <c r="DC969" s="107"/>
      <c r="DD969" s="107"/>
      <c r="DE969" s="107"/>
      <c r="DF969" s="107"/>
    </row>
    <row r="970" spans="1:110" s="51" customFormat="1" ht="13.2">
      <c r="B970" s="110"/>
      <c r="C970" s="993"/>
      <c r="D970" s="2239" t="s">
        <v>330</v>
      </c>
      <c r="E970" s="2240"/>
      <c r="F970" s="2240"/>
      <c r="G970" s="2240"/>
      <c r="H970" s="2240"/>
      <c r="I970" s="2240"/>
      <c r="J970" s="2240"/>
      <c r="K970" s="2240"/>
      <c r="L970" s="2240"/>
      <c r="M970" s="2240"/>
      <c r="N970" s="2240"/>
      <c r="O970" s="2240"/>
      <c r="P970" s="2240"/>
      <c r="Q970" s="2241"/>
      <c r="R970" s="2204">
        <f>IF(ISNA(IF($BN$799="4%",(INDEX($BP$809:$BT$866,MATCH($CB$799,$BO$809:$BO$866,0),MATCH(D970,$BP$808:$BT$808,0))),(INDEX($BW$809:$CA$866,MATCH($CB$799,$BV$809:$BV$866,0),MATCH(D970,$BW$808:$CA$808,0))))),0,IF($BN$799="4%",(INDEX($BP$809:$BT$866,MATCH($CB$799,$BO$809:$BO$866,0),MATCH(D970,$BP$808:$BT$808,0))),(INDEX($BW$809:$CA$866,MATCH($CB$799,$BV$809:$BV$866,0),MATCH(D970,$BW$808:$CA$808,0)))))</f>
        <v>612134</v>
      </c>
      <c r="S970" s="2204"/>
      <c r="T970" s="2204"/>
      <c r="U970" s="2204"/>
      <c r="V970" s="2204"/>
      <c r="W970" s="2204"/>
      <c r="X970" s="2204"/>
      <c r="Y970" s="2204"/>
      <c r="Z970" s="2204"/>
      <c r="AA970" s="2204"/>
      <c r="AB970" s="2350">
        <f>BS663</f>
        <v>0</v>
      </c>
      <c r="AC970" s="2351"/>
      <c r="AD970" s="2351"/>
      <c r="AE970" s="2351"/>
      <c r="AF970" s="2351"/>
      <c r="AG970" s="2351"/>
      <c r="AH970" s="2351"/>
      <c r="AI970" s="2352"/>
      <c r="AJ970" s="2245">
        <f>IF(ISERROR((R970*AB970)),0,(R970*AB970))</f>
        <v>0</v>
      </c>
      <c r="AK970" s="2246"/>
      <c r="AL970" s="2246"/>
      <c r="AM970" s="2246"/>
      <c r="AN970" s="2246"/>
      <c r="AO970" s="2246"/>
      <c r="AP970" s="2246"/>
      <c r="AQ970" s="2247"/>
      <c r="AR970" s="961"/>
      <c r="AS970" s="961"/>
      <c r="AT970" s="961"/>
      <c r="AU970" s="961"/>
      <c r="AV970" s="961"/>
      <c r="AW970" s="961"/>
      <c r="AX970" s="961"/>
      <c r="AY970" s="96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09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993"/>
      <c r="D971" s="2239" t="s">
        <v>168</v>
      </c>
      <c r="E971" s="2240"/>
      <c r="F971" s="2240"/>
      <c r="G971" s="2240"/>
      <c r="H971" s="2240"/>
      <c r="I971" s="2240"/>
      <c r="J971" s="2240"/>
      <c r="K971" s="2240"/>
      <c r="L971" s="2240"/>
      <c r="M971" s="2240"/>
      <c r="N971" s="2240"/>
      <c r="O971" s="2240"/>
      <c r="P971" s="2240"/>
      <c r="Q971" s="2241"/>
      <c r="R971" s="2204">
        <f>IF(ISNA(IF($BN$799="4%",(INDEX($BP$809:$BT$866,MATCH($CB$799,$BO$809:$BO$866,0),MATCH(D971,$BP$808:$BT$808,0))),(INDEX($BW$809:$CA$866,MATCH($CB$799,$BV$809:$BV$866,0),MATCH(D971,$BW$808:$CA$808,0))))),0,IF($BN$799="4%",(INDEX($BP$809:$BT$866,MATCH($CB$799,$BO$809:$BO$866,0),MATCH(D971,$BP$808:$BT$808,0))),(INDEX($BW$809:$CA$866,MATCH($CB$799,$BV$809:$BV$866,0),MATCH(D971,$BW$808:$CA$808,0)))))</f>
        <v>738400</v>
      </c>
      <c r="S971" s="2204"/>
      <c r="T971" s="2204"/>
      <c r="U971" s="2204"/>
      <c r="V971" s="2204"/>
      <c r="W971" s="2204"/>
      <c r="X971" s="2204"/>
      <c r="Y971" s="2204"/>
      <c r="Z971" s="2204"/>
      <c r="AA971" s="2204"/>
      <c r="AB971" s="2350">
        <f>BX663</f>
        <v>32</v>
      </c>
      <c r="AC971" s="2351"/>
      <c r="AD971" s="2351"/>
      <c r="AE971" s="2351"/>
      <c r="AF971" s="2351"/>
      <c r="AG971" s="2351"/>
      <c r="AH971" s="2351"/>
      <c r="AI971" s="2352"/>
      <c r="AJ971" s="2245">
        <f>IF(ISERROR((R971*AB971)),0,(R971*AB971))</f>
        <v>23628800</v>
      </c>
      <c r="AK971" s="2246"/>
      <c r="AL971" s="2246"/>
      <c r="AM971" s="2246"/>
      <c r="AN971" s="2246"/>
      <c r="AO971" s="2246"/>
      <c r="AP971" s="2246"/>
      <c r="AQ971" s="2247"/>
      <c r="AR971" s="961"/>
      <c r="AS971" s="961"/>
      <c r="AT971" s="961"/>
      <c r="AU971" s="961"/>
      <c r="AV971" s="961"/>
      <c r="AW971" s="961"/>
      <c r="AX971" s="961"/>
      <c r="AY971" s="96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095"/>
      <c r="CS971" s="107"/>
      <c r="CT971" s="107"/>
      <c r="CU971" s="107"/>
      <c r="CV971" s="107"/>
      <c r="CW971" s="107"/>
      <c r="CX971" s="107"/>
      <c r="CY971" s="107"/>
      <c r="CZ971" s="107"/>
      <c r="DA971" s="107"/>
      <c r="DB971" s="107"/>
      <c r="DC971" s="107"/>
      <c r="DD971" s="107"/>
      <c r="DE971" s="107"/>
      <c r="DF971" s="107"/>
    </row>
    <row r="972" spans="1:110" s="51" customFormat="1" ht="13.2">
      <c r="B972" s="110"/>
      <c r="C972" s="993"/>
      <c r="D972" s="2239" t="s">
        <v>169</v>
      </c>
      <c r="E972" s="2240"/>
      <c r="F972" s="2240"/>
      <c r="G972" s="2240"/>
      <c r="H972" s="2240"/>
      <c r="I972" s="2240"/>
      <c r="J972" s="2240"/>
      <c r="K972" s="2240"/>
      <c r="L972" s="2240"/>
      <c r="M972" s="2240"/>
      <c r="N972" s="2240"/>
      <c r="O972" s="2240"/>
      <c r="P972" s="2240"/>
      <c r="Q972" s="2241"/>
      <c r="R972" s="2204">
        <f>IF(ISNA(IF($BN$799="4%",(INDEX($BP$809:$BT$866,MATCH($CB$799,$BO$809:$BO$866,0),MATCH(D972,$BP$808:$BT$808,0))),(INDEX($BW$809:$CA$866,MATCH($CB$799,$BV$809:$BV$866,0),MATCH(D972,$BW$808:$CA$808,0))))),0,IF($BN$799="4%",(INDEX($BP$809:$BT$866,MATCH($CB$799,$BO$809:$BO$866,0),MATCH(D972,$BP$808:$BT$808,0))),(INDEX($BW$809:$CA$866,MATCH($CB$799,$BV$809:$BV$866,0),MATCH(D972,$BW$808:$CA$808,0)))))</f>
        <v>945152</v>
      </c>
      <c r="S972" s="2204"/>
      <c r="T972" s="2204"/>
      <c r="U972" s="2204"/>
      <c r="V972" s="2204"/>
      <c r="W972" s="2204"/>
      <c r="X972" s="2204"/>
      <c r="Y972" s="2204"/>
      <c r="Z972" s="2204"/>
      <c r="AA972" s="2204"/>
      <c r="AB972" s="2350">
        <f>CC663</f>
        <v>0</v>
      </c>
      <c r="AC972" s="2351"/>
      <c r="AD972" s="2351"/>
      <c r="AE972" s="2351"/>
      <c r="AF972" s="2351"/>
      <c r="AG972" s="2351"/>
      <c r="AH972" s="2351"/>
      <c r="AI972" s="2352"/>
      <c r="AJ972" s="2245">
        <f>IF(ISERROR((R972*AB972)),0,(R972*AB972))</f>
        <v>0</v>
      </c>
      <c r="AK972" s="2246"/>
      <c r="AL972" s="2246"/>
      <c r="AM972" s="2246"/>
      <c r="AN972" s="2246"/>
      <c r="AO972" s="2246"/>
      <c r="AP972" s="2246"/>
      <c r="AQ972" s="2247"/>
      <c r="AR972" s="961"/>
      <c r="AS972" s="961"/>
      <c r="AT972" s="961"/>
      <c r="AU972" s="961"/>
      <c r="AV972" s="961"/>
      <c r="AW972" s="961"/>
      <c r="AX972" s="961"/>
      <c r="AY972" s="96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095"/>
      <c r="CS972" s="107"/>
      <c r="CT972" s="107"/>
      <c r="CU972" s="107"/>
      <c r="CV972" s="107"/>
      <c r="CW972" s="107"/>
      <c r="CX972" s="107"/>
      <c r="CY972" s="107"/>
      <c r="CZ972" s="107"/>
      <c r="DA972" s="107"/>
      <c r="DB972" s="107"/>
      <c r="DC972" s="107"/>
      <c r="DD972" s="107"/>
      <c r="DE972" s="107"/>
      <c r="DF972" s="107"/>
    </row>
    <row r="973" spans="1:110" ht="12.75" customHeight="1">
      <c r="A973" s="51"/>
      <c r="B973" s="79"/>
      <c r="C973" s="994"/>
      <c r="D973" s="2239" t="s">
        <v>484</v>
      </c>
      <c r="E973" s="2240"/>
      <c r="F973" s="2240"/>
      <c r="G973" s="2240"/>
      <c r="H973" s="2240"/>
      <c r="I973" s="2240"/>
      <c r="J973" s="2240"/>
      <c r="K973" s="2240"/>
      <c r="L973" s="2240"/>
      <c r="M973" s="2240"/>
      <c r="N973" s="2240"/>
      <c r="O973" s="2240"/>
      <c r="P973" s="2240"/>
      <c r="Q973" s="2241"/>
      <c r="R973" s="2204">
        <f>IF(ISNA(IF($BN$799="4%",(INDEX($BP$809:$BT$866,MATCH($CB$799,$BO$809:$BO$866,0),MATCH(D973,$BP$808:$BT$808,0))),(INDEX($BW$809:$CA$866,MATCH($CB$799,$BV$809:$BV$866,0),MATCH(D973,$BW$808:$CA$808,0))))),0,IF($BN$799="4%",(INDEX($BP$809:$BT$866,MATCH($CB$799,$BO$809:$BO$866,0),MATCH(D973,$BP$808:$BT$808,0))),(INDEX($BW$809:$CA$866,MATCH($CB$799,$BV$809:$BV$866,0),MATCH(D973,$BW$808:$CA$808,0)))))</f>
        <v>1052958</v>
      </c>
      <c r="S973" s="2204"/>
      <c r="T973" s="2204"/>
      <c r="U973" s="2204"/>
      <c r="V973" s="2204"/>
      <c r="W973" s="2204"/>
      <c r="X973" s="2204"/>
      <c r="Y973" s="2204"/>
      <c r="Z973" s="2204"/>
      <c r="AA973" s="2204"/>
      <c r="AB973" s="2350">
        <f>CM663+CH663</f>
        <v>0</v>
      </c>
      <c r="AC973" s="2351"/>
      <c r="AD973" s="2351"/>
      <c r="AE973" s="2351"/>
      <c r="AF973" s="2351"/>
      <c r="AG973" s="2351"/>
      <c r="AH973" s="2351"/>
      <c r="AI973" s="2352"/>
      <c r="AJ973" s="2245">
        <f>IF(ISERROR((R973*AB973)),0,(R973*AB973))</f>
        <v>0</v>
      </c>
      <c r="AK973" s="2246"/>
      <c r="AL973" s="2246"/>
      <c r="AM973" s="2246"/>
      <c r="AN973" s="2246"/>
      <c r="AO973" s="2246"/>
      <c r="AP973" s="2246"/>
      <c r="AQ973" s="2247"/>
      <c r="AR973" s="961"/>
      <c r="AS973" s="961"/>
      <c r="AT973" s="961"/>
      <c r="AU973" s="961"/>
      <c r="AV973" s="961"/>
      <c r="AW973" s="961"/>
      <c r="AX973" s="961"/>
      <c r="AY973" s="96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971"/>
      <c r="CS973" s="61"/>
      <c r="CT973" s="61"/>
      <c r="CU973" s="61"/>
      <c r="CV973" s="61"/>
      <c r="CW973" s="61"/>
      <c r="CX973" s="61"/>
      <c r="CY973" s="61"/>
      <c r="CZ973" s="61"/>
      <c r="DA973" s="61"/>
      <c r="DB973" s="61"/>
      <c r="DC973" s="61"/>
      <c r="DD973" s="61"/>
      <c r="DE973" s="61"/>
      <c r="DF973" s="61"/>
    </row>
    <row r="974" spans="1:110" ht="12.75" customHeight="1">
      <c r="A974" s="51"/>
      <c r="B974" s="2369" t="s">
        <v>831</v>
      </c>
      <c r="C974" s="2370"/>
      <c r="D974" s="2370"/>
      <c r="E974" s="2370"/>
      <c r="F974" s="2370"/>
      <c r="G974" s="2370"/>
      <c r="H974" s="2370"/>
      <c r="I974" s="2370"/>
      <c r="J974" s="2370"/>
      <c r="K974" s="2370"/>
      <c r="L974" s="2370"/>
      <c r="M974" s="2370"/>
      <c r="N974" s="2370"/>
      <c r="O974" s="2370"/>
      <c r="P974" s="2370"/>
      <c r="Q974" s="2370"/>
      <c r="R974" s="2370"/>
      <c r="S974" s="2370"/>
      <c r="T974" s="2370"/>
      <c r="U974" s="2370"/>
      <c r="V974" s="2370"/>
      <c r="W974" s="2370"/>
      <c r="X974" s="2370"/>
      <c r="Y974" s="2370"/>
      <c r="Z974" s="2370"/>
      <c r="AA974" s="2371"/>
      <c r="AB974" s="2350">
        <f>SUM(AB969:AI973)</f>
        <v>112</v>
      </c>
      <c r="AC974" s="2351"/>
      <c r="AD974" s="2351"/>
      <c r="AE974" s="2351"/>
      <c r="AF974" s="2351"/>
      <c r="AG974" s="2351"/>
      <c r="AH974" s="2351"/>
      <c r="AI974" s="2352"/>
      <c r="AJ974" s="2245"/>
      <c r="AK974" s="2246"/>
      <c r="AL974" s="2246"/>
      <c r="AM974" s="2246"/>
      <c r="AN974" s="2246"/>
      <c r="AO974" s="2246"/>
      <c r="AP974" s="2246"/>
      <c r="AQ974" s="2247"/>
      <c r="AR974" s="961"/>
      <c r="AS974" s="961"/>
      <c r="AT974" s="961"/>
      <c r="AU974" s="961"/>
      <c r="AV974" s="961"/>
      <c r="AW974" s="961"/>
      <c r="AX974" s="961"/>
      <c r="AY974" s="96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971"/>
      <c r="CS974" s="61"/>
      <c r="CT974" s="61"/>
      <c r="CU974" s="61"/>
      <c r="CV974" s="61"/>
      <c r="CW974" s="61"/>
      <c r="CX974" s="61"/>
      <c r="CY974" s="61"/>
      <c r="CZ974" s="61"/>
      <c r="DA974" s="61"/>
      <c r="DB974" s="61"/>
      <c r="DC974" s="61"/>
      <c r="DD974" s="61"/>
      <c r="DE974" s="61"/>
      <c r="DF974" s="61"/>
    </row>
    <row r="975" spans="1:110" ht="12.6" customHeight="1">
      <c r="A975" s="51"/>
      <c r="B975" s="2402" t="s">
        <v>536</v>
      </c>
      <c r="C975" s="2403"/>
      <c r="D975" s="2403"/>
      <c r="E975" s="2403"/>
      <c r="F975" s="2403"/>
      <c r="G975" s="2403"/>
      <c r="H975" s="2403"/>
      <c r="I975" s="2403"/>
      <c r="J975" s="2403"/>
      <c r="K975" s="2403"/>
      <c r="L975" s="2403"/>
      <c r="M975" s="2403"/>
      <c r="N975" s="2403"/>
      <c r="O975" s="2403"/>
      <c r="P975" s="2403"/>
      <c r="Q975" s="2403"/>
      <c r="R975" s="2403"/>
      <c r="S975" s="2403"/>
      <c r="T975" s="2403"/>
      <c r="U975" s="2403"/>
      <c r="V975" s="2403"/>
      <c r="W975" s="2403"/>
      <c r="X975" s="2403"/>
      <c r="Y975" s="2403"/>
      <c r="Z975" s="2403"/>
      <c r="AA975" s="2403"/>
      <c r="AB975" s="2403"/>
      <c r="AC975" s="2403"/>
      <c r="AD975" s="2403"/>
      <c r="AE975" s="2403"/>
      <c r="AF975" s="2403"/>
      <c r="AG975" s="2403"/>
      <c r="AH975" s="2403"/>
      <c r="AI975" s="2404"/>
      <c r="AJ975" s="2245">
        <f>SUM(AJ969:AQ973)</f>
        <v>66101600</v>
      </c>
      <c r="AK975" s="2246"/>
      <c r="AL975" s="2246"/>
      <c r="AM975" s="2246"/>
      <c r="AN975" s="2246"/>
      <c r="AO975" s="2246"/>
      <c r="AP975" s="2246"/>
      <c r="AQ975" s="2247"/>
      <c r="AR975" s="961"/>
      <c r="AS975" s="961"/>
      <c r="AT975" s="961"/>
      <c r="AU975" s="961"/>
      <c r="AV975" s="961"/>
      <c r="AW975" s="961"/>
      <c r="AX975" s="961"/>
      <c r="AY975" s="96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971"/>
      <c r="CS975" s="61"/>
      <c r="CT975" s="61"/>
      <c r="CU975" s="61"/>
      <c r="CV975" s="61"/>
      <c r="CW975" s="61"/>
      <c r="CX975" s="61"/>
      <c r="CY975" s="61"/>
      <c r="CZ975" s="61"/>
      <c r="DA975" s="61"/>
      <c r="DB975" s="61"/>
      <c r="DC975" s="61"/>
      <c r="DD975" s="61"/>
      <c r="DE975" s="61"/>
      <c r="DF975" s="61"/>
    </row>
    <row r="976" spans="1:110" ht="12.75" customHeight="1">
      <c r="A976" s="51"/>
      <c r="B976" s="2339"/>
      <c r="C976" s="2340"/>
      <c r="D976" s="2340"/>
      <c r="E976" s="2340"/>
      <c r="F976" s="2340"/>
      <c r="G976" s="2340"/>
      <c r="H976" s="2340"/>
      <c r="I976" s="2340"/>
      <c r="J976" s="2340"/>
      <c r="K976" s="2340"/>
      <c r="L976" s="2340"/>
      <c r="M976" s="2340"/>
      <c r="N976" s="2340"/>
      <c r="O976" s="2340"/>
      <c r="P976" s="2340"/>
      <c r="Q976" s="2340"/>
      <c r="R976" s="2340"/>
      <c r="S976" s="2340"/>
      <c r="T976" s="2340"/>
      <c r="U976" s="2340"/>
      <c r="V976" s="2340"/>
      <c r="W976" s="2340"/>
      <c r="X976" s="2340"/>
      <c r="Y976" s="2340"/>
      <c r="Z976" s="2340"/>
      <c r="AA976" s="2340"/>
      <c r="AB976" s="2340"/>
      <c r="AC976" s="2340"/>
      <c r="AD976" s="2340"/>
      <c r="AE976" s="2341"/>
      <c r="AF976" s="2405" t="s">
        <v>691</v>
      </c>
      <c r="AG976" s="2406"/>
      <c r="AH976" s="2406"/>
      <c r="AI976" s="2407"/>
      <c r="AJ976" s="2339"/>
      <c r="AK976" s="2340"/>
      <c r="AL976" s="2340"/>
      <c r="AM976" s="2340"/>
      <c r="AN976" s="2340"/>
      <c r="AO976" s="2340"/>
      <c r="AP976" s="2340"/>
      <c r="AQ976" s="2341"/>
      <c r="AR976" s="961"/>
      <c r="AS976" s="961"/>
      <c r="AT976" s="961"/>
      <c r="AU976" s="961"/>
      <c r="AV976" s="961"/>
      <c r="AW976" s="961"/>
      <c r="AX976" s="961"/>
      <c r="AY976" s="96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971"/>
      <c r="CS976" s="61"/>
      <c r="CT976" s="61"/>
      <c r="CU976" s="61"/>
      <c r="CV976" s="61"/>
      <c r="CW976" s="61"/>
      <c r="CX976" s="61"/>
      <c r="CY976" s="61"/>
      <c r="CZ976" s="61"/>
      <c r="DA976" s="61"/>
      <c r="DB976" s="61"/>
      <c r="DC976" s="61"/>
      <c r="DD976" s="61"/>
      <c r="DE976" s="61"/>
      <c r="DF976" s="61"/>
    </row>
    <row r="977" spans="1:110" ht="12.75" customHeight="1">
      <c r="A977" s="51"/>
      <c r="B977" s="110"/>
      <c r="C977" s="990" t="s">
        <v>693</v>
      </c>
      <c r="D977" s="2342" t="s">
        <v>1383</v>
      </c>
      <c r="E977" s="2343"/>
      <c r="F977" s="2343"/>
      <c r="G977" s="2343"/>
      <c r="H977" s="2343"/>
      <c r="I977" s="2343"/>
      <c r="J977" s="2343"/>
      <c r="K977" s="2343"/>
      <c r="L977" s="2343"/>
      <c r="M977" s="2343"/>
      <c r="N977" s="2343"/>
      <c r="O977" s="2343"/>
      <c r="P977" s="2343"/>
      <c r="Q977" s="2343"/>
      <c r="R977" s="2343"/>
      <c r="S977" s="2343"/>
      <c r="T977" s="2343"/>
      <c r="U977" s="2343"/>
      <c r="V977" s="2343"/>
      <c r="W977" s="2343"/>
      <c r="X977" s="2343"/>
      <c r="Y977" s="2343"/>
      <c r="Z977" s="2343"/>
      <c r="AA977" s="2343"/>
      <c r="AB977" s="2343"/>
      <c r="AC977" s="2343"/>
      <c r="AD977" s="2343"/>
      <c r="AE977" s="2344"/>
      <c r="AF977" s="117"/>
      <c r="AG977" s="2408" t="s">
        <v>569</v>
      </c>
      <c r="AH977" s="2409"/>
      <c r="AI977" s="125"/>
      <c r="AJ977" s="2330">
        <f>ROUND(IF(AND(AG977="yes",D979&gt;0),AJ975*0.2,0),0)</f>
        <v>13220320</v>
      </c>
      <c r="AK977" s="2331"/>
      <c r="AL977" s="2331"/>
      <c r="AM977" s="2331"/>
      <c r="AN977" s="2331"/>
      <c r="AO977" s="2331"/>
      <c r="AP977" s="2331"/>
      <c r="AQ977" s="2332"/>
      <c r="AR977" s="961"/>
      <c r="AS977" s="961"/>
      <c r="AT977" s="961"/>
      <c r="AU977" s="961"/>
      <c r="AV977" s="961"/>
      <c r="AW977" s="961"/>
      <c r="AX977" s="961"/>
      <c r="AY977" s="96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971"/>
      <c r="CS977" s="61"/>
      <c r="CT977" s="61"/>
      <c r="CU977" s="61"/>
      <c r="CV977" s="61"/>
      <c r="CW977" s="61"/>
      <c r="CX977" s="61"/>
      <c r="CY977" s="61"/>
      <c r="CZ977" s="61"/>
      <c r="DA977" s="61"/>
      <c r="DB977" s="61"/>
      <c r="DC977" s="61"/>
      <c r="DD977" s="61"/>
      <c r="DE977" s="61"/>
      <c r="DF977" s="61"/>
    </row>
    <row r="978" spans="1:110" ht="66" customHeight="1">
      <c r="A978" s="51"/>
      <c r="B978" s="409"/>
      <c r="C978" s="408"/>
      <c r="D978" s="2372" t="s">
        <v>1384</v>
      </c>
      <c r="E978" s="2373"/>
      <c r="F978" s="2373"/>
      <c r="G978" s="2373"/>
      <c r="H978" s="2373"/>
      <c r="I978" s="2373"/>
      <c r="J978" s="2373"/>
      <c r="K978" s="2373"/>
      <c r="L978" s="2373"/>
      <c r="M978" s="2373"/>
      <c r="N978" s="2373"/>
      <c r="O978" s="2373"/>
      <c r="P978" s="2373"/>
      <c r="Q978" s="2373"/>
      <c r="R978" s="2373"/>
      <c r="S978" s="2373"/>
      <c r="T978" s="2373"/>
      <c r="U978" s="2373"/>
      <c r="V978" s="2373"/>
      <c r="W978" s="2373"/>
      <c r="X978" s="2373"/>
      <c r="Y978" s="2373"/>
      <c r="Z978" s="2373"/>
      <c r="AA978" s="2373"/>
      <c r="AB978" s="2373"/>
      <c r="AC978" s="2373"/>
      <c r="AD978" s="2373"/>
      <c r="AE978" s="2374"/>
      <c r="AF978" s="110"/>
      <c r="AG978" s="112"/>
      <c r="AH978" s="112"/>
      <c r="AI978" s="121"/>
      <c r="AJ978" s="2333"/>
      <c r="AK978" s="2334"/>
      <c r="AL978" s="2334"/>
      <c r="AM978" s="2334"/>
      <c r="AN978" s="2334"/>
      <c r="AO978" s="2334"/>
      <c r="AP978" s="2334"/>
      <c r="AQ978" s="2335"/>
      <c r="AR978" s="961"/>
      <c r="AS978" s="961"/>
      <c r="AT978" s="961"/>
      <c r="AU978" s="961"/>
      <c r="AV978" s="961"/>
      <c r="AW978" s="961"/>
      <c r="AX978" s="961"/>
      <c r="AY978" s="96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971"/>
      <c r="CS978" s="61"/>
      <c r="CT978" s="61"/>
      <c r="CU978" s="61"/>
      <c r="CV978" s="61"/>
      <c r="CW978" s="61"/>
      <c r="CX978" s="61"/>
      <c r="CY978" s="61"/>
      <c r="CZ978" s="61"/>
      <c r="DA978" s="61"/>
      <c r="DB978" s="61"/>
      <c r="DC978" s="61"/>
      <c r="DD978" s="61"/>
      <c r="DE978" s="61"/>
      <c r="DF978" s="61"/>
    </row>
    <row r="979" spans="1:110" ht="12.6" customHeight="1">
      <c r="A979" s="51"/>
      <c r="B979" s="409"/>
      <c r="C979" s="408"/>
      <c r="D979" s="2375" t="s">
        <v>2598</v>
      </c>
      <c r="E979" s="2376"/>
      <c r="F979" s="2376"/>
      <c r="G979" s="2376"/>
      <c r="H979" s="2376"/>
      <c r="I979" s="2376"/>
      <c r="J979" s="2376"/>
      <c r="K979" s="2376"/>
      <c r="L979" s="2376"/>
      <c r="M979" s="2376"/>
      <c r="N979" s="2376"/>
      <c r="O979" s="2376"/>
      <c r="P979" s="2376"/>
      <c r="Q979" s="2376"/>
      <c r="R979" s="2376"/>
      <c r="S979" s="2376"/>
      <c r="T979" s="2376"/>
      <c r="U979" s="2376"/>
      <c r="V979" s="2376"/>
      <c r="W979" s="2376"/>
      <c r="X979" s="2376"/>
      <c r="Y979" s="2376"/>
      <c r="Z979" s="2376"/>
      <c r="AA979" s="2376"/>
      <c r="AB979" s="2376"/>
      <c r="AC979" s="2376"/>
      <c r="AD979" s="2376"/>
      <c r="AE979" s="2377"/>
      <c r="AF979" s="115"/>
      <c r="AG979" s="11"/>
      <c r="AH979" s="11"/>
      <c r="AI979" s="116"/>
      <c r="AJ979" s="2336"/>
      <c r="AK979" s="2337"/>
      <c r="AL979" s="2337"/>
      <c r="AM979" s="2337"/>
      <c r="AN979" s="2337"/>
      <c r="AO979" s="2337"/>
      <c r="AP979" s="2337"/>
      <c r="AQ979" s="2338"/>
      <c r="AR979" s="961"/>
      <c r="AS979" s="961"/>
      <c r="AT979" s="961"/>
      <c r="AU979" s="961"/>
      <c r="AV979" s="961"/>
      <c r="AW979" s="961"/>
      <c r="AX979" s="961"/>
      <c r="AY979" s="96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971"/>
      <c r="CS979" s="61"/>
      <c r="CT979" s="61"/>
      <c r="CU979" s="61"/>
      <c r="CV979" s="61"/>
      <c r="CW979" s="61"/>
      <c r="CX979" s="61"/>
      <c r="CY979" s="61"/>
      <c r="CZ979" s="61"/>
      <c r="DA979" s="61"/>
      <c r="DB979" s="61"/>
      <c r="DC979" s="61"/>
      <c r="DD979" s="61"/>
      <c r="DE979" s="61"/>
      <c r="DF979" s="61"/>
    </row>
    <row r="980" spans="1:110" ht="12.75" customHeight="1">
      <c r="A980" s="51"/>
      <c r="B980" s="407"/>
      <c r="C980" s="494"/>
      <c r="D980" s="2293" t="s">
        <v>1469</v>
      </c>
      <c r="E980" s="2294"/>
      <c r="F980" s="2294"/>
      <c r="G980" s="2294"/>
      <c r="H980" s="2294"/>
      <c r="I980" s="2294"/>
      <c r="J980" s="2294"/>
      <c r="K980" s="2294"/>
      <c r="L980" s="2294"/>
      <c r="M980" s="2294"/>
      <c r="N980" s="2294"/>
      <c r="O980" s="2294"/>
      <c r="P980" s="2294"/>
      <c r="Q980" s="2294"/>
      <c r="R980" s="2294"/>
      <c r="S980" s="2294"/>
      <c r="T980" s="2294"/>
      <c r="U980" s="2294"/>
      <c r="V980" s="2294"/>
      <c r="W980" s="2294"/>
      <c r="X980" s="2294"/>
      <c r="Y980" s="2294"/>
      <c r="Z980" s="2294"/>
      <c r="AA980" s="2294"/>
      <c r="AB980" s="2294"/>
      <c r="AC980" s="2294"/>
      <c r="AD980" s="2294"/>
      <c r="AE980" s="2295"/>
      <c r="AF980" s="117"/>
      <c r="AG980" s="2305" t="s">
        <v>694</v>
      </c>
      <c r="AH980" s="2306"/>
      <c r="AI980" s="125"/>
      <c r="AJ980" s="2330">
        <f>ROUND(IF(AG980="yes",AJ975*0.05,0),0)</f>
        <v>0</v>
      </c>
      <c r="AK980" s="2331"/>
      <c r="AL980" s="2331"/>
      <c r="AM980" s="2331"/>
      <c r="AN980" s="2331"/>
      <c r="AO980" s="2331"/>
      <c r="AP980" s="2331"/>
      <c r="AQ980" s="2332"/>
      <c r="AR980" s="961"/>
      <c r="AS980" s="961"/>
      <c r="AT980" s="961"/>
      <c r="AU980" s="961"/>
      <c r="AV980" s="961"/>
      <c r="AW980" s="961"/>
      <c r="AX980" s="961"/>
      <c r="AY980" s="96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971"/>
      <c r="CS980" s="61"/>
      <c r="CT980" s="61"/>
      <c r="CU980" s="61"/>
      <c r="CV980" s="61"/>
      <c r="CW980" s="61"/>
      <c r="CX980" s="61"/>
      <c r="CY980" s="61"/>
      <c r="CZ980" s="61"/>
      <c r="DA980" s="61"/>
      <c r="DB980" s="61"/>
      <c r="DC980" s="61"/>
      <c r="DD980" s="61"/>
      <c r="DE980" s="61"/>
      <c r="DF980" s="61"/>
    </row>
    <row r="981" spans="1:110" ht="12.6" customHeight="1">
      <c r="A981" s="51"/>
      <c r="B981" s="409"/>
      <c r="C981" s="120"/>
      <c r="D981" s="2372" t="s">
        <v>1467</v>
      </c>
      <c r="E981" s="2373"/>
      <c r="F981" s="2373"/>
      <c r="G981" s="2373"/>
      <c r="H981" s="2373"/>
      <c r="I981" s="2373"/>
      <c r="J981" s="2373"/>
      <c r="K981" s="2373"/>
      <c r="L981" s="2373"/>
      <c r="M981" s="2373"/>
      <c r="N981" s="2373"/>
      <c r="O981" s="2373"/>
      <c r="P981" s="2373"/>
      <c r="Q981" s="2373"/>
      <c r="R981" s="2373"/>
      <c r="S981" s="2373"/>
      <c r="T981" s="2373"/>
      <c r="U981" s="2373"/>
      <c r="V981" s="2373"/>
      <c r="W981" s="2373"/>
      <c r="X981" s="2373"/>
      <c r="Y981" s="2373"/>
      <c r="Z981" s="2373"/>
      <c r="AA981" s="2373"/>
      <c r="AB981" s="2373"/>
      <c r="AC981" s="2373"/>
      <c r="AD981" s="2373"/>
      <c r="AE981" s="2374"/>
      <c r="AF981" s="110"/>
      <c r="AG981" s="112"/>
      <c r="AH981" s="112"/>
      <c r="AI981" s="121"/>
      <c r="AJ981" s="2333"/>
      <c r="AK981" s="2334"/>
      <c r="AL981" s="2334"/>
      <c r="AM981" s="2334"/>
      <c r="AN981" s="2334"/>
      <c r="AO981" s="2334"/>
      <c r="AP981" s="2334"/>
      <c r="AQ981" s="2335"/>
      <c r="AR981" s="961"/>
      <c r="AS981" s="961"/>
      <c r="AT981" s="961"/>
      <c r="AU981" s="961"/>
      <c r="AV981" s="961"/>
      <c r="AW981" s="961"/>
      <c r="AX981" s="961"/>
      <c r="AY981" s="9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971"/>
      <c r="CS981" s="61"/>
      <c r="CT981" s="61"/>
      <c r="CU981" s="61"/>
      <c r="CV981" s="61"/>
      <c r="CW981" s="61"/>
      <c r="CX981" s="61"/>
      <c r="CY981" s="61"/>
      <c r="CZ981" s="61"/>
      <c r="DA981" s="61"/>
      <c r="DB981" s="61"/>
      <c r="DC981" s="61"/>
      <c r="DD981" s="61"/>
      <c r="DE981" s="61"/>
      <c r="DF981" s="61"/>
    </row>
    <row r="982" spans="1:110" ht="12.75" customHeight="1">
      <c r="A982" s="51"/>
      <c r="B982" s="409"/>
      <c r="C982" s="120"/>
      <c r="D982" s="2372"/>
      <c r="E982" s="2373"/>
      <c r="F982" s="2373"/>
      <c r="G982" s="2373"/>
      <c r="H982" s="2373"/>
      <c r="I982" s="2373"/>
      <c r="J982" s="2373"/>
      <c r="K982" s="2373"/>
      <c r="L982" s="2373"/>
      <c r="M982" s="2373"/>
      <c r="N982" s="2373"/>
      <c r="O982" s="2373"/>
      <c r="P982" s="2373"/>
      <c r="Q982" s="2373"/>
      <c r="R982" s="2373"/>
      <c r="S982" s="2373"/>
      <c r="T982" s="2373"/>
      <c r="U982" s="2373"/>
      <c r="V982" s="2373"/>
      <c r="W982" s="2373"/>
      <c r="X982" s="2373"/>
      <c r="Y982" s="2373"/>
      <c r="Z982" s="2373"/>
      <c r="AA982" s="2373"/>
      <c r="AB982" s="2373"/>
      <c r="AC982" s="2373"/>
      <c r="AD982" s="2373"/>
      <c r="AE982" s="2374"/>
      <c r="AF982" s="110"/>
      <c r="AG982" s="112"/>
      <c r="AH982" s="112"/>
      <c r="AI982" s="121"/>
      <c r="AJ982" s="2333"/>
      <c r="AK982" s="2334"/>
      <c r="AL982" s="2334"/>
      <c r="AM982" s="2334"/>
      <c r="AN982" s="2334"/>
      <c r="AO982" s="2334"/>
      <c r="AP982" s="2334"/>
      <c r="AQ982" s="2335"/>
      <c r="AR982" s="961"/>
      <c r="AS982" s="961"/>
      <c r="AT982" s="961"/>
      <c r="AU982" s="961"/>
      <c r="AV982" s="961"/>
      <c r="AW982" s="961"/>
      <c r="AX982" s="961"/>
      <c r="AY982" s="9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971"/>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372"/>
      <c r="E983" s="2373"/>
      <c r="F983" s="2373"/>
      <c r="G983" s="2373"/>
      <c r="H983" s="2373"/>
      <c r="I983" s="2373"/>
      <c r="J983" s="2373"/>
      <c r="K983" s="2373"/>
      <c r="L983" s="2373"/>
      <c r="M983" s="2373"/>
      <c r="N983" s="2373"/>
      <c r="O983" s="2373"/>
      <c r="P983" s="2373"/>
      <c r="Q983" s="2373"/>
      <c r="R983" s="2373"/>
      <c r="S983" s="2373"/>
      <c r="T983" s="2373"/>
      <c r="U983" s="2373"/>
      <c r="V983" s="2373"/>
      <c r="W983" s="2373"/>
      <c r="X983" s="2373"/>
      <c r="Y983" s="2373"/>
      <c r="Z983" s="2373"/>
      <c r="AA983" s="2373"/>
      <c r="AB983" s="2373"/>
      <c r="AC983" s="2373"/>
      <c r="AD983" s="2373"/>
      <c r="AE983" s="2374"/>
      <c r="AF983" s="110"/>
      <c r="AG983" s="112"/>
      <c r="AH983" s="112"/>
      <c r="AI983" s="121"/>
      <c r="AJ983" s="2333"/>
      <c r="AK983" s="2334"/>
      <c r="AL983" s="2334"/>
      <c r="AM983" s="2334"/>
      <c r="AN983" s="2334"/>
      <c r="AO983" s="2334"/>
      <c r="AP983" s="2334"/>
      <c r="AQ983" s="2335"/>
      <c r="AR983" s="961"/>
      <c r="AS983" s="961"/>
      <c r="AT983" s="961"/>
      <c r="AU983" s="961"/>
      <c r="AV983" s="961"/>
      <c r="AW983" s="961"/>
      <c r="AX983" s="961"/>
      <c r="AY983" s="9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971"/>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372"/>
      <c r="E984" s="2373"/>
      <c r="F984" s="2373"/>
      <c r="G984" s="2373"/>
      <c r="H984" s="2373"/>
      <c r="I984" s="2373"/>
      <c r="J984" s="2373"/>
      <c r="K984" s="2373"/>
      <c r="L984" s="2373"/>
      <c r="M984" s="2373"/>
      <c r="N984" s="2373"/>
      <c r="O984" s="2373"/>
      <c r="P984" s="2373"/>
      <c r="Q984" s="2373"/>
      <c r="R984" s="2373"/>
      <c r="S984" s="2373"/>
      <c r="T984" s="2373"/>
      <c r="U984" s="2373"/>
      <c r="V984" s="2373"/>
      <c r="W984" s="2373"/>
      <c r="X984" s="2373"/>
      <c r="Y984" s="2373"/>
      <c r="Z984" s="2373"/>
      <c r="AA984" s="2373"/>
      <c r="AB984" s="2373"/>
      <c r="AC984" s="2373"/>
      <c r="AD984" s="2373"/>
      <c r="AE984" s="2374"/>
      <c r="AF984" s="110"/>
      <c r="AG984" s="112"/>
      <c r="AH984" s="112"/>
      <c r="AI984" s="121"/>
      <c r="AJ984" s="2333"/>
      <c r="AK984" s="2334"/>
      <c r="AL984" s="2334"/>
      <c r="AM984" s="2334"/>
      <c r="AN984" s="2334"/>
      <c r="AO984" s="2334"/>
      <c r="AP984" s="2334"/>
      <c r="AQ984" s="2335"/>
      <c r="AR984" s="961"/>
      <c r="AS984" s="961"/>
      <c r="AT984" s="961"/>
      <c r="AU984" s="961"/>
      <c r="AV984" s="961"/>
      <c r="AW984" s="961"/>
      <c r="AX984" s="961"/>
      <c r="AY984" s="9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971"/>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378"/>
      <c r="E985" s="2379"/>
      <c r="F985" s="2379"/>
      <c r="G985" s="2379"/>
      <c r="H985" s="2379"/>
      <c r="I985" s="2379"/>
      <c r="J985" s="2379"/>
      <c r="K985" s="2379"/>
      <c r="L985" s="2379"/>
      <c r="M985" s="2379"/>
      <c r="N985" s="2379"/>
      <c r="O985" s="2379"/>
      <c r="P985" s="2379"/>
      <c r="Q985" s="2379"/>
      <c r="R985" s="2379"/>
      <c r="S985" s="2379"/>
      <c r="T985" s="2379"/>
      <c r="U985" s="2379"/>
      <c r="V985" s="2379"/>
      <c r="W985" s="2379"/>
      <c r="X985" s="2379"/>
      <c r="Y985" s="2379"/>
      <c r="Z985" s="2379"/>
      <c r="AA985" s="2379"/>
      <c r="AB985" s="2379"/>
      <c r="AC985" s="2379"/>
      <c r="AD985" s="2379"/>
      <c r="AE985" s="2380"/>
      <c r="AF985" s="115"/>
      <c r="AG985" s="11"/>
      <c r="AH985" s="11"/>
      <c r="AI985" s="116"/>
      <c r="AJ985" s="2336"/>
      <c r="AK985" s="2337"/>
      <c r="AL985" s="2337"/>
      <c r="AM985" s="2337"/>
      <c r="AN985" s="2337"/>
      <c r="AO985" s="2337"/>
      <c r="AP985" s="2337"/>
      <c r="AQ985" s="2338"/>
      <c r="AR985" s="961"/>
      <c r="AS985" s="961"/>
      <c r="AT985" s="961"/>
      <c r="AU985" s="961"/>
      <c r="AV985" s="961"/>
      <c r="AW985" s="961"/>
      <c r="AX985" s="961"/>
      <c r="AY985" s="9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971"/>
      <c r="CS985" s="61"/>
      <c r="CT985" s="61"/>
      <c r="CU985" s="61"/>
      <c r="CV985" s="61"/>
      <c r="CW985" s="61"/>
      <c r="CX985" s="61"/>
      <c r="CY985" s="61"/>
      <c r="CZ985" s="61"/>
      <c r="DA985" s="61"/>
      <c r="DB985" s="61"/>
      <c r="DC985" s="61"/>
      <c r="DD985" s="61"/>
      <c r="DE985" s="61"/>
      <c r="DF985" s="61"/>
    </row>
    <row r="986" spans="1:110" ht="12.75" customHeight="1">
      <c r="A986" s="51"/>
      <c r="B986" s="407"/>
      <c r="C986" s="118" t="s">
        <v>697</v>
      </c>
      <c r="D986" s="2293" t="s">
        <v>1991</v>
      </c>
      <c r="E986" s="2294"/>
      <c r="F986" s="2294"/>
      <c r="G986" s="2294"/>
      <c r="H986" s="2294"/>
      <c r="I986" s="2294"/>
      <c r="J986" s="2294"/>
      <c r="K986" s="2294"/>
      <c r="L986" s="2294"/>
      <c r="M986" s="2294"/>
      <c r="N986" s="2294"/>
      <c r="O986" s="2294"/>
      <c r="P986" s="2294"/>
      <c r="Q986" s="2294"/>
      <c r="R986" s="2294"/>
      <c r="S986" s="2294"/>
      <c r="T986" s="2294"/>
      <c r="U986" s="2294"/>
      <c r="V986" s="2294"/>
      <c r="W986" s="2294"/>
      <c r="X986" s="2294"/>
      <c r="Y986" s="2294"/>
      <c r="Z986" s="2294"/>
      <c r="AA986" s="2294"/>
      <c r="AB986" s="2294"/>
      <c r="AC986" s="2294"/>
      <c r="AD986" s="2294"/>
      <c r="AE986" s="2295"/>
      <c r="AF986" s="124"/>
      <c r="AG986" s="2305" t="s">
        <v>694</v>
      </c>
      <c r="AH986" s="2306"/>
      <c r="AI986" s="125"/>
      <c r="AJ986" s="2330">
        <f>ROUND(IF(AG986="yes",AJ975*0.1,0),0)</f>
        <v>0</v>
      </c>
      <c r="AK986" s="2331"/>
      <c r="AL986" s="2331"/>
      <c r="AM986" s="2331"/>
      <c r="AN986" s="2331"/>
      <c r="AO986" s="2331"/>
      <c r="AP986" s="2331"/>
      <c r="AQ986" s="2332"/>
      <c r="AR986" s="961"/>
      <c r="AS986" s="961"/>
      <c r="AT986" s="961"/>
      <c r="AU986" s="961"/>
      <c r="AV986" s="961"/>
      <c r="AW986" s="961"/>
      <c r="AX986" s="961"/>
      <c r="AY986" s="9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971"/>
      <c r="CS986" s="61"/>
      <c r="CT986" s="61"/>
      <c r="CU986" s="61"/>
      <c r="CV986" s="61"/>
      <c r="CW986" s="61"/>
      <c r="CX986" s="61"/>
      <c r="CY986" s="61"/>
      <c r="CZ986" s="61"/>
      <c r="DA986" s="61"/>
      <c r="DB986" s="61"/>
      <c r="DC986" s="61"/>
      <c r="DD986" s="61"/>
      <c r="DE986" s="61"/>
      <c r="DF986" s="61"/>
    </row>
    <row r="987" spans="1:110" ht="12.75" customHeight="1">
      <c r="A987" s="51"/>
      <c r="B987" s="110"/>
      <c r="C987" s="111"/>
      <c r="D987" s="2296" t="s">
        <v>1468</v>
      </c>
      <c r="E987" s="2297"/>
      <c r="F987" s="2297"/>
      <c r="G987" s="2297"/>
      <c r="H987" s="2297"/>
      <c r="I987" s="2297"/>
      <c r="J987" s="2297"/>
      <c r="K987" s="2297"/>
      <c r="L987" s="2297"/>
      <c r="M987" s="2297"/>
      <c r="N987" s="2297"/>
      <c r="O987" s="2297"/>
      <c r="P987" s="2297"/>
      <c r="Q987" s="2297"/>
      <c r="R987" s="2297"/>
      <c r="S987" s="2297"/>
      <c r="T987" s="2297"/>
      <c r="U987" s="2297"/>
      <c r="V987" s="2297"/>
      <c r="W987" s="2297"/>
      <c r="X987" s="2297"/>
      <c r="Y987" s="2297"/>
      <c r="Z987" s="2297"/>
      <c r="AA987" s="2297"/>
      <c r="AB987" s="2297"/>
      <c r="AC987" s="2297"/>
      <c r="AD987" s="2297"/>
      <c r="AE987" s="2298"/>
      <c r="AF987" s="110"/>
      <c r="AG987" s="25"/>
      <c r="AH987" s="25"/>
      <c r="AI987" s="121"/>
      <c r="AJ987" s="2333"/>
      <c r="AK987" s="2334"/>
      <c r="AL987" s="2334"/>
      <c r="AM987" s="2334"/>
      <c r="AN987" s="2334"/>
      <c r="AO987" s="2334"/>
      <c r="AP987" s="2334"/>
      <c r="AQ987" s="2335"/>
      <c r="AR987" s="961"/>
      <c r="AS987" s="961"/>
      <c r="AT987" s="961"/>
      <c r="AU987" s="961"/>
      <c r="AV987" s="961"/>
      <c r="AW987" s="961"/>
      <c r="AX987" s="961"/>
      <c r="AY987" s="961"/>
      <c r="AZ987" s="61"/>
      <c r="BA987" s="977">
        <f>G753+O796</f>
        <v>110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971"/>
      <c r="CS987" s="61"/>
      <c r="CT987" s="61"/>
      <c r="CU987" s="61"/>
      <c r="CV987" s="61"/>
      <c r="CW987" s="61"/>
      <c r="CX987" s="61"/>
      <c r="CY987" s="61"/>
      <c r="CZ987" s="61"/>
      <c r="DA987" s="61"/>
      <c r="DB987" s="61"/>
      <c r="DC987" s="61"/>
      <c r="DD987" s="61"/>
      <c r="DE987" s="61"/>
      <c r="DF987" s="61"/>
    </row>
    <row r="988" spans="1:110" ht="12.75" customHeight="1">
      <c r="A988" s="51"/>
      <c r="B988" s="110"/>
      <c r="C988" s="111"/>
      <c r="D988" s="2296"/>
      <c r="E988" s="2297"/>
      <c r="F988" s="2297"/>
      <c r="G988" s="2297"/>
      <c r="H988" s="2297"/>
      <c r="I988" s="2297"/>
      <c r="J988" s="2297"/>
      <c r="K988" s="2297"/>
      <c r="L988" s="2297"/>
      <c r="M988" s="2297"/>
      <c r="N988" s="2297"/>
      <c r="O988" s="2297"/>
      <c r="P988" s="2297"/>
      <c r="Q988" s="2297"/>
      <c r="R988" s="2297"/>
      <c r="S988" s="2297"/>
      <c r="T988" s="2297"/>
      <c r="U988" s="2297"/>
      <c r="V988" s="2297"/>
      <c r="W988" s="2297"/>
      <c r="X988" s="2297"/>
      <c r="Y988" s="2297"/>
      <c r="Z988" s="2297"/>
      <c r="AA988" s="2297"/>
      <c r="AB988" s="2297"/>
      <c r="AC988" s="2297"/>
      <c r="AD988" s="2297"/>
      <c r="AE988" s="2298"/>
      <c r="AF988" s="110"/>
      <c r="AG988" s="112"/>
      <c r="AH988" s="112"/>
      <c r="AI988" s="121"/>
      <c r="AJ988" s="2333"/>
      <c r="AK988" s="2334"/>
      <c r="AL988" s="2334"/>
      <c r="AM988" s="2334"/>
      <c r="AN988" s="2334"/>
      <c r="AO988" s="2334"/>
      <c r="AP988" s="2334"/>
      <c r="AQ988" s="2335"/>
      <c r="AR988" s="961"/>
      <c r="AS988" s="961"/>
      <c r="AT988" s="961"/>
      <c r="AU988" s="961"/>
      <c r="AV988" s="961"/>
      <c r="AW988" s="961"/>
      <c r="AX988" s="961"/>
      <c r="AY988" s="96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971"/>
      <c r="CS988" s="61"/>
      <c r="CT988" s="61"/>
      <c r="CU988" s="61"/>
      <c r="CV988" s="61"/>
      <c r="CW988" s="61"/>
      <c r="CX988" s="61"/>
      <c r="CY988" s="61"/>
      <c r="CZ988" s="61"/>
      <c r="DA988" s="61"/>
      <c r="DB988" s="61"/>
      <c r="DC988" s="61"/>
      <c r="DD988" s="61"/>
      <c r="DE988" s="61"/>
      <c r="DF988" s="61"/>
    </row>
    <row r="989" spans="1:110" ht="12.75" customHeight="1">
      <c r="A989" s="51"/>
      <c r="B989" s="123"/>
      <c r="C989" s="114"/>
      <c r="D989" s="2309"/>
      <c r="E989" s="2310"/>
      <c r="F989" s="2310"/>
      <c r="G989" s="2310"/>
      <c r="H989" s="2310"/>
      <c r="I989" s="2310"/>
      <c r="J989" s="2310"/>
      <c r="K989" s="2310"/>
      <c r="L989" s="2310"/>
      <c r="M989" s="2310"/>
      <c r="N989" s="2310"/>
      <c r="O989" s="2310"/>
      <c r="P989" s="2310"/>
      <c r="Q989" s="2310"/>
      <c r="R989" s="2310"/>
      <c r="S989" s="2310"/>
      <c r="T989" s="2310"/>
      <c r="U989" s="2310"/>
      <c r="V989" s="2310"/>
      <c r="W989" s="2310"/>
      <c r="X989" s="2310"/>
      <c r="Y989" s="2310"/>
      <c r="Z989" s="2310"/>
      <c r="AA989" s="2310"/>
      <c r="AB989" s="2310"/>
      <c r="AC989" s="2310"/>
      <c r="AD989" s="2310"/>
      <c r="AE989" s="2311"/>
      <c r="AF989" s="115"/>
      <c r="AG989" s="11"/>
      <c r="AH989" s="11"/>
      <c r="AI989" s="116"/>
      <c r="AJ989" s="2336"/>
      <c r="AK989" s="2337"/>
      <c r="AL989" s="2337"/>
      <c r="AM989" s="2337"/>
      <c r="AN989" s="2337"/>
      <c r="AO989" s="2337"/>
      <c r="AP989" s="2337"/>
      <c r="AQ989" s="2338"/>
      <c r="AR989" s="961"/>
      <c r="AS989" s="961"/>
      <c r="AT989" s="961"/>
      <c r="AU989" s="961"/>
      <c r="AV989" s="961"/>
      <c r="AW989" s="961"/>
      <c r="AX989" s="961"/>
      <c r="AY989" s="961"/>
      <c r="AZ989" s="61"/>
      <c r="BA989" s="976">
        <f>ROUNDDOWN(X1027/I1027,2)</f>
        <v>0.21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971"/>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293" t="s">
        <v>1470</v>
      </c>
      <c r="E990" s="2294"/>
      <c r="F990" s="2294"/>
      <c r="G990" s="2294"/>
      <c r="H990" s="2294"/>
      <c r="I990" s="2294"/>
      <c r="J990" s="2294"/>
      <c r="K990" s="2294"/>
      <c r="L990" s="2294"/>
      <c r="M990" s="2294"/>
      <c r="N990" s="2294"/>
      <c r="O990" s="2294"/>
      <c r="P990" s="2294"/>
      <c r="Q990" s="2294"/>
      <c r="R990" s="2294"/>
      <c r="S990" s="2294"/>
      <c r="T990" s="2294"/>
      <c r="U990" s="2294"/>
      <c r="V990" s="2294"/>
      <c r="W990" s="2294"/>
      <c r="X990" s="2294"/>
      <c r="Y990" s="2294"/>
      <c r="Z990" s="2294"/>
      <c r="AA990" s="2294"/>
      <c r="AB990" s="2294"/>
      <c r="AC990" s="2294"/>
      <c r="AD990" s="2294"/>
      <c r="AE990" s="2295"/>
      <c r="AF990" s="117"/>
      <c r="AG990" s="2305" t="s">
        <v>694</v>
      </c>
      <c r="AH990" s="2306"/>
      <c r="AI990" s="125"/>
      <c r="AJ990" s="2330">
        <f>ROUND(IF(AG990="yes",AJ975*0.02,0),0)</f>
        <v>0</v>
      </c>
      <c r="AK990" s="2331"/>
      <c r="AL990" s="2331"/>
      <c r="AM990" s="2331"/>
      <c r="AN990" s="2331"/>
      <c r="AO990" s="2331"/>
      <c r="AP990" s="2331"/>
      <c r="AQ990" s="2332"/>
      <c r="AR990" s="961"/>
      <c r="AS990" s="961"/>
      <c r="AT990" s="961"/>
      <c r="AU990" s="961"/>
      <c r="AV990" s="961"/>
      <c r="AW990" s="961"/>
      <c r="AX990" s="961"/>
      <c r="AY990" s="961"/>
      <c r="AZ990" s="61"/>
      <c r="BA990" s="976">
        <f>ROUNDDOWN(X1031/I1031,2)</f>
        <v>0.27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97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309" t="s">
        <v>1471</v>
      </c>
      <c r="E991" s="2310"/>
      <c r="F991" s="2310"/>
      <c r="G991" s="2310"/>
      <c r="H991" s="2310"/>
      <c r="I991" s="2310"/>
      <c r="J991" s="2310"/>
      <c r="K991" s="2310"/>
      <c r="L991" s="2310"/>
      <c r="M991" s="2310"/>
      <c r="N991" s="2310"/>
      <c r="O991" s="2310"/>
      <c r="P991" s="2310"/>
      <c r="Q991" s="2310"/>
      <c r="R991" s="2310"/>
      <c r="S991" s="2310"/>
      <c r="T991" s="2310"/>
      <c r="U991" s="2310"/>
      <c r="V991" s="2310"/>
      <c r="W991" s="2310"/>
      <c r="X991" s="2310"/>
      <c r="Y991" s="2310"/>
      <c r="Z991" s="2310"/>
      <c r="AA991" s="2310"/>
      <c r="AB991" s="2310"/>
      <c r="AC991" s="2310"/>
      <c r="AD991" s="2310"/>
      <c r="AE991" s="2311"/>
      <c r="AF991" s="115"/>
      <c r="AG991" s="11"/>
      <c r="AH991" s="11"/>
      <c r="AI991" s="116"/>
      <c r="AJ991" s="2336"/>
      <c r="AK991" s="2337"/>
      <c r="AL991" s="2337"/>
      <c r="AM991" s="2337"/>
      <c r="AN991" s="2337"/>
      <c r="AO991" s="2337"/>
      <c r="AP991" s="2337"/>
      <c r="AQ991" s="2338"/>
      <c r="AR991" s="961"/>
      <c r="AS991" s="961"/>
      <c r="AT991" s="961"/>
      <c r="AU991" s="961"/>
      <c r="AV991" s="961"/>
      <c r="AW991" s="961"/>
      <c r="AX991" s="961"/>
      <c r="AY991" s="961"/>
      <c r="BB991" s="61"/>
      <c r="BC991" s="61"/>
      <c r="BD991" s="61"/>
      <c r="BE991" s="61"/>
      <c r="BF991" s="61"/>
      <c r="CR991" s="204"/>
    </row>
    <row r="992" spans="1:110" ht="12.75" customHeight="1">
      <c r="A992" s="51"/>
      <c r="B992" s="117"/>
      <c r="C992" s="118" t="s">
        <v>220</v>
      </c>
      <c r="D992" s="2293" t="s">
        <v>1472</v>
      </c>
      <c r="E992" s="2294"/>
      <c r="F992" s="2294"/>
      <c r="G992" s="2294"/>
      <c r="H992" s="2294"/>
      <c r="I992" s="2294"/>
      <c r="J992" s="2294"/>
      <c r="K992" s="2294"/>
      <c r="L992" s="2294"/>
      <c r="M992" s="2294"/>
      <c r="N992" s="2294"/>
      <c r="O992" s="2294"/>
      <c r="P992" s="2294"/>
      <c r="Q992" s="2294"/>
      <c r="R992" s="2294"/>
      <c r="S992" s="2294"/>
      <c r="T992" s="2294"/>
      <c r="U992" s="2294"/>
      <c r="V992" s="2294"/>
      <c r="W992" s="2294"/>
      <c r="X992" s="2294"/>
      <c r="Y992" s="2294"/>
      <c r="Z992" s="2294"/>
      <c r="AA992" s="2294"/>
      <c r="AB992" s="2294"/>
      <c r="AC992" s="2294"/>
      <c r="AD992" s="2294"/>
      <c r="AE992" s="2295"/>
      <c r="AF992" s="117"/>
      <c r="AG992" s="2305" t="s">
        <v>694</v>
      </c>
      <c r="AH992" s="2306"/>
      <c r="AI992" s="117"/>
      <c r="AJ992" s="2330">
        <f>ROUND(IF(AG992="yes",AJ975*0.02,0),0)</f>
        <v>0</v>
      </c>
      <c r="AK992" s="2331"/>
      <c r="AL992" s="2331"/>
      <c r="AM992" s="2331"/>
      <c r="AN992" s="2331"/>
      <c r="AO992" s="2331"/>
      <c r="AP992" s="2331"/>
      <c r="AQ992" s="2332"/>
      <c r="AR992" s="961"/>
      <c r="AS992" s="961"/>
      <c r="AT992" s="961"/>
      <c r="AU992" s="961"/>
      <c r="AV992" s="961"/>
      <c r="AW992" s="961"/>
      <c r="AX992" s="961"/>
      <c r="AY992" s="961"/>
      <c r="BB992" s="32"/>
      <c r="BC992" s="32"/>
      <c r="BD992" s="32"/>
      <c r="BE992" s="32"/>
      <c r="BF992" s="32"/>
    </row>
    <row r="993" spans="1:96" s="711" customFormat="1" ht="12.75" customHeight="1">
      <c r="A993" s="51"/>
      <c r="B993" s="110"/>
      <c r="C993" s="111"/>
      <c r="D993" s="2296" t="s">
        <v>1473</v>
      </c>
      <c r="E993" s="2297"/>
      <c r="F993" s="2297"/>
      <c r="G993" s="2297"/>
      <c r="H993" s="2297"/>
      <c r="I993" s="2297"/>
      <c r="J993" s="2297"/>
      <c r="K993" s="2297"/>
      <c r="L993" s="2297"/>
      <c r="M993" s="2297"/>
      <c r="N993" s="2297"/>
      <c r="O993" s="2297"/>
      <c r="P993" s="2297"/>
      <c r="Q993" s="2297"/>
      <c r="R993" s="2297"/>
      <c r="S993" s="2297"/>
      <c r="T993" s="2297"/>
      <c r="U993" s="2297"/>
      <c r="V993" s="2297"/>
      <c r="W993" s="2297"/>
      <c r="X993" s="2297"/>
      <c r="Y993" s="2297"/>
      <c r="Z993" s="2297"/>
      <c r="AA993" s="2297"/>
      <c r="AB993" s="2297"/>
      <c r="AC993" s="2297"/>
      <c r="AD993" s="2297"/>
      <c r="AE993" s="2298"/>
      <c r="AF993" s="110"/>
      <c r="AG993" s="25"/>
      <c r="AH993" s="25"/>
      <c r="AI993" s="112"/>
      <c r="AJ993" s="2333"/>
      <c r="AK993" s="2334"/>
      <c r="AL993" s="2334"/>
      <c r="AM993" s="2334"/>
      <c r="AN993" s="2334"/>
      <c r="AO993" s="2334"/>
      <c r="AP993" s="2334"/>
      <c r="AQ993" s="2335"/>
      <c r="AR993" s="961"/>
      <c r="AS993" s="961"/>
      <c r="AT993" s="961"/>
      <c r="AU993" s="961"/>
      <c r="AV993" s="961"/>
      <c r="AW993" s="961"/>
      <c r="AX993" s="961"/>
      <c r="AY993" s="961"/>
      <c r="BB993" s="894"/>
      <c r="BC993" s="894"/>
      <c r="BD993" s="894"/>
      <c r="BE993" s="894"/>
      <c r="BF993" s="894"/>
      <c r="CR993" s="25"/>
    </row>
    <row r="994" spans="1:96" ht="12.75" customHeight="1">
      <c r="A994" s="51"/>
      <c r="B994" s="113"/>
      <c r="C994" s="114"/>
      <c r="D994" s="2309"/>
      <c r="E994" s="2310"/>
      <c r="F994" s="2310"/>
      <c r="G994" s="2310"/>
      <c r="H994" s="2310"/>
      <c r="I994" s="2310"/>
      <c r="J994" s="2310"/>
      <c r="K994" s="2310"/>
      <c r="L994" s="2310"/>
      <c r="M994" s="2310"/>
      <c r="N994" s="2310"/>
      <c r="O994" s="2310"/>
      <c r="P994" s="2310"/>
      <c r="Q994" s="2310"/>
      <c r="R994" s="2310"/>
      <c r="S994" s="2310"/>
      <c r="T994" s="2310"/>
      <c r="U994" s="2310"/>
      <c r="V994" s="2310"/>
      <c r="W994" s="2310"/>
      <c r="X994" s="2310"/>
      <c r="Y994" s="2310"/>
      <c r="Z994" s="2310"/>
      <c r="AA994" s="2310"/>
      <c r="AB994" s="2310"/>
      <c r="AC994" s="2310"/>
      <c r="AD994" s="2310"/>
      <c r="AE994" s="2311"/>
      <c r="AF994" s="115"/>
      <c r="AG994" s="11"/>
      <c r="AH994" s="11"/>
      <c r="AI994" s="116"/>
      <c r="AJ994" s="2336"/>
      <c r="AK994" s="2337"/>
      <c r="AL994" s="2337"/>
      <c r="AM994" s="2337"/>
      <c r="AN994" s="2337"/>
      <c r="AO994" s="2337"/>
      <c r="AP994" s="2337"/>
      <c r="AQ994" s="2338"/>
      <c r="AR994" s="961"/>
      <c r="AS994" s="961"/>
      <c r="AT994" s="961"/>
      <c r="AU994" s="961"/>
      <c r="AV994" s="961"/>
      <c r="AW994" s="961"/>
      <c r="AX994" s="961"/>
      <c r="AY994" s="961"/>
    </row>
    <row r="995" spans="1:96" s="711" customFormat="1" ht="12.75" customHeight="1">
      <c r="A995" s="51"/>
      <c r="B995" s="117"/>
      <c r="C995" s="118" t="s">
        <v>223</v>
      </c>
      <c r="D995" s="2342" t="s">
        <v>1474</v>
      </c>
      <c r="E995" s="2343"/>
      <c r="F995" s="2343"/>
      <c r="G995" s="2343"/>
      <c r="H995" s="2343"/>
      <c r="I995" s="2343"/>
      <c r="J995" s="2343"/>
      <c r="K995" s="2343"/>
      <c r="L995" s="2343"/>
      <c r="M995" s="2343"/>
      <c r="N995" s="2343"/>
      <c r="O995" s="2343"/>
      <c r="P995" s="2343"/>
      <c r="Q995" s="2343"/>
      <c r="R995" s="2343"/>
      <c r="S995" s="2343"/>
      <c r="T995" s="2343"/>
      <c r="U995" s="2343"/>
      <c r="V995" s="2343"/>
      <c r="W995" s="2343"/>
      <c r="X995" s="2343"/>
      <c r="Y995" s="2343"/>
      <c r="Z995" s="2343"/>
      <c r="AA995" s="2343"/>
      <c r="AB995" s="2343"/>
      <c r="AC995" s="2343"/>
      <c r="AD995" s="2343"/>
      <c r="AE995" s="2344"/>
      <c r="AF995" s="117"/>
      <c r="AG995" s="2305" t="s">
        <v>694</v>
      </c>
      <c r="AH995" s="2306"/>
      <c r="AI995" s="125"/>
      <c r="AJ995" s="2330">
        <f>IF(AG995="yes",AJ975*BA995,0)</f>
        <v>0</v>
      </c>
      <c r="AK995" s="2331"/>
      <c r="AL995" s="2331"/>
      <c r="AM995" s="2331"/>
      <c r="AN995" s="2331"/>
      <c r="AO995" s="2331"/>
      <c r="AP995" s="2331"/>
      <c r="AQ995" s="2332"/>
      <c r="AR995" s="961"/>
      <c r="AS995" s="961"/>
      <c r="AT995" s="961"/>
      <c r="AU995" s="961"/>
      <c r="AV995" s="961"/>
      <c r="AW995" s="961"/>
      <c r="AX995" s="961"/>
      <c r="AY995" s="961"/>
      <c r="BA995" s="322">
        <f>IF(SUM(BA997:BA1005)&lt;=0.1,SUM(BA997:BA1005),0.1)</f>
        <v>0</v>
      </c>
      <c r="CR995" s="25"/>
    </row>
    <row r="996" spans="1:96" ht="12.75" customHeight="1">
      <c r="A996" s="51"/>
      <c r="B996" s="110"/>
      <c r="C996" s="111"/>
      <c r="D996" s="2296" t="s">
        <v>1475</v>
      </c>
      <c r="E996" s="2297"/>
      <c r="F996" s="2297"/>
      <c r="G996" s="2297"/>
      <c r="H996" s="2297"/>
      <c r="I996" s="2297"/>
      <c r="J996" s="2297"/>
      <c r="K996" s="2297"/>
      <c r="L996" s="2297"/>
      <c r="M996" s="2297"/>
      <c r="N996" s="2297"/>
      <c r="O996" s="2297"/>
      <c r="P996" s="2297"/>
      <c r="Q996" s="2297"/>
      <c r="R996" s="2297"/>
      <c r="S996" s="2297"/>
      <c r="T996" s="2297"/>
      <c r="U996" s="2297"/>
      <c r="V996" s="2297"/>
      <c r="W996" s="2297"/>
      <c r="X996" s="2297"/>
      <c r="Y996" s="2297"/>
      <c r="Z996" s="2297"/>
      <c r="AA996" s="2297"/>
      <c r="AB996" s="2297"/>
      <c r="AC996" s="2297"/>
      <c r="AD996" s="2297"/>
      <c r="AE996" s="2298"/>
      <c r="AF996" s="110"/>
      <c r="AG996" s="112"/>
      <c r="AH996" s="112"/>
      <c r="AI996" s="121"/>
      <c r="AJ996" s="2333"/>
      <c r="AK996" s="2334"/>
      <c r="AL996" s="2334"/>
      <c r="AM996" s="2334"/>
      <c r="AN996" s="2334"/>
      <c r="AO996" s="2334"/>
      <c r="AP996" s="2334"/>
      <c r="AQ996" s="2335"/>
      <c r="AR996" s="961"/>
      <c r="AS996" s="961"/>
      <c r="AT996" s="961"/>
      <c r="AU996" s="961"/>
      <c r="AV996" s="961"/>
      <c r="AW996" s="961"/>
      <c r="AX996" s="961"/>
      <c r="AY996" s="961"/>
    </row>
    <row r="997" spans="1:96" ht="12.75" customHeight="1">
      <c r="A997" s="51"/>
      <c r="B997" s="110"/>
      <c r="C997" s="111"/>
      <c r="D997" s="2296"/>
      <c r="E997" s="2297"/>
      <c r="F997" s="2297"/>
      <c r="G997" s="2297"/>
      <c r="H997" s="2297"/>
      <c r="I997" s="2297"/>
      <c r="J997" s="2297"/>
      <c r="K997" s="2297"/>
      <c r="L997" s="2297"/>
      <c r="M997" s="2297"/>
      <c r="N997" s="2297"/>
      <c r="O997" s="2297"/>
      <c r="P997" s="2297"/>
      <c r="Q997" s="2297"/>
      <c r="R997" s="2297"/>
      <c r="S997" s="2297"/>
      <c r="T997" s="2297"/>
      <c r="U997" s="2297"/>
      <c r="V997" s="2297"/>
      <c r="W997" s="2297"/>
      <c r="X997" s="2297"/>
      <c r="Y997" s="2297"/>
      <c r="Z997" s="2297"/>
      <c r="AA997" s="2297"/>
      <c r="AB997" s="2297"/>
      <c r="AC997" s="2297"/>
      <c r="AD997" s="2297"/>
      <c r="AE997" s="2298"/>
      <c r="AF997" s="110"/>
      <c r="AG997" s="112"/>
      <c r="AH997" s="112"/>
      <c r="AI997" s="121"/>
      <c r="AJ997" s="2333"/>
      <c r="AK997" s="2334"/>
      <c r="AL997" s="2334"/>
      <c r="AM997" s="2334"/>
      <c r="AN997" s="2334"/>
      <c r="AO997" s="2334"/>
      <c r="AP997" s="2334"/>
      <c r="AQ997" s="2335"/>
      <c r="AR997" s="961"/>
      <c r="AS997" s="961"/>
      <c r="AT997" s="961"/>
      <c r="AU997" s="961"/>
      <c r="AV997" s="961"/>
      <c r="AW997" s="961"/>
      <c r="AX997" s="961"/>
      <c r="AY997" s="961"/>
      <c r="BA997" s="320">
        <f>IF(A1044="Yes",0.05,0)</f>
        <v>0</v>
      </c>
    </row>
    <row r="998" spans="1:96" ht="15" customHeight="1">
      <c r="A998" s="51"/>
      <c r="B998" s="119"/>
      <c r="C998" s="120"/>
      <c r="D998" s="2309"/>
      <c r="E998" s="2310"/>
      <c r="F998" s="2310"/>
      <c r="G998" s="2310"/>
      <c r="H998" s="2310"/>
      <c r="I998" s="2310"/>
      <c r="J998" s="2310"/>
      <c r="K998" s="2310"/>
      <c r="L998" s="2310"/>
      <c r="M998" s="2310"/>
      <c r="N998" s="2310"/>
      <c r="O998" s="2310"/>
      <c r="P998" s="2310"/>
      <c r="Q998" s="2310"/>
      <c r="R998" s="2310"/>
      <c r="S998" s="2310"/>
      <c r="T998" s="2310"/>
      <c r="U998" s="2310"/>
      <c r="V998" s="2310"/>
      <c r="W998" s="2310"/>
      <c r="X998" s="2310"/>
      <c r="Y998" s="2310"/>
      <c r="Z998" s="2310"/>
      <c r="AA998" s="2310"/>
      <c r="AB998" s="2310"/>
      <c r="AC998" s="2310"/>
      <c r="AD998" s="2310"/>
      <c r="AE998" s="2311"/>
      <c r="AF998" s="115"/>
      <c r="AG998" s="11"/>
      <c r="AH998" s="11"/>
      <c r="AI998" s="116"/>
      <c r="AJ998" s="2336"/>
      <c r="AK998" s="2337"/>
      <c r="AL998" s="2337"/>
      <c r="AM998" s="2337"/>
      <c r="AN998" s="2337"/>
      <c r="AO998" s="2337"/>
      <c r="AP998" s="2337"/>
      <c r="AQ998" s="2338"/>
      <c r="AR998" s="961"/>
      <c r="AS998" s="961"/>
      <c r="AT998" s="961"/>
      <c r="AU998" s="961"/>
      <c r="AV998" s="961"/>
      <c r="AW998" s="961"/>
      <c r="AX998" s="961"/>
      <c r="AY998" s="961"/>
      <c r="BA998" s="320">
        <f>IF(A1050="Yes",0.02,0)</f>
        <v>0</v>
      </c>
    </row>
    <row r="999" spans="1:96" s="711" customFormat="1" ht="15" customHeight="1">
      <c r="A999" s="51"/>
      <c r="B999" s="117"/>
      <c r="C999" s="118" t="s">
        <v>228</v>
      </c>
      <c r="D999" s="2393" t="s">
        <v>1476</v>
      </c>
      <c r="E999" s="2394"/>
      <c r="F999" s="2394"/>
      <c r="G999" s="2394"/>
      <c r="H999" s="2394"/>
      <c r="I999" s="2394"/>
      <c r="J999" s="2394"/>
      <c r="K999" s="2394"/>
      <c r="L999" s="2394"/>
      <c r="M999" s="2394"/>
      <c r="N999" s="2394"/>
      <c r="O999" s="2394"/>
      <c r="P999" s="2394"/>
      <c r="Q999" s="2394"/>
      <c r="R999" s="2394"/>
      <c r="S999" s="2394"/>
      <c r="T999" s="2394"/>
      <c r="U999" s="2394"/>
      <c r="V999" s="2394"/>
      <c r="W999" s="2394"/>
      <c r="X999" s="2394"/>
      <c r="Y999" s="2394"/>
      <c r="Z999" s="2394"/>
      <c r="AA999" s="2394"/>
      <c r="AB999" s="2394"/>
      <c r="AC999" s="2394"/>
      <c r="AD999" s="2394"/>
      <c r="AE999" s="2395"/>
      <c r="AF999" s="117"/>
      <c r="AG999" s="2305" t="s">
        <v>694</v>
      </c>
      <c r="AH999" s="2306"/>
      <c r="AI999" s="125"/>
      <c r="AJ999" s="2360" t="s">
        <v>616</v>
      </c>
      <c r="AK999" s="2361"/>
      <c r="AL999" s="2361"/>
      <c r="AM999" s="2361"/>
      <c r="AN999" s="2361"/>
      <c r="AO999" s="2361"/>
      <c r="AP999" s="2361"/>
      <c r="AQ999" s="2362"/>
      <c r="AR999" s="961"/>
      <c r="AS999" s="961"/>
      <c r="AT999" s="961"/>
      <c r="AU999" s="961"/>
      <c r="AV999" s="961"/>
      <c r="AW999" s="961"/>
      <c r="AX999" s="961"/>
      <c r="AY999" s="961"/>
      <c r="BA999" s="320">
        <f>IF(A1056="Yes",0.04,0)</f>
        <v>0</v>
      </c>
      <c r="CR999" s="25"/>
    </row>
    <row r="1000" spans="1:96" ht="13.2">
      <c r="A1000" s="51"/>
      <c r="B1000" s="119"/>
      <c r="C1000" s="122"/>
      <c r="D1000" s="2396"/>
      <c r="E1000" s="2397"/>
      <c r="F1000" s="2397"/>
      <c r="G1000" s="2397"/>
      <c r="H1000" s="2397"/>
      <c r="I1000" s="2397"/>
      <c r="J1000" s="2397"/>
      <c r="K1000" s="2397"/>
      <c r="L1000" s="2397"/>
      <c r="M1000" s="2397"/>
      <c r="N1000" s="2397"/>
      <c r="O1000" s="2397"/>
      <c r="P1000" s="2397"/>
      <c r="Q1000" s="2397"/>
      <c r="R1000" s="2397"/>
      <c r="S1000" s="2397"/>
      <c r="T1000" s="2397"/>
      <c r="U1000" s="2397"/>
      <c r="V1000" s="2397"/>
      <c r="W1000" s="2397"/>
      <c r="X1000" s="2397"/>
      <c r="Y1000" s="2397"/>
      <c r="Z1000" s="2397"/>
      <c r="AA1000" s="2397"/>
      <c r="AB1000" s="2397"/>
      <c r="AC1000" s="2397"/>
      <c r="AD1000" s="2397"/>
      <c r="AE1000" s="2398"/>
      <c r="AF1000" s="2381">
        <f>IF(AG999="yes","Please Select Type and Enter Amount:",0)</f>
        <v>0</v>
      </c>
      <c r="AG1000" s="2382"/>
      <c r="AH1000" s="2382"/>
      <c r="AI1000" s="2383"/>
      <c r="AJ1000" s="2363"/>
      <c r="AK1000" s="2364"/>
      <c r="AL1000" s="2364"/>
      <c r="AM1000" s="2364"/>
      <c r="AN1000" s="2364"/>
      <c r="AO1000" s="2364"/>
      <c r="AP1000" s="2364"/>
      <c r="AQ1000" s="2365"/>
      <c r="AR1000" s="961"/>
      <c r="AS1000" s="961"/>
      <c r="AT1000" s="961"/>
      <c r="AU1000" s="961"/>
      <c r="AV1000" s="961"/>
      <c r="AW1000" s="961"/>
      <c r="AX1000" s="961"/>
      <c r="AY1000" s="961"/>
      <c r="BA1000" s="320">
        <f>IF(A1063="Yes",0.04,0)</f>
        <v>0</v>
      </c>
    </row>
    <row r="1001" spans="1:96" ht="12.75" customHeight="1">
      <c r="A1001" s="51"/>
      <c r="B1001" s="119"/>
      <c r="C1001" s="122"/>
      <c r="D1001" s="2296" t="s">
        <v>1477</v>
      </c>
      <c r="E1001" s="2297"/>
      <c r="F1001" s="2297"/>
      <c r="G1001" s="2297"/>
      <c r="H1001" s="2297"/>
      <c r="I1001" s="2297"/>
      <c r="J1001" s="2297"/>
      <c r="K1001" s="2297"/>
      <c r="L1001" s="2297"/>
      <c r="M1001" s="2297"/>
      <c r="N1001" s="2297"/>
      <c r="O1001" s="2297"/>
      <c r="P1001" s="2297"/>
      <c r="Q1001" s="2297"/>
      <c r="R1001" s="2297"/>
      <c r="S1001" s="2297"/>
      <c r="T1001" s="2297"/>
      <c r="U1001" s="2297"/>
      <c r="V1001" s="2297"/>
      <c r="W1001" s="2297"/>
      <c r="X1001" s="2297"/>
      <c r="Y1001" s="2297"/>
      <c r="Z1001" s="2297"/>
      <c r="AA1001" s="2297"/>
      <c r="AB1001" s="2297"/>
      <c r="AC1001" s="2297"/>
      <c r="AD1001" s="2297"/>
      <c r="AE1001" s="2298"/>
      <c r="AF1001" s="2381"/>
      <c r="AG1001" s="2382"/>
      <c r="AH1001" s="2382"/>
      <c r="AI1001" s="2383"/>
      <c r="AJ1001" s="2363"/>
      <c r="AK1001" s="2364"/>
      <c r="AL1001" s="2364"/>
      <c r="AM1001" s="2364"/>
      <c r="AN1001" s="2364"/>
      <c r="AO1001" s="2364"/>
      <c r="AP1001" s="2364"/>
      <c r="AQ1001" s="2365"/>
      <c r="AR1001" s="961"/>
      <c r="AS1001" s="961"/>
      <c r="AT1001" s="961"/>
      <c r="AU1001" s="961"/>
      <c r="AV1001" s="961"/>
      <c r="AW1001" s="961"/>
      <c r="AX1001" s="961"/>
      <c r="AY1001" s="961"/>
      <c r="BA1001" s="320">
        <f>IF(A1066="Yes",0.01,0)</f>
        <v>0</v>
      </c>
    </row>
    <row r="1002" spans="1:96" ht="12.75" customHeight="1">
      <c r="A1002" s="51"/>
      <c r="B1002" s="119"/>
      <c r="C1002" s="122"/>
      <c r="D1002" s="2296"/>
      <c r="E1002" s="2297"/>
      <c r="F1002" s="2297"/>
      <c r="G1002" s="2297"/>
      <c r="H1002" s="2297"/>
      <c r="I1002" s="2297"/>
      <c r="J1002" s="2297"/>
      <c r="K1002" s="2297"/>
      <c r="L1002" s="2297"/>
      <c r="M1002" s="2297"/>
      <c r="N1002" s="2297"/>
      <c r="O1002" s="2297"/>
      <c r="P1002" s="2297"/>
      <c r="Q1002" s="2297"/>
      <c r="R1002" s="2297"/>
      <c r="S1002" s="2297"/>
      <c r="T1002" s="2297"/>
      <c r="U1002" s="2297"/>
      <c r="V1002" s="2297"/>
      <c r="W1002" s="2297"/>
      <c r="X1002" s="2297"/>
      <c r="Y1002" s="2297"/>
      <c r="Z1002" s="2297"/>
      <c r="AA1002" s="2297"/>
      <c r="AB1002" s="2297"/>
      <c r="AC1002" s="2297"/>
      <c r="AD1002" s="2297"/>
      <c r="AE1002" s="2298"/>
      <c r="AF1002" s="2381"/>
      <c r="AG1002" s="2382"/>
      <c r="AH1002" s="2382"/>
      <c r="AI1002" s="2383"/>
      <c r="AJ1002" s="2363"/>
      <c r="AK1002" s="2364"/>
      <c r="AL1002" s="2364"/>
      <c r="AM1002" s="2364"/>
      <c r="AN1002" s="2364"/>
      <c r="AO1002" s="2364"/>
      <c r="AP1002" s="2364"/>
      <c r="AQ1002" s="2365"/>
      <c r="AR1002" s="961"/>
      <c r="AS1002" s="961"/>
      <c r="AT1002" s="961"/>
      <c r="AU1002" s="961"/>
      <c r="AV1002" s="961"/>
      <c r="AW1002" s="961"/>
      <c r="AX1002" s="961"/>
      <c r="AY1002" s="961"/>
      <c r="BA1002" s="320">
        <f>IF(A1071="Yes",0.01,0)</f>
        <v>0</v>
      </c>
    </row>
    <row r="1003" spans="1:96" s="711" customFormat="1" ht="12.75" customHeight="1">
      <c r="A1003" s="51"/>
      <c r="B1003" s="119"/>
      <c r="C1003" s="122"/>
      <c r="D1003" s="898" t="s">
        <v>365</v>
      </c>
      <c r="E1003" s="133"/>
      <c r="F1003" s="133"/>
      <c r="G1003" s="160"/>
      <c r="H1003" s="160"/>
      <c r="I1003" s="81"/>
      <c r="J1003" s="2399" t="s">
        <v>616</v>
      </c>
      <c r="K1003" s="2400"/>
      <c r="L1003" s="2400"/>
      <c r="M1003" s="2400"/>
      <c r="N1003" s="2400"/>
      <c r="O1003" s="2400"/>
      <c r="P1003" s="2400"/>
      <c r="Q1003" s="2400"/>
      <c r="R1003" s="2400"/>
      <c r="S1003" s="2400"/>
      <c r="T1003" s="2400"/>
      <c r="U1003" s="2400"/>
      <c r="V1003" s="2400"/>
      <c r="W1003" s="2400"/>
      <c r="X1003" s="2400"/>
      <c r="Y1003" s="2400"/>
      <c r="Z1003" s="2400"/>
      <c r="AA1003" s="2400"/>
      <c r="AB1003" s="2400"/>
      <c r="AC1003" s="2400"/>
      <c r="AD1003" s="2400"/>
      <c r="AE1003" s="2401"/>
      <c r="AF1003" s="2384"/>
      <c r="AG1003" s="2385"/>
      <c r="AH1003" s="2385"/>
      <c r="AI1003" s="2386"/>
      <c r="AJ1003" s="2366"/>
      <c r="AK1003" s="2367"/>
      <c r="AL1003" s="2367"/>
      <c r="AM1003" s="2367"/>
      <c r="AN1003" s="2367"/>
      <c r="AO1003" s="2367"/>
      <c r="AP1003" s="2367"/>
      <c r="AQ1003" s="2368"/>
      <c r="AR1003" s="961"/>
      <c r="AS1003" s="961"/>
      <c r="AT1003" s="961"/>
      <c r="AU1003" s="961"/>
      <c r="AV1003" s="961"/>
      <c r="AW1003" s="961"/>
      <c r="AX1003" s="961"/>
      <c r="AY1003" s="961"/>
      <c r="BA1003" s="320">
        <f>IF(A1074="Yes",0.01,0)</f>
        <v>0</v>
      </c>
      <c r="CR1003" s="25"/>
    </row>
    <row r="1004" spans="1:96" ht="12.75" customHeight="1">
      <c r="A1004" s="51"/>
      <c r="B1004" s="117"/>
      <c r="C1004" s="118" t="s">
        <v>234</v>
      </c>
      <c r="D1004" s="2293" t="s">
        <v>1478</v>
      </c>
      <c r="E1004" s="2294"/>
      <c r="F1004" s="2294"/>
      <c r="G1004" s="2294"/>
      <c r="H1004" s="2294"/>
      <c r="I1004" s="2294"/>
      <c r="J1004" s="2294"/>
      <c r="K1004" s="2294"/>
      <c r="L1004" s="2294"/>
      <c r="M1004" s="2294"/>
      <c r="N1004" s="2294"/>
      <c r="O1004" s="2294"/>
      <c r="P1004" s="2294"/>
      <c r="Q1004" s="2294"/>
      <c r="R1004" s="2294"/>
      <c r="S1004" s="2294"/>
      <c r="T1004" s="2294"/>
      <c r="U1004" s="2294"/>
      <c r="V1004" s="2294"/>
      <c r="W1004" s="2294"/>
      <c r="X1004" s="2294"/>
      <c r="Y1004" s="2294"/>
      <c r="Z1004" s="2294"/>
      <c r="AA1004" s="2294"/>
      <c r="AB1004" s="2294"/>
      <c r="AC1004" s="2294"/>
      <c r="AD1004" s="2294"/>
      <c r="AE1004" s="2295"/>
      <c r="AF1004" s="117"/>
      <c r="AG1004" s="2305" t="s">
        <v>694</v>
      </c>
      <c r="AH1004" s="2306"/>
      <c r="AI1004" s="125"/>
      <c r="AJ1004" s="2360" t="s">
        <v>616</v>
      </c>
      <c r="AK1004" s="2361"/>
      <c r="AL1004" s="2361"/>
      <c r="AM1004" s="2361"/>
      <c r="AN1004" s="2361"/>
      <c r="AO1004" s="2361"/>
      <c r="AP1004" s="2361"/>
      <c r="AQ1004" s="2362"/>
      <c r="AR1004" s="961"/>
      <c r="AS1004" s="961"/>
      <c r="AT1004" s="961"/>
      <c r="AU1004" s="961"/>
      <c r="AV1004" s="961"/>
      <c r="AW1004" s="961"/>
      <c r="AX1004" s="961"/>
      <c r="AY1004" s="961"/>
      <c r="BA1004" s="320">
        <f>IF(A1078="Yes",0.02,0)</f>
        <v>0</v>
      </c>
    </row>
    <row r="1005" spans="1:96" ht="12.75" customHeight="1">
      <c r="A1005" s="51"/>
      <c r="B1005" s="110"/>
      <c r="C1005" s="111"/>
      <c r="D1005" s="2296" t="s">
        <v>1998</v>
      </c>
      <c r="E1005" s="2297"/>
      <c r="F1005" s="2297"/>
      <c r="G1005" s="2297"/>
      <c r="H1005" s="2297"/>
      <c r="I1005" s="2297"/>
      <c r="J1005" s="2297"/>
      <c r="K1005" s="2297"/>
      <c r="L1005" s="2297"/>
      <c r="M1005" s="2297"/>
      <c r="N1005" s="2297"/>
      <c r="O1005" s="2297"/>
      <c r="P1005" s="2297"/>
      <c r="Q1005" s="2297"/>
      <c r="R1005" s="2297"/>
      <c r="S1005" s="2297"/>
      <c r="T1005" s="2297"/>
      <c r="U1005" s="2297"/>
      <c r="V1005" s="2297"/>
      <c r="W1005" s="2297"/>
      <c r="X1005" s="2297"/>
      <c r="Y1005" s="2297"/>
      <c r="Z1005" s="2297"/>
      <c r="AA1005" s="2297"/>
      <c r="AB1005" s="2297"/>
      <c r="AC1005" s="2297"/>
      <c r="AD1005" s="2297"/>
      <c r="AE1005" s="2298"/>
      <c r="AF1005" s="2387">
        <f>IF(AG1004="yes","Please Enter Amount:",0)</f>
        <v>0</v>
      </c>
      <c r="AG1005" s="2388"/>
      <c r="AH1005" s="2388"/>
      <c r="AI1005" s="2389"/>
      <c r="AJ1005" s="2363"/>
      <c r="AK1005" s="2364"/>
      <c r="AL1005" s="2364"/>
      <c r="AM1005" s="2364"/>
      <c r="AN1005" s="2364"/>
      <c r="AO1005" s="2364"/>
      <c r="AP1005" s="2364"/>
      <c r="AQ1005" s="2365"/>
      <c r="AR1005" s="961"/>
      <c r="AS1005" s="961"/>
      <c r="AT1005" s="961"/>
      <c r="AU1005" s="961"/>
      <c r="AV1005" s="961"/>
      <c r="AW1005" s="961"/>
      <c r="AX1005" s="961"/>
      <c r="AY1005" s="961"/>
      <c r="BA1005" s="321">
        <f>IF(A1082="Yes",0.02,0)</f>
        <v>0</v>
      </c>
    </row>
    <row r="1006" spans="1:96" ht="12.75" customHeight="1">
      <c r="A1006" s="51"/>
      <c r="B1006" s="110"/>
      <c r="C1006" s="111"/>
      <c r="D1006" s="2296"/>
      <c r="E1006" s="2297"/>
      <c r="F1006" s="2297"/>
      <c r="G1006" s="2297"/>
      <c r="H1006" s="2297"/>
      <c r="I1006" s="2297"/>
      <c r="J1006" s="2297"/>
      <c r="K1006" s="2297"/>
      <c r="L1006" s="2297"/>
      <c r="M1006" s="2297"/>
      <c r="N1006" s="2297"/>
      <c r="O1006" s="2297"/>
      <c r="P1006" s="2297"/>
      <c r="Q1006" s="2297"/>
      <c r="R1006" s="2297"/>
      <c r="S1006" s="2297"/>
      <c r="T1006" s="2297"/>
      <c r="U1006" s="2297"/>
      <c r="V1006" s="2297"/>
      <c r="W1006" s="2297"/>
      <c r="X1006" s="2297"/>
      <c r="Y1006" s="2297"/>
      <c r="Z1006" s="2297"/>
      <c r="AA1006" s="2297"/>
      <c r="AB1006" s="2297"/>
      <c r="AC1006" s="2297"/>
      <c r="AD1006" s="2297"/>
      <c r="AE1006" s="2298"/>
      <c r="AF1006" s="2387"/>
      <c r="AG1006" s="2388"/>
      <c r="AH1006" s="2388"/>
      <c r="AI1006" s="2389"/>
      <c r="AJ1006" s="2363"/>
      <c r="AK1006" s="2364"/>
      <c r="AL1006" s="2364"/>
      <c r="AM1006" s="2364"/>
      <c r="AN1006" s="2364"/>
      <c r="AO1006" s="2364"/>
      <c r="AP1006" s="2364"/>
      <c r="AQ1006" s="2365"/>
      <c r="AR1006" s="961"/>
      <c r="AS1006" s="961"/>
      <c r="AT1006" s="961"/>
      <c r="AU1006" s="961"/>
      <c r="AV1006" s="961"/>
      <c r="AW1006" s="961"/>
      <c r="AX1006" s="961"/>
      <c r="AY1006" s="961"/>
    </row>
    <row r="1007" spans="1:96" ht="12.75" customHeight="1">
      <c r="A1007" s="51"/>
      <c r="B1007" s="123"/>
      <c r="C1007" s="122"/>
      <c r="D1007" s="2309"/>
      <c r="E1007" s="2310"/>
      <c r="F1007" s="2310"/>
      <c r="G1007" s="2310"/>
      <c r="H1007" s="2310"/>
      <c r="I1007" s="2310"/>
      <c r="J1007" s="2310"/>
      <c r="K1007" s="2310"/>
      <c r="L1007" s="2310"/>
      <c r="M1007" s="2310"/>
      <c r="N1007" s="2310"/>
      <c r="O1007" s="2310"/>
      <c r="P1007" s="2310"/>
      <c r="Q1007" s="2310"/>
      <c r="R1007" s="2310"/>
      <c r="S1007" s="2310"/>
      <c r="T1007" s="2310"/>
      <c r="U1007" s="2310"/>
      <c r="V1007" s="2310"/>
      <c r="W1007" s="2310"/>
      <c r="X1007" s="2310"/>
      <c r="Y1007" s="2310"/>
      <c r="Z1007" s="2310"/>
      <c r="AA1007" s="2310"/>
      <c r="AB1007" s="2310"/>
      <c r="AC1007" s="2310"/>
      <c r="AD1007" s="2310"/>
      <c r="AE1007" s="2311"/>
      <c r="AF1007" s="2390"/>
      <c r="AG1007" s="2391"/>
      <c r="AH1007" s="2391"/>
      <c r="AI1007" s="2392"/>
      <c r="AJ1007" s="2366"/>
      <c r="AK1007" s="2367"/>
      <c r="AL1007" s="2367"/>
      <c r="AM1007" s="2367"/>
      <c r="AN1007" s="2367"/>
      <c r="AO1007" s="2367"/>
      <c r="AP1007" s="2367"/>
      <c r="AQ1007" s="2368"/>
      <c r="AR1007" s="961"/>
      <c r="AS1007" s="961"/>
      <c r="AT1007" s="961"/>
      <c r="AU1007" s="961"/>
      <c r="AV1007" s="961"/>
      <c r="AW1007" s="961"/>
      <c r="AX1007" s="961"/>
      <c r="AY1007" s="961"/>
    </row>
    <row r="1008" spans="1:96" s="711" customFormat="1" ht="12.75" customHeight="1">
      <c r="A1008" s="51"/>
      <c r="B1008" s="117"/>
      <c r="C1008" s="118" t="s">
        <v>239</v>
      </c>
      <c r="D1008" s="2342" t="s">
        <v>1479</v>
      </c>
      <c r="E1008" s="2343"/>
      <c r="F1008" s="2343"/>
      <c r="G1008" s="2343"/>
      <c r="H1008" s="2343"/>
      <c r="I1008" s="2343"/>
      <c r="J1008" s="2343"/>
      <c r="K1008" s="2343"/>
      <c r="L1008" s="2343"/>
      <c r="M1008" s="2343"/>
      <c r="N1008" s="2343"/>
      <c r="O1008" s="2343"/>
      <c r="P1008" s="2343"/>
      <c r="Q1008" s="2343"/>
      <c r="R1008" s="2343"/>
      <c r="S1008" s="2343"/>
      <c r="T1008" s="2343"/>
      <c r="U1008" s="2343"/>
      <c r="V1008" s="2343"/>
      <c r="W1008" s="2343"/>
      <c r="X1008" s="2343"/>
      <c r="Y1008" s="2343"/>
      <c r="Z1008" s="2343"/>
      <c r="AA1008" s="2343"/>
      <c r="AB1008" s="2343"/>
      <c r="AC1008" s="2343"/>
      <c r="AD1008" s="2343"/>
      <c r="AE1008" s="2344"/>
      <c r="AF1008" s="117"/>
      <c r="AG1008" s="2305" t="s">
        <v>569</v>
      </c>
      <c r="AH1008" s="2306"/>
      <c r="AI1008" s="125"/>
      <c r="AJ1008" s="2330">
        <f>ROUND(IF(AG1008="yes",(AJ975*0.1),0),0)</f>
        <v>6610160</v>
      </c>
      <c r="AK1008" s="2331"/>
      <c r="AL1008" s="2331"/>
      <c r="AM1008" s="2331"/>
      <c r="AN1008" s="2331"/>
      <c r="AO1008" s="2331"/>
      <c r="AP1008" s="2331"/>
      <c r="AQ1008" s="2332"/>
      <c r="AR1008" s="961"/>
      <c r="AS1008" s="961"/>
      <c r="AT1008" s="961"/>
      <c r="AU1008" s="961"/>
      <c r="AV1008" s="961"/>
      <c r="AW1008" s="961"/>
      <c r="AX1008" s="961"/>
      <c r="AY1008" s="961"/>
      <c r="CR1008" s="25"/>
    </row>
    <row r="1009" spans="1:96" ht="12.75" customHeight="1">
      <c r="A1009" s="51"/>
      <c r="B1009" s="110"/>
      <c r="C1009" s="111"/>
      <c r="D1009" s="2296" t="s">
        <v>1480</v>
      </c>
      <c r="E1009" s="2297"/>
      <c r="F1009" s="2297"/>
      <c r="G1009" s="2297"/>
      <c r="H1009" s="2297"/>
      <c r="I1009" s="2297"/>
      <c r="J1009" s="2297"/>
      <c r="K1009" s="2297"/>
      <c r="L1009" s="2297"/>
      <c r="M1009" s="2297"/>
      <c r="N1009" s="2297"/>
      <c r="O1009" s="2297"/>
      <c r="P1009" s="2297"/>
      <c r="Q1009" s="2297"/>
      <c r="R1009" s="2297"/>
      <c r="S1009" s="2297"/>
      <c r="T1009" s="2297"/>
      <c r="U1009" s="2297"/>
      <c r="V1009" s="2297"/>
      <c r="W1009" s="2297"/>
      <c r="X1009" s="2297"/>
      <c r="Y1009" s="2297"/>
      <c r="Z1009" s="2297"/>
      <c r="AA1009" s="2297"/>
      <c r="AB1009" s="2297"/>
      <c r="AC1009" s="2297"/>
      <c r="AD1009" s="2297"/>
      <c r="AE1009" s="2298"/>
      <c r="AF1009" s="110"/>
      <c r="AG1009" s="112"/>
      <c r="AH1009" s="112"/>
      <c r="AI1009" s="121"/>
      <c r="AJ1009" s="2333"/>
      <c r="AK1009" s="2334"/>
      <c r="AL1009" s="2334"/>
      <c r="AM1009" s="2334"/>
      <c r="AN1009" s="2334"/>
      <c r="AO1009" s="2334"/>
      <c r="AP1009" s="2334"/>
      <c r="AQ1009" s="2335"/>
      <c r="AR1009" s="961"/>
      <c r="AS1009" s="961"/>
      <c r="AT1009" s="961"/>
      <c r="AU1009" s="961"/>
      <c r="AV1009" s="961"/>
      <c r="AW1009" s="961"/>
      <c r="AX1009" s="961"/>
      <c r="AY1009" s="961"/>
    </row>
    <row r="1010" spans="1:96" ht="12.75" customHeight="1">
      <c r="A1010" s="51"/>
      <c r="B1010" s="115"/>
      <c r="C1010" s="111"/>
      <c r="D1010" s="2309"/>
      <c r="E1010" s="2310"/>
      <c r="F1010" s="2310"/>
      <c r="G1010" s="2310"/>
      <c r="H1010" s="2310"/>
      <c r="I1010" s="2310"/>
      <c r="J1010" s="2310"/>
      <c r="K1010" s="2310"/>
      <c r="L1010" s="2310"/>
      <c r="M1010" s="2310"/>
      <c r="N1010" s="2310"/>
      <c r="O1010" s="2310"/>
      <c r="P1010" s="2310"/>
      <c r="Q1010" s="2310"/>
      <c r="R1010" s="2310"/>
      <c r="S1010" s="2310"/>
      <c r="T1010" s="2310"/>
      <c r="U1010" s="2310"/>
      <c r="V1010" s="2310"/>
      <c r="W1010" s="2310"/>
      <c r="X1010" s="2310"/>
      <c r="Y1010" s="2310"/>
      <c r="Z1010" s="2310"/>
      <c r="AA1010" s="2310"/>
      <c r="AB1010" s="2310"/>
      <c r="AC1010" s="2310"/>
      <c r="AD1010" s="2310"/>
      <c r="AE1010" s="2311"/>
      <c r="AF1010" s="110"/>
      <c r="AG1010" s="112"/>
      <c r="AH1010" s="112"/>
      <c r="AI1010" s="121"/>
      <c r="AJ1010" s="2336"/>
      <c r="AK1010" s="2337"/>
      <c r="AL1010" s="2337"/>
      <c r="AM1010" s="2337"/>
      <c r="AN1010" s="2337"/>
      <c r="AO1010" s="2337"/>
      <c r="AP1010" s="2337"/>
      <c r="AQ1010" s="2338"/>
      <c r="AR1010" s="961"/>
      <c r="AS1010" s="961"/>
      <c r="AT1010" s="961"/>
      <c r="AU1010" s="961"/>
      <c r="AV1010" s="961"/>
      <c r="AW1010" s="961"/>
      <c r="AX1010" s="961"/>
      <c r="AY1010" s="961"/>
    </row>
    <row r="1011" spans="1:96" s="711" customFormat="1" ht="12.75" customHeight="1">
      <c r="A1011" s="51"/>
      <c r="B1011" s="110"/>
      <c r="C1011" s="524" t="s">
        <v>713</v>
      </c>
      <c r="D1011" s="2293" t="s">
        <v>1994</v>
      </c>
      <c r="E1011" s="2294"/>
      <c r="F1011" s="2294"/>
      <c r="G1011" s="2294"/>
      <c r="H1011" s="2294"/>
      <c r="I1011" s="2294"/>
      <c r="J1011" s="2294"/>
      <c r="K1011" s="2294"/>
      <c r="L1011" s="2294"/>
      <c r="M1011" s="2294"/>
      <c r="N1011" s="2294"/>
      <c r="O1011" s="2294"/>
      <c r="P1011" s="2294"/>
      <c r="Q1011" s="2294"/>
      <c r="R1011" s="2294"/>
      <c r="S1011" s="2294"/>
      <c r="T1011" s="2294"/>
      <c r="U1011" s="2294"/>
      <c r="V1011" s="2294"/>
      <c r="W1011" s="2294"/>
      <c r="X1011" s="2294"/>
      <c r="Y1011" s="2294"/>
      <c r="Z1011" s="2294"/>
      <c r="AA1011" s="2294"/>
      <c r="AB1011" s="2294"/>
      <c r="AC1011" s="2294"/>
      <c r="AD1011" s="2294"/>
      <c r="AE1011" s="2295"/>
      <c r="AF1011" s="117"/>
      <c r="AG1011" s="2345" t="s">
        <v>569</v>
      </c>
      <c r="AH1011" s="2306"/>
      <c r="AI1011" s="125"/>
      <c r="AJ1011" s="2330">
        <f>ROUND(IF(AG1011="yes",(AJ975*0.15),0),0)</f>
        <v>9915240</v>
      </c>
      <c r="AK1011" s="2331"/>
      <c r="AL1011" s="2331"/>
      <c r="AM1011" s="2331"/>
      <c r="AN1011" s="2331"/>
      <c r="AO1011" s="2331"/>
      <c r="AP1011" s="2331"/>
      <c r="AQ1011" s="2332"/>
      <c r="AR1011" s="961"/>
      <c r="AS1011" s="961"/>
      <c r="AT1011" s="961"/>
      <c r="AU1011" s="961"/>
      <c r="AV1011" s="961"/>
      <c r="AW1011" s="961"/>
      <c r="AX1011" s="961"/>
      <c r="AY1011" s="961"/>
      <c r="CR1011" s="25"/>
    </row>
    <row r="1012" spans="1:96" s="711" customFormat="1" ht="12.75" customHeight="1">
      <c r="A1012" s="51"/>
      <c r="B1012" s="110"/>
      <c r="C1012" s="111"/>
      <c r="D1012" s="2324" t="s">
        <v>1995</v>
      </c>
      <c r="E1012" s="2325"/>
      <c r="F1012" s="2325"/>
      <c r="G1012" s="2325"/>
      <c r="H1012" s="2325"/>
      <c r="I1012" s="2325"/>
      <c r="J1012" s="2325"/>
      <c r="K1012" s="2325"/>
      <c r="L1012" s="2325"/>
      <c r="M1012" s="2325"/>
      <c r="N1012" s="2325"/>
      <c r="O1012" s="2325"/>
      <c r="P1012" s="2325"/>
      <c r="Q1012" s="2325"/>
      <c r="R1012" s="2325"/>
      <c r="S1012" s="2325"/>
      <c r="T1012" s="2325"/>
      <c r="U1012" s="2325"/>
      <c r="V1012" s="2325"/>
      <c r="W1012" s="2325"/>
      <c r="X1012" s="2325"/>
      <c r="Y1012" s="2325"/>
      <c r="Z1012" s="2325"/>
      <c r="AA1012" s="2325"/>
      <c r="AB1012" s="2325"/>
      <c r="AC1012" s="2325"/>
      <c r="AD1012" s="2325"/>
      <c r="AE1012" s="2326"/>
      <c r="AF1012" s="978"/>
      <c r="AG1012" s="979"/>
      <c r="AH1012" s="979"/>
      <c r="AI1012" s="980"/>
      <c r="AJ1012" s="2333"/>
      <c r="AK1012" s="2334"/>
      <c r="AL1012" s="2334"/>
      <c r="AM1012" s="2334"/>
      <c r="AN1012" s="2334"/>
      <c r="AO1012" s="2334"/>
      <c r="AP1012" s="2334"/>
      <c r="AQ1012" s="2335"/>
      <c r="AR1012" s="961"/>
      <c r="AS1012" s="961"/>
      <c r="AT1012" s="961"/>
      <c r="AU1012" s="961"/>
      <c r="AV1012" s="961"/>
      <c r="AW1012" s="961"/>
      <c r="AX1012" s="961"/>
      <c r="AY1012" s="961"/>
      <c r="CR1012" s="25"/>
    </row>
    <row r="1013" spans="1:96" s="711" customFormat="1" ht="12.75" customHeight="1">
      <c r="A1013" s="51"/>
      <c r="B1013" s="110"/>
      <c r="C1013" s="111"/>
      <c r="D1013" s="2324"/>
      <c r="E1013" s="2325"/>
      <c r="F1013" s="2325"/>
      <c r="G1013" s="2325"/>
      <c r="H1013" s="2325"/>
      <c r="I1013" s="2325"/>
      <c r="J1013" s="2325"/>
      <c r="K1013" s="2325"/>
      <c r="L1013" s="2325"/>
      <c r="M1013" s="2325"/>
      <c r="N1013" s="2325"/>
      <c r="O1013" s="2325"/>
      <c r="P1013" s="2325"/>
      <c r="Q1013" s="2325"/>
      <c r="R1013" s="2325"/>
      <c r="S1013" s="2325"/>
      <c r="T1013" s="2325"/>
      <c r="U1013" s="2325"/>
      <c r="V1013" s="2325"/>
      <c r="W1013" s="2325"/>
      <c r="X1013" s="2325"/>
      <c r="Y1013" s="2325"/>
      <c r="Z1013" s="2325"/>
      <c r="AA1013" s="2325"/>
      <c r="AB1013" s="2325"/>
      <c r="AC1013" s="2325"/>
      <c r="AD1013" s="2325"/>
      <c r="AE1013" s="2326"/>
      <c r="AF1013" s="978"/>
      <c r="AG1013" s="979"/>
      <c r="AH1013" s="979"/>
      <c r="AI1013" s="980"/>
      <c r="AJ1013" s="2333"/>
      <c r="AK1013" s="2334"/>
      <c r="AL1013" s="2334"/>
      <c r="AM1013" s="2334"/>
      <c r="AN1013" s="2334"/>
      <c r="AO1013" s="2334"/>
      <c r="AP1013" s="2334"/>
      <c r="AQ1013" s="2335"/>
      <c r="AR1013" s="961"/>
      <c r="AS1013" s="961"/>
      <c r="AT1013" s="961"/>
      <c r="AU1013" s="961"/>
      <c r="AV1013" s="961"/>
      <c r="AW1013" s="961"/>
      <c r="AX1013" s="961"/>
      <c r="AY1013" s="961"/>
      <c r="CR1013" s="25"/>
    </row>
    <row r="1014" spans="1:96" s="711" customFormat="1" ht="12.75" customHeight="1">
      <c r="A1014" s="51"/>
      <c r="B1014" s="110"/>
      <c r="C1014" s="111"/>
      <c r="D1014" s="2327"/>
      <c r="E1014" s="2328"/>
      <c r="F1014" s="2328"/>
      <c r="G1014" s="2328"/>
      <c r="H1014" s="2328"/>
      <c r="I1014" s="2328"/>
      <c r="J1014" s="2328"/>
      <c r="K1014" s="2328"/>
      <c r="L1014" s="2328"/>
      <c r="M1014" s="2328"/>
      <c r="N1014" s="2328"/>
      <c r="O1014" s="2328"/>
      <c r="P1014" s="2328"/>
      <c r="Q1014" s="2328"/>
      <c r="R1014" s="2328"/>
      <c r="S1014" s="2328"/>
      <c r="T1014" s="2328"/>
      <c r="U1014" s="2328"/>
      <c r="V1014" s="2328"/>
      <c r="W1014" s="2328"/>
      <c r="X1014" s="2328"/>
      <c r="Y1014" s="2328"/>
      <c r="Z1014" s="2328"/>
      <c r="AA1014" s="2328"/>
      <c r="AB1014" s="2328"/>
      <c r="AC1014" s="2328"/>
      <c r="AD1014" s="2328"/>
      <c r="AE1014" s="2329"/>
      <c r="AF1014" s="981"/>
      <c r="AG1014" s="982"/>
      <c r="AH1014" s="982"/>
      <c r="AI1014" s="983"/>
      <c r="AJ1014" s="2336"/>
      <c r="AK1014" s="2337"/>
      <c r="AL1014" s="2337"/>
      <c r="AM1014" s="2337"/>
      <c r="AN1014" s="2337"/>
      <c r="AO1014" s="2337"/>
      <c r="AP1014" s="2337"/>
      <c r="AQ1014" s="2338"/>
      <c r="AR1014" s="961"/>
      <c r="AS1014" s="961"/>
      <c r="AT1014" s="961"/>
      <c r="AU1014" s="961"/>
      <c r="AV1014" s="961"/>
      <c r="AW1014" s="961"/>
      <c r="AX1014" s="961"/>
      <c r="AY1014" s="961"/>
      <c r="CR1014" s="25"/>
    </row>
    <row r="1015" spans="1:96" s="711" customFormat="1" ht="12.75" customHeight="1">
      <c r="A1015" s="51"/>
      <c r="B1015" s="110"/>
      <c r="C1015" s="524" t="s">
        <v>713</v>
      </c>
      <c r="D1015" s="2342" t="s">
        <v>1996</v>
      </c>
      <c r="E1015" s="2343"/>
      <c r="F1015" s="2343"/>
      <c r="G1015" s="2343"/>
      <c r="H1015" s="2343"/>
      <c r="I1015" s="2343"/>
      <c r="J1015" s="2343"/>
      <c r="K1015" s="2343"/>
      <c r="L1015" s="2343"/>
      <c r="M1015" s="2343"/>
      <c r="N1015" s="2343"/>
      <c r="O1015" s="2343"/>
      <c r="P1015" s="2343"/>
      <c r="Q1015" s="2343"/>
      <c r="R1015" s="2343"/>
      <c r="S1015" s="2343"/>
      <c r="T1015" s="2343"/>
      <c r="U1015" s="2343"/>
      <c r="V1015" s="2343"/>
      <c r="W1015" s="2343"/>
      <c r="X1015" s="2343"/>
      <c r="Y1015" s="2343"/>
      <c r="Z1015" s="2343"/>
      <c r="AA1015" s="2343"/>
      <c r="AB1015" s="2343"/>
      <c r="AC1015" s="2343"/>
      <c r="AD1015" s="2343"/>
      <c r="AE1015" s="2344"/>
      <c r="AF1015" s="110"/>
      <c r="AG1015" s="2307" t="s">
        <v>694</v>
      </c>
      <c r="AH1015" s="2308"/>
      <c r="AI1015" s="121"/>
      <c r="AJ1015" s="2330">
        <f>ROUND(IF(AND(AG1015="yes",AJ1011=0),(AJ975*0.1),0),0)</f>
        <v>0</v>
      </c>
      <c r="AK1015" s="2331"/>
      <c r="AL1015" s="2331"/>
      <c r="AM1015" s="2331"/>
      <c r="AN1015" s="2331"/>
      <c r="AO1015" s="2331"/>
      <c r="AP1015" s="2331"/>
      <c r="AQ1015" s="2332"/>
      <c r="AR1015" s="961"/>
      <c r="AS1015" s="961"/>
      <c r="AT1015" s="961"/>
      <c r="AU1015" s="961"/>
      <c r="AV1015" s="961"/>
      <c r="AW1015" s="961"/>
      <c r="AX1015" s="961"/>
      <c r="AY1015" s="961"/>
      <c r="CR1015" s="25"/>
    </row>
    <row r="1016" spans="1:96" s="711" customFormat="1" ht="12.75" customHeight="1">
      <c r="A1016" s="51"/>
      <c r="B1016" s="110"/>
      <c r="C1016" s="111"/>
      <c r="D1016" s="2324" t="s">
        <v>1997</v>
      </c>
      <c r="E1016" s="2325"/>
      <c r="F1016" s="2325"/>
      <c r="G1016" s="2325"/>
      <c r="H1016" s="2325"/>
      <c r="I1016" s="2325"/>
      <c r="J1016" s="2325"/>
      <c r="K1016" s="2325"/>
      <c r="L1016" s="2325"/>
      <c r="M1016" s="2325"/>
      <c r="N1016" s="2325"/>
      <c r="O1016" s="2325"/>
      <c r="P1016" s="2325"/>
      <c r="Q1016" s="2325"/>
      <c r="R1016" s="2325"/>
      <c r="S1016" s="2325"/>
      <c r="T1016" s="2325"/>
      <c r="U1016" s="2325"/>
      <c r="V1016" s="2325"/>
      <c r="W1016" s="2325"/>
      <c r="X1016" s="2325"/>
      <c r="Y1016" s="2325"/>
      <c r="Z1016" s="2325"/>
      <c r="AA1016" s="2325"/>
      <c r="AB1016" s="2325"/>
      <c r="AC1016" s="2325"/>
      <c r="AD1016" s="2325"/>
      <c r="AE1016" s="2326"/>
      <c r="AF1016" s="110"/>
      <c r="AG1016" s="112"/>
      <c r="AH1016" s="112"/>
      <c r="AI1016" s="121"/>
      <c r="AJ1016" s="2333"/>
      <c r="AK1016" s="2334"/>
      <c r="AL1016" s="2334"/>
      <c r="AM1016" s="2334"/>
      <c r="AN1016" s="2334"/>
      <c r="AO1016" s="2334"/>
      <c r="AP1016" s="2334"/>
      <c r="AQ1016" s="2335"/>
      <c r="AR1016" s="961"/>
      <c r="AS1016" s="961"/>
      <c r="AT1016" s="961"/>
      <c r="AU1016" s="961"/>
      <c r="AV1016" s="961"/>
      <c r="AW1016" s="961"/>
      <c r="AX1016" s="961"/>
      <c r="AY1016" s="961"/>
      <c r="CR1016" s="25"/>
    </row>
    <row r="1017" spans="1:96" s="711" customFormat="1" ht="12.75" customHeight="1">
      <c r="A1017" s="51"/>
      <c r="B1017" s="110"/>
      <c r="C1017" s="111"/>
      <c r="D1017" s="2324"/>
      <c r="E1017" s="2325"/>
      <c r="F1017" s="2325"/>
      <c r="G1017" s="2325"/>
      <c r="H1017" s="2325"/>
      <c r="I1017" s="2325"/>
      <c r="J1017" s="2325"/>
      <c r="K1017" s="2325"/>
      <c r="L1017" s="2325"/>
      <c r="M1017" s="2325"/>
      <c r="N1017" s="2325"/>
      <c r="O1017" s="2325"/>
      <c r="P1017" s="2325"/>
      <c r="Q1017" s="2325"/>
      <c r="R1017" s="2325"/>
      <c r="S1017" s="2325"/>
      <c r="T1017" s="2325"/>
      <c r="U1017" s="2325"/>
      <c r="V1017" s="2325"/>
      <c r="W1017" s="2325"/>
      <c r="X1017" s="2325"/>
      <c r="Y1017" s="2325"/>
      <c r="Z1017" s="2325"/>
      <c r="AA1017" s="2325"/>
      <c r="AB1017" s="2325"/>
      <c r="AC1017" s="2325"/>
      <c r="AD1017" s="2325"/>
      <c r="AE1017" s="2326"/>
      <c r="AF1017" s="110"/>
      <c r="AG1017" s="112"/>
      <c r="AH1017" s="112"/>
      <c r="AI1017" s="121"/>
      <c r="AJ1017" s="2333"/>
      <c r="AK1017" s="2334"/>
      <c r="AL1017" s="2334"/>
      <c r="AM1017" s="2334"/>
      <c r="AN1017" s="2334"/>
      <c r="AO1017" s="2334"/>
      <c r="AP1017" s="2334"/>
      <c r="AQ1017" s="2335"/>
      <c r="AR1017" s="961"/>
      <c r="AS1017" s="961"/>
      <c r="AT1017" s="961"/>
      <c r="AU1017" s="961"/>
      <c r="AV1017" s="961"/>
      <c r="AW1017" s="961"/>
      <c r="AX1017" s="961"/>
      <c r="AY1017" s="961"/>
      <c r="CR1017" s="25"/>
    </row>
    <row r="1018" spans="1:96" s="711" customFormat="1" ht="12.75" customHeight="1">
      <c r="A1018" s="51"/>
      <c r="B1018" s="110"/>
      <c r="C1018" s="111"/>
      <c r="D1018" s="2324"/>
      <c r="E1018" s="2325"/>
      <c r="F1018" s="2325"/>
      <c r="G1018" s="2325"/>
      <c r="H1018" s="2325"/>
      <c r="I1018" s="2325"/>
      <c r="J1018" s="2325"/>
      <c r="K1018" s="2325"/>
      <c r="L1018" s="2325"/>
      <c r="M1018" s="2325"/>
      <c r="N1018" s="2325"/>
      <c r="O1018" s="2325"/>
      <c r="P1018" s="2325"/>
      <c r="Q1018" s="2325"/>
      <c r="R1018" s="2325"/>
      <c r="S1018" s="2325"/>
      <c r="T1018" s="2325"/>
      <c r="U1018" s="2325"/>
      <c r="V1018" s="2325"/>
      <c r="W1018" s="2325"/>
      <c r="X1018" s="2325"/>
      <c r="Y1018" s="2325"/>
      <c r="Z1018" s="2325"/>
      <c r="AA1018" s="2325"/>
      <c r="AB1018" s="2325"/>
      <c r="AC1018" s="2325"/>
      <c r="AD1018" s="2325"/>
      <c r="AE1018" s="2326"/>
      <c r="AF1018" s="110"/>
      <c r="AG1018" s="112"/>
      <c r="AH1018" s="112"/>
      <c r="AI1018" s="121"/>
      <c r="AJ1018" s="2333"/>
      <c r="AK1018" s="2334"/>
      <c r="AL1018" s="2334"/>
      <c r="AM1018" s="2334"/>
      <c r="AN1018" s="2334"/>
      <c r="AO1018" s="2334"/>
      <c r="AP1018" s="2334"/>
      <c r="AQ1018" s="2335"/>
      <c r="AR1018" s="961"/>
      <c r="AS1018" s="961"/>
      <c r="AT1018" s="961"/>
      <c r="AU1018" s="961"/>
      <c r="AV1018" s="961"/>
      <c r="AW1018" s="961"/>
      <c r="AX1018" s="961"/>
      <c r="AY1018" s="961"/>
      <c r="CR1018" s="25"/>
    </row>
    <row r="1019" spans="1:96" s="711" customFormat="1" ht="12.75" customHeight="1">
      <c r="A1019" s="51"/>
      <c r="B1019" s="110"/>
      <c r="C1019" s="111"/>
      <c r="D1019" s="2327"/>
      <c r="E1019" s="2328"/>
      <c r="F1019" s="2328"/>
      <c r="G1019" s="2328"/>
      <c r="H1019" s="2328"/>
      <c r="I1019" s="2328"/>
      <c r="J1019" s="2328"/>
      <c r="K1019" s="2328"/>
      <c r="L1019" s="2328"/>
      <c r="M1019" s="2328"/>
      <c r="N1019" s="2328"/>
      <c r="O1019" s="2328"/>
      <c r="P1019" s="2328"/>
      <c r="Q1019" s="2328"/>
      <c r="R1019" s="2328"/>
      <c r="S1019" s="2328"/>
      <c r="T1019" s="2328"/>
      <c r="U1019" s="2328"/>
      <c r="V1019" s="2328"/>
      <c r="W1019" s="2328"/>
      <c r="X1019" s="2328"/>
      <c r="Y1019" s="2328"/>
      <c r="Z1019" s="2328"/>
      <c r="AA1019" s="2328"/>
      <c r="AB1019" s="2328"/>
      <c r="AC1019" s="2328"/>
      <c r="AD1019" s="2328"/>
      <c r="AE1019" s="2329"/>
      <c r="AF1019" s="110"/>
      <c r="AG1019" s="112"/>
      <c r="AH1019" s="112"/>
      <c r="AI1019" s="121"/>
      <c r="AJ1019" s="2333"/>
      <c r="AK1019" s="2334"/>
      <c r="AL1019" s="2334"/>
      <c r="AM1019" s="2334"/>
      <c r="AN1019" s="2334"/>
      <c r="AO1019" s="2334"/>
      <c r="AP1019" s="2334"/>
      <c r="AQ1019" s="2335"/>
      <c r="AR1019" s="961"/>
      <c r="AS1019" s="961"/>
      <c r="AT1019" s="961"/>
      <c r="AU1019" s="961"/>
      <c r="AV1019" s="961"/>
      <c r="AW1019" s="961"/>
      <c r="AX1019" s="961"/>
      <c r="AY1019" s="961"/>
      <c r="CR1019" s="25"/>
    </row>
    <row r="1020" spans="1:96" s="711" customFormat="1" ht="12.75" customHeight="1">
      <c r="A1020" s="51"/>
      <c r="B1020" s="117"/>
      <c r="C1020" s="198" t="s">
        <v>1084</v>
      </c>
      <c r="D1020" s="2293" t="s">
        <v>1481</v>
      </c>
      <c r="E1020" s="2294"/>
      <c r="F1020" s="2294"/>
      <c r="G1020" s="2294"/>
      <c r="H1020" s="2294"/>
      <c r="I1020" s="2294"/>
      <c r="J1020" s="2294"/>
      <c r="K1020" s="2294"/>
      <c r="L1020" s="2294"/>
      <c r="M1020" s="2294"/>
      <c r="N1020" s="2294"/>
      <c r="O1020" s="2294"/>
      <c r="P1020" s="2294"/>
      <c r="Q1020" s="2294"/>
      <c r="R1020" s="2294"/>
      <c r="S1020" s="2294"/>
      <c r="T1020" s="2294"/>
      <c r="U1020" s="2294"/>
      <c r="V1020" s="2294"/>
      <c r="W1020" s="2294"/>
      <c r="X1020" s="2294"/>
      <c r="Y1020" s="2294"/>
      <c r="Z1020" s="2294"/>
      <c r="AA1020" s="2294"/>
      <c r="AB1020" s="2294"/>
      <c r="AC1020" s="2294"/>
      <c r="AD1020" s="2294"/>
      <c r="AE1020" s="2295"/>
      <c r="AF1020" s="117"/>
      <c r="AG1020" s="2305" t="s">
        <v>694</v>
      </c>
      <c r="AH1020" s="2306"/>
      <c r="AI1020" s="125"/>
      <c r="AJ1020" s="2330">
        <f>ROUND(IF(AG1020="yes",(AJ975*0.1),0),0)</f>
        <v>0</v>
      </c>
      <c r="AK1020" s="2331"/>
      <c r="AL1020" s="2331"/>
      <c r="AM1020" s="2331"/>
      <c r="AN1020" s="2331"/>
      <c r="AO1020" s="2331"/>
      <c r="AP1020" s="2331"/>
      <c r="AQ1020" s="2332"/>
      <c r="AR1020" s="961"/>
      <c r="AS1020" s="961"/>
      <c r="AT1020" s="961"/>
      <c r="AU1020" s="961"/>
      <c r="AV1020" s="961"/>
      <c r="AW1020" s="961"/>
      <c r="AX1020" s="961"/>
      <c r="AY1020" s="961"/>
      <c r="CR1020" s="25"/>
    </row>
    <row r="1021" spans="1:96" ht="12.75" customHeight="1">
      <c r="A1021" s="51"/>
      <c r="B1021" s="110"/>
      <c r="C1021" s="111"/>
      <c r="D1021" s="2296" t="s">
        <v>2691</v>
      </c>
      <c r="E1021" s="2297"/>
      <c r="F1021" s="2297"/>
      <c r="G1021" s="2297"/>
      <c r="H1021" s="2297"/>
      <c r="I1021" s="2297"/>
      <c r="J1021" s="2297"/>
      <c r="K1021" s="2297"/>
      <c r="L1021" s="2297"/>
      <c r="M1021" s="2297"/>
      <c r="N1021" s="2297"/>
      <c r="O1021" s="2297"/>
      <c r="P1021" s="2297"/>
      <c r="Q1021" s="2297"/>
      <c r="R1021" s="2297"/>
      <c r="S1021" s="2297"/>
      <c r="T1021" s="2297"/>
      <c r="U1021" s="2297"/>
      <c r="V1021" s="2297"/>
      <c r="W1021" s="2297"/>
      <c r="X1021" s="2297"/>
      <c r="Y1021" s="2297"/>
      <c r="Z1021" s="2297"/>
      <c r="AA1021" s="2297"/>
      <c r="AB1021" s="2297"/>
      <c r="AC1021" s="2297"/>
      <c r="AD1021" s="2297"/>
      <c r="AE1021" s="2298"/>
      <c r="AF1021" s="110"/>
      <c r="AG1021" s="112"/>
      <c r="AH1021" s="112"/>
      <c r="AI1021" s="121"/>
      <c r="AJ1021" s="2333"/>
      <c r="AK1021" s="2334"/>
      <c r="AL1021" s="2334"/>
      <c r="AM1021" s="2334"/>
      <c r="AN1021" s="2334"/>
      <c r="AO1021" s="2334"/>
      <c r="AP1021" s="2334"/>
      <c r="AQ1021" s="2335"/>
      <c r="AR1021" s="961"/>
      <c r="AS1021" s="961"/>
      <c r="AT1021" s="961"/>
      <c r="AU1021" s="961"/>
      <c r="AV1021" s="961"/>
      <c r="AW1021" s="961"/>
      <c r="AX1021" s="961"/>
      <c r="AY1021" s="961"/>
    </row>
    <row r="1022" spans="1:96" ht="12.75" customHeight="1">
      <c r="A1022" s="51"/>
      <c r="B1022" s="110"/>
      <c r="C1022" s="111"/>
      <c r="D1022" s="2296"/>
      <c r="E1022" s="2297"/>
      <c r="F1022" s="2297"/>
      <c r="G1022" s="2297"/>
      <c r="H1022" s="2297"/>
      <c r="I1022" s="2297"/>
      <c r="J1022" s="2297"/>
      <c r="K1022" s="2297"/>
      <c r="L1022" s="2297"/>
      <c r="M1022" s="2297"/>
      <c r="N1022" s="2297"/>
      <c r="O1022" s="2297"/>
      <c r="P1022" s="2297"/>
      <c r="Q1022" s="2297"/>
      <c r="R1022" s="2297"/>
      <c r="S1022" s="2297"/>
      <c r="T1022" s="2297"/>
      <c r="U1022" s="2297"/>
      <c r="V1022" s="2297"/>
      <c r="W1022" s="2297"/>
      <c r="X1022" s="2297"/>
      <c r="Y1022" s="2297"/>
      <c r="Z1022" s="2297"/>
      <c r="AA1022" s="2297"/>
      <c r="AB1022" s="2297"/>
      <c r="AC1022" s="2297"/>
      <c r="AD1022" s="2297"/>
      <c r="AE1022" s="2298"/>
      <c r="AF1022" s="110"/>
      <c r="AG1022" s="112"/>
      <c r="AH1022" s="112"/>
      <c r="AI1022" s="121"/>
      <c r="AJ1022" s="2333"/>
      <c r="AK1022" s="2334"/>
      <c r="AL1022" s="2334"/>
      <c r="AM1022" s="2334"/>
      <c r="AN1022" s="2334"/>
      <c r="AO1022" s="2334"/>
      <c r="AP1022" s="2334"/>
      <c r="AQ1022" s="2335"/>
      <c r="AR1022" s="961"/>
      <c r="AS1022" s="961"/>
      <c r="AT1022" s="961"/>
      <c r="AU1022" s="961"/>
      <c r="AV1022" s="961"/>
      <c r="AW1022" s="961"/>
      <c r="AX1022" s="961"/>
      <c r="AY1022" s="961"/>
    </row>
    <row r="1023" spans="1:96" s="674" customFormat="1" ht="12.75" customHeight="1">
      <c r="A1023" s="51"/>
      <c r="B1023" s="110"/>
      <c r="C1023" s="111"/>
      <c r="D1023" s="2309"/>
      <c r="E1023" s="2310"/>
      <c r="F1023" s="2310"/>
      <c r="G1023" s="2310"/>
      <c r="H1023" s="2310"/>
      <c r="I1023" s="2310"/>
      <c r="J1023" s="2310"/>
      <c r="K1023" s="2310"/>
      <c r="L1023" s="2310"/>
      <c r="M1023" s="2310"/>
      <c r="N1023" s="2310"/>
      <c r="O1023" s="2310"/>
      <c r="P1023" s="2310"/>
      <c r="Q1023" s="2310"/>
      <c r="R1023" s="2310"/>
      <c r="S1023" s="2310"/>
      <c r="T1023" s="2310"/>
      <c r="U1023" s="2310"/>
      <c r="V1023" s="2310"/>
      <c r="W1023" s="2310"/>
      <c r="X1023" s="2310"/>
      <c r="Y1023" s="2310"/>
      <c r="Z1023" s="2310"/>
      <c r="AA1023" s="2310"/>
      <c r="AB1023" s="2310"/>
      <c r="AC1023" s="2310"/>
      <c r="AD1023" s="2310"/>
      <c r="AE1023" s="2311"/>
      <c r="AF1023" s="110"/>
      <c r="AG1023" s="112"/>
      <c r="AH1023" s="112"/>
      <c r="AI1023" s="121"/>
      <c r="AJ1023" s="2336"/>
      <c r="AK1023" s="2337"/>
      <c r="AL1023" s="2337"/>
      <c r="AM1023" s="2337"/>
      <c r="AN1023" s="2337"/>
      <c r="AO1023" s="2337"/>
      <c r="AP1023" s="2337"/>
      <c r="AQ1023" s="2338"/>
      <c r="AR1023" s="961"/>
      <c r="AS1023" s="961"/>
      <c r="AT1023" s="961"/>
      <c r="AU1023" s="961"/>
      <c r="AV1023" s="961"/>
      <c r="AW1023" s="961"/>
      <c r="AX1023" s="961"/>
      <c r="AY1023" s="961"/>
      <c r="CR1023" s="25"/>
    </row>
    <row r="1024" spans="1:96" ht="12.75" customHeight="1">
      <c r="A1024" s="51"/>
      <c r="B1024" s="117"/>
      <c r="C1024" s="198" t="s">
        <v>1992</v>
      </c>
      <c r="D1024" s="2342" t="s">
        <v>2178</v>
      </c>
      <c r="E1024" s="2343"/>
      <c r="F1024" s="2343"/>
      <c r="G1024" s="2343"/>
      <c r="H1024" s="2343"/>
      <c r="I1024" s="2343"/>
      <c r="J1024" s="2343"/>
      <c r="K1024" s="2343"/>
      <c r="L1024" s="2343"/>
      <c r="M1024" s="2343"/>
      <c r="N1024" s="2343"/>
      <c r="O1024" s="2343"/>
      <c r="P1024" s="2343"/>
      <c r="Q1024" s="2343"/>
      <c r="R1024" s="2343"/>
      <c r="S1024" s="2343"/>
      <c r="T1024" s="2343"/>
      <c r="U1024" s="2343"/>
      <c r="V1024" s="2343"/>
      <c r="W1024" s="2343"/>
      <c r="X1024" s="2343"/>
      <c r="Y1024" s="2343"/>
      <c r="Z1024" s="2343"/>
      <c r="AA1024" s="2343"/>
      <c r="AB1024" s="2343"/>
      <c r="AC1024" s="2343"/>
      <c r="AD1024" s="2343"/>
      <c r="AE1024" s="2344"/>
      <c r="AF1024" s="117"/>
      <c r="AG1024" s="2303" t="str">
        <f>IF(X1027&gt;0,"Yes","No")</f>
        <v>Yes</v>
      </c>
      <c r="AH1024" s="2304"/>
      <c r="AI1024" s="125"/>
      <c r="AJ1024" s="2312">
        <f>IF((X1027=0),0,BA989*AJ975)</f>
        <v>13881336</v>
      </c>
      <c r="AK1024" s="2313"/>
      <c r="AL1024" s="2313"/>
      <c r="AM1024" s="2313"/>
      <c r="AN1024" s="2313"/>
      <c r="AO1024" s="2313"/>
      <c r="AP1024" s="2313"/>
      <c r="AQ1024" s="2314"/>
      <c r="AR1024" s="961"/>
      <c r="AS1024" s="961"/>
      <c r="AT1024" s="961"/>
      <c r="AU1024" s="961"/>
      <c r="AV1024" s="961"/>
      <c r="AW1024" s="961"/>
      <c r="AX1024" s="961"/>
      <c r="AY1024" s="961"/>
    </row>
    <row r="1025" spans="1:96" ht="12.75" customHeight="1">
      <c r="A1025" s="51"/>
      <c r="B1025" s="110"/>
      <c r="C1025" s="694"/>
      <c r="D1025" s="2296" t="s">
        <v>1483</v>
      </c>
      <c r="E1025" s="2297"/>
      <c r="F1025" s="2297"/>
      <c r="G1025" s="2297"/>
      <c r="H1025" s="2297"/>
      <c r="I1025" s="2297"/>
      <c r="J1025" s="2297"/>
      <c r="K1025" s="2297"/>
      <c r="L1025" s="2297"/>
      <c r="M1025" s="2297"/>
      <c r="N1025" s="2297"/>
      <c r="O1025" s="2297"/>
      <c r="P1025" s="2297"/>
      <c r="Q1025" s="2297"/>
      <c r="R1025" s="2297"/>
      <c r="S1025" s="2297"/>
      <c r="T1025" s="2297"/>
      <c r="U1025" s="2297"/>
      <c r="V1025" s="2297"/>
      <c r="W1025" s="2297"/>
      <c r="X1025" s="2297"/>
      <c r="Y1025" s="2297"/>
      <c r="Z1025" s="2297"/>
      <c r="AA1025" s="2297"/>
      <c r="AB1025" s="2297"/>
      <c r="AC1025" s="2297"/>
      <c r="AD1025" s="2297"/>
      <c r="AE1025" s="2298"/>
      <c r="AF1025" s="110"/>
      <c r="AG1025" s="695"/>
      <c r="AH1025" s="695"/>
      <c r="AI1025" s="121"/>
      <c r="AJ1025" s="2315"/>
      <c r="AK1025" s="2316"/>
      <c r="AL1025" s="2316"/>
      <c r="AM1025" s="2316"/>
      <c r="AN1025" s="2316"/>
      <c r="AO1025" s="2316"/>
      <c r="AP1025" s="2316"/>
      <c r="AQ1025" s="2317"/>
      <c r="AR1025" s="961"/>
      <c r="AS1025" s="961"/>
      <c r="AT1025" s="961"/>
      <c r="AU1025" s="961"/>
      <c r="AV1025" s="961"/>
      <c r="AW1025" s="961"/>
      <c r="AX1025" s="961"/>
      <c r="AY1025" s="961"/>
    </row>
    <row r="1026" spans="1:96" ht="12.75" customHeight="1">
      <c r="A1026" s="51"/>
      <c r="B1026" s="110"/>
      <c r="C1026" s="694"/>
      <c r="D1026" s="2296"/>
      <c r="E1026" s="2297"/>
      <c r="F1026" s="2297"/>
      <c r="G1026" s="2297"/>
      <c r="H1026" s="2297"/>
      <c r="I1026" s="2297"/>
      <c r="J1026" s="2297"/>
      <c r="K1026" s="2297"/>
      <c r="L1026" s="2297"/>
      <c r="M1026" s="2297"/>
      <c r="N1026" s="2297"/>
      <c r="O1026" s="2297"/>
      <c r="P1026" s="2297"/>
      <c r="Q1026" s="2297"/>
      <c r="R1026" s="2297"/>
      <c r="S1026" s="2297"/>
      <c r="T1026" s="2297"/>
      <c r="U1026" s="2297"/>
      <c r="V1026" s="2297"/>
      <c r="W1026" s="2297"/>
      <c r="X1026" s="2297"/>
      <c r="Y1026" s="2297"/>
      <c r="Z1026" s="2297"/>
      <c r="AA1026" s="2297"/>
      <c r="AB1026" s="2297"/>
      <c r="AC1026" s="2297"/>
      <c r="AD1026" s="2297"/>
      <c r="AE1026" s="2298"/>
      <c r="AF1026" s="110"/>
      <c r="AG1026" s="695"/>
      <c r="AH1026" s="695"/>
      <c r="AI1026" s="121"/>
      <c r="AJ1026" s="2315"/>
      <c r="AK1026" s="2316"/>
      <c r="AL1026" s="2316"/>
      <c r="AM1026" s="2316"/>
      <c r="AN1026" s="2316"/>
      <c r="AO1026" s="2316"/>
      <c r="AP1026" s="2316"/>
      <c r="AQ1026" s="2317"/>
      <c r="AR1026" s="961"/>
      <c r="AS1026" s="961"/>
      <c r="AT1026" s="961"/>
      <c r="AU1026" s="961"/>
      <c r="AV1026" s="961"/>
      <c r="AW1026" s="961"/>
      <c r="AX1026" s="961"/>
      <c r="AY1026" s="961"/>
    </row>
    <row r="1027" spans="1:96" s="711" customFormat="1" ht="12.75" customHeight="1">
      <c r="A1027" s="51"/>
      <c r="B1027" s="115"/>
      <c r="C1027" s="116"/>
      <c r="D1027" s="199" t="s">
        <v>1028</v>
      </c>
      <c r="E1027" s="200"/>
      <c r="F1027" s="200"/>
      <c r="G1027" s="200"/>
      <c r="H1027" s="200"/>
      <c r="I1027" s="2301">
        <f>BA987</f>
        <v>110</v>
      </c>
      <c r="J1027" s="2302"/>
      <c r="K1027" s="11"/>
      <c r="L1027" s="200"/>
      <c r="M1027" s="200"/>
      <c r="N1027" s="200"/>
      <c r="O1027" s="200"/>
      <c r="P1027" s="200"/>
      <c r="Q1027" s="200"/>
      <c r="R1027" s="200"/>
      <c r="S1027" s="200"/>
      <c r="T1027" s="200"/>
      <c r="U1027" s="200"/>
      <c r="V1027" s="201" t="s">
        <v>1029</v>
      </c>
      <c r="W1027" s="80"/>
      <c r="X1027" s="2299">
        <f>BG635</f>
        <v>24</v>
      </c>
      <c r="Y1027" s="2300"/>
      <c r="Z1027" s="80"/>
      <c r="AA1027" s="80"/>
      <c r="AB1027" s="80"/>
      <c r="AC1027" s="80"/>
      <c r="AD1027" s="80"/>
      <c r="AE1027" s="81"/>
      <c r="AF1027" s="987"/>
      <c r="AG1027" s="988"/>
      <c r="AH1027" s="988"/>
      <c r="AI1027" s="989"/>
      <c r="AJ1027" s="2318"/>
      <c r="AK1027" s="2319"/>
      <c r="AL1027" s="2319"/>
      <c r="AM1027" s="2319"/>
      <c r="AN1027" s="2319"/>
      <c r="AO1027" s="2319"/>
      <c r="AP1027" s="2319"/>
      <c r="AQ1027" s="2320"/>
      <c r="AR1027" s="961"/>
      <c r="AS1027" s="961"/>
      <c r="AT1027" s="961"/>
      <c r="AU1027" s="961"/>
      <c r="AV1027" s="961"/>
      <c r="AW1027" s="961"/>
      <c r="AX1027" s="961"/>
      <c r="AY1027" s="961"/>
      <c r="CR1027" s="25"/>
    </row>
    <row r="1028" spans="1:96" ht="12.75" customHeight="1">
      <c r="A1028" s="51"/>
      <c r="B1028" s="117"/>
      <c r="C1028" s="198" t="s">
        <v>1993</v>
      </c>
      <c r="D1028" s="2293" t="s">
        <v>2179</v>
      </c>
      <c r="E1028" s="2294"/>
      <c r="F1028" s="2294"/>
      <c r="G1028" s="2294"/>
      <c r="H1028" s="2294"/>
      <c r="I1028" s="2294"/>
      <c r="J1028" s="2294"/>
      <c r="K1028" s="2294"/>
      <c r="L1028" s="2294"/>
      <c r="M1028" s="2294"/>
      <c r="N1028" s="2294"/>
      <c r="O1028" s="2294"/>
      <c r="P1028" s="2294"/>
      <c r="Q1028" s="2294"/>
      <c r="R1028" s="2294"/>
      <c r="S1028" s="2294"/>
      <c r="T1028" s="2294"/>
      <c r="U1028" s="2294"/>
      <c r="V1028" s="2294"/>
      <c r="W1028" s="2294"/>
      <c r="X1028" s="2294"/>
      <c r="Y1028" s="2294"/>
      <c r="Z1028" s="2294"/>
      <c r="AA1028" s="2294"/>
      <c r="AB1028" s="2294"/>
      <c r="AC1028" s="2294"/>
      <c r="AD1028" s="2294"/>
      <c r="AE1028" s="2295"/>
      <c r="AF1028" s="110"/>
      <c r="AG1028" s="2303" t="str">
        <f>IF(X1031&gt;0,"Yes","No")</f>
        <v>Yes</v>
      </c>
      <c r="AH1028" s="2304"/>
      <c r="AI1028" s="121"/>
      <c r="AJ1028" s="2312">
        <f>IF((X1031=0),0,(2*BA990)*AJ975)</f>
        <v>35694864</v>
      </c>
      <c r="AK1028" s="2313"/>
      <c r="AL1028" s="2313"/>
      <c r="AM1028" s="2313"/>
      <c r="AN1028" s="2313"/>
      <c r="AO1028" s="2313"/>
      <c r="AP1028" s="2313"/>
      <c r="AQ1028" s="2314"/>
      <c r="AR1028" s="961"/>
      <c r="AS1028" s="961"/>
      <c r="AT1028" s="961"/>
      <c r="AU1028" s="961"/>
      <c r="AV1028" s="961"/>
      <c r="AW1028" s="961"/>
      <c r="AX1028" s="961"/>
      <c r="AY1028" s="961"/>
    </row>
    <row r="1029" spans="1:96" ht="12.75" customHeight="1">
      <c r="A1029" s="51"/>
      <c r="B1029" s="110"/>
      <c r="C1029" s="694"/>
      <c r="D1029" s="2296" t="s">
        <v>1482</v>
      </c>
      <c r="E1029" s="2297"/>
      <c r="F1029" s="2297"/>
      <c r="G1029" s="2297"/>
      <c r="H1029" s="2297"/>
      <c r="I1029" s="2297"/>
      <c r="J1029" s="2297"/>
      <c r="K1029" s="2297"/>
      <c r="L1029" s="2297"/>
      <c r="M1029" s="2297"/>
      <c r="N1029" s="2297"/>
      <c r="O1029" s="2297"/>
      <c r="P1029" s="2297"/>
      <c r="Q1029" s="2297"/>
      <c r="R1029" s="2297"/>
      <c r="S1029" s="2297"/>
      <c r="T1029" s="2297"/>
      <c r="U1029" s="2297"/>
      <c r="V1029" s="2297"/>
      <c r="W1029" s="2297"/>
      <c r="X1029" s="2297"/>
      <c r="Y1029" s="2297"/>
      <c r="Z1029" s="2297"/>
      <c r="AA1029" s="2297"/>
      <c r="AB1029" s="2297"/>
      <c r="AC1029" s="2297"/>
      <c r="AD1029" s="2297"/>
      <c r="AE1029" s="2298"/>
      <c r="AF1029" s="110"/>
      <c r="AG1029" s="695"/>
      <c r="AH1029" s="695"/>
      <c r="AI1029" s="121"/>
      <c r="AJ1029" s="2315"/>
      <c r="AK1029" s="2316"/>
      <c r="AL1029" s="2316"/>
      <c r="AM1029" s="2316"/>
      <c r="AN1029" s="2316"/>
      <c r="AO1029" s="2316"/>
      <c r="AP1029" s="2316"/>
      <c r="AQ1029" s="2317"/>
      <c r="AR1029" s="961"/>
      <c r="AS1029" s="961"/>
      <c r="AT1029" s="961"/>
      <c r="AU1029" s="961"/>
      <c r="AV1029" s="961"/>
      <c r="AW1029" s="961"/>
      <c r="AX1029" s="961"/>
      <c r="AY1029" s="961"/>
    </row>
    <row r="1030" spans="1:96" ht="12.75" customHeight="1">
      <c r="A1030" s="51"/>
      <c r="B1030" s="110"/>
      <c r="C1030" s="121"/>
      <c r="D1030" s="2296"/>
      <c r="E1030" s="2297"/>
      <c r="F1030" s="2297"/>
      <c r="G1030" s="2297"/>
      <c r="H1030" s="2297"/>
      <c r="I1030" s="2297"/>
      <c r="J1030" s="2297"/>
      <c r="K1030" s="2297"/>
      <c r="L1030" s="2297"/>
      <c r="M1030" s="2297"/>
      <c r="N1030" s="2297"/>
      <c r="O1030" s="2297"/>
      <c r="P1030" s="2297"/>
      <c r="Q1030" s="2297"/>
      <c r="R1030" s="2297"/>
      <c r="S1030" s="2297"/>
      <c r="T1030" s="2297"/>
      <c r="U1030" s="2297"/>
      <c r="V1030" s="2297"/>
      <c r="W1030" s="2297"/>
      <c r="X1030" s="2297"/>
      <c r="Y1030" s="2297"/>
      <c r="Z1030" s="2297"/>
      <c r="AA1030" s="2297"/>
      <c r="AB1030" s="2297"/>
      <c r="AC1030" s="2297"/>
      <c r="AD1030" s="2297"/>
      <c r="AE1030" s="2298"/>
      <c r="AF1030" s="984"/>
      <c r="AG1030" s="985"/>
      <c r="AH1030" s="985"/>
      <c r="AI1030" s="986"/>
      <c r="AJ1030" s="2315"/>
      <c r="AK1030" s="2316"/>
      <c r="AL1030" s="2316"/>
      <c r="AM1030" s="2316"/>
      <c r="AN1030" s="2316"/>
      <c r="AO1030" s="2316"/>
      <c r="AP1030" s="2316"/>
      <c r="AQ1030" s="2317"/>
      <c r="AR1030" s="961"/>
      <c r="AS1030" s="961"/>
      <c r="AT1030" s="961"/>
      <c r="AU1030" s="961"/>
      <c r="AV1030" s="961"/>
      <c r="AW1030" s="961"/>
      <c r="AX1030" s="961"/>
      <c r="AY1030" s="961"/>
    </row>
    <row r="1031" spans="1:96" s="711" customFormat="1" ht="12.75" customHeight="1">
      <c r="A1031" s="51"/>
      <c r="B1031" s="115"/>
      <c r="C1031" s="116"/>
      <c r="D1031" s="199" t="s">
        <v>1028</v>
      </c>
      <c r="E1031" s="200"/>
      <c r="F1031" s="200"/>
      <c r="G1031" s="200"/>
      <c r="H1031" s="200"/>
      <c r="I1031" s="2301">
        <f>BA987</f>
        <v>110</v>
      </c>
      <c r="J1031" s="2302"/>
      <c r="K1031" s="51"/>
      <c r="L1031" s="200"/>
      <c r="M1031" s="200"/>
      <c r="N1031" s="200"/>
      <c r="O1031" s="200"/>
      <c r="P1031" s="200"/>
      <c r="Q1031" s="200"/>
      <c r="R1031" s="200"/>
      <c r="S1031" s="200"/>
      <c r="T1031" s="200"/>
      <c r="U1031" s="200"/>
      <c r="V1031" s="201" t="s">
        <v>1030</v>
      </c>
      <c r="X1031" s="2299">
        <f>BK635</f>
        <v>30</v>
      </c>
      <c r="Y1031" s="2300"/>
      <c r="AF1031" s="987"/>
      <c r="AG1031" s="988"/>
      <c r="AH1031" s="988"/>
      <c r="AI1031" s="989"/>
      <c r="AJ1031" s="2318"/>
      <c r="AK1031" s="2319"/>
      <c r="AL1031" s="2319"/>
      <c r="AM1031" s="2319"/>
      <c r="AN1031" s="2319"/>
      <c r="AO1031" s="2319"/>
      <c r="AP1031" s="2319"/>
      <c r="AQ1031" s="2320"/>
      <c r="AR1031" s="961"/>
      <c r="AS1031" s="961"/>
      <c r="AT1031" s="961"/>
      <c r="AU1031" s="961"/>
      <c r="AV1031" s="961"/>
      <c r="AW1031" s="961"/>
      <c r="AX1031" s="961"/>
      <c r="AY1031" s="961"/>
      <c r="CR1031" s="25"/>
    </row>
    <row r="1032" spans="1:96" ht="12.75" customHeight="1">
      <c r="A1032" s="51"/>
      <c r="B1032" s="158"/>
      <c r="C1032" s="159"/>
      <c r="D1032" s="2291" t="s">
        <v>537</v>
      </c>
      <c r="E1032" s="2291"/>
      <c r="F1032" s="2291"/>
      <c r="G1032" s="2291"/>
      <c r="H1032" s="2291"/>
      <c r="I1032" s="2291"/>
      <c r="J1032" s="2291"/>
      <c r="K1032" s="2291"/>
      <c r="L1032" s="2291"/>
      <c r="M1032" s="2291"/>
      <c r="N1032" s="2291"/>
      <c r="O1032" s="2291"/>
      <c r="P1032" s="2291"/>
      <c r="Q1032" s="2291"/>
      <c r="R1032" s="2291"/>
      <c r="S1032" s="2291"/>
      <c r="T1032" s="2291"/>
      <c r="U1032" s="2291"/>
      <c r="V1032" s="2291"/>
      <c r="W1032" s="2291"/>
      <c r="X1032" s="2291"/>
      <c r="Y1032" s="2291"/>
      <c r="Z1032" s="2291"/>
      <c r="AA1032" s="2291"/>
      <c r="AB1032" s="2291"/>
      <c r="AC1032" s="2291"/>
      <c r="AD1032" s="2291"/>
      <c r="AE1032" s="2291"/>
      <c r="AF1032" s="2291"/>
      <c r="AG1032" s="2291"/>
      <c r="AH1032" s="2291"/>
      <c r="AI1032" s="2292"/>
      <c r="AJ1032" s="2321">
        <f>SUM(AJ975:AQ1031)</f>
        <v>145423520</v>
      </c>
      <c r="AK1032" s="2322"/>
      <c r="AL1032" s="2322"/>
      <c r="AM1032" s="2322"/>
      <c r="AN1032" s="2322"/>
      <c r="AO1032" s="2322"/>
      <c r="AP1032" s="2322"/>
      <c r="AQ1032" s="2323"/>
      <c r="AR1032" s="961"/>
      <c r="AS1032" s="961"/>
      <c r="AT1032" s="961"/>
      <c r="AU1032" s="961"/>
      <c r="AV1032" s="961"/>
      <c r="AW1032" s="961"/>
      <c r="AX1032" s="961"/>
      <c r="AY1032" s="96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961"/>
      <c r="AN1033" s="961"/>
      <c r="AO1033" s="961"/>
      <c r="AP1033" s="961"/>
      <c r="AQ1033" s="961"/>
      <c r="AR1033" s="961"/>
      <c r="AS1033" s="961"/>
      <c r="AT1033" s="961"/>
      <c r="AU1033" s="961"/>
      <c r="AV1033" s="961"/>
      <c r="AW1033" s="961"/>
      <c r="AX1033" s="961"/>
      <c r="AY1033" s="961"/>
    </row>
    <row r="1034" spans="1:96" ht="12.75" customHeight="1">
      <c r="A1034" s="51"/>
      <c r="B1034" s="961"/>
      <c r="C1034" s="961"/>
      <c r="D1034" s="961"/>
      <c r="E1034" s="961"/>
      <c r="F1034" s="961"/>
      <c r="G1034" s="961"/>
      <c r="H1034" s="961"/>
      <c r="I1034" s="961"/>
      <c r="J1034" s="961"/>
      <c r="K1034" s="961"/>
      <c r="L1034" s="961"/>
      <c r="M1034" s="961"/>
      <c r="N1034" s="961"/>
      <c r="O1034" s="961"/>
      <c r="P1034" s="961"/>
      <c r="Q1034" s="961"/>
      <c r="R1034" s="961"/>
      <c r="S1034" s="961"/>
      <c r="T1034" s="961"/>
      <c r="U1034" s="961"/>
      <c r="V1034" s="961"/>
      <c r="W1034" s="961"/>
      <c r="X1034" s="961"/>
      <c r="Y1034" s="961"/>
      <c r="Z1034" s="961"/>
      <c r="AA1034" s="961"/>
      <c r="AB1034" s="961"/>
      <c r="AC1034" s="961"/>
      <c r="AD1034" s="961"/>
      <c r="AE1034" s="961"/>
      <c r="AF1034" s="961"/>
      <c r="AG1034" s="961"/>
      <c r="AH1034" s="961"/>
      <c r="AI1034" s="961"/>
      <c r="AJ1034" s="961"/>
      <c r="AK1034" s="961"/>
      <c r="AL1034" s="961"/>
      <c r="AM1034" s="961"/>
      <c r="AN1034" s="961"/>
      <c r="AO1034" s="961"/>
      <c r="AP1034" s="961"/>
      <c r="AQ1034" s="961"/>
      <c r="AR1034" s="961"/>
      <c r="AS1034" s="961"/>
      <c r="AT1034" s="961"/>
      <c r="AU1034" s="961"/>
      <c r="AV1034" s="961"/>
      <c r="AW1034" s="961"/>
      <c r="AX1034" s="961"/>
      <c r="AY1034" s="961"/>
    </row>
    <row r="1035" spans="1:96" ht="12.75" customHeight="1">
      <c r="A1035" s="51"/>
      <c r="B1035" s="961"/>
      <c r="C1035" s="961"/>
      <c r="D1035" s="961"/>
      <c r="E1035" s="961"/>
      <c r="F1035" s="961"/>
      <c r="G1035" s="961"/>
      <c r="H1035" s="961"/>
      <c r="I1035" s="961"/>
      <c r="J1035" s="961"/>
      <c r="K1035" s="961"/>
      <c r="L1035" s="961"/>
      <c r="M1035" s="961"/>
      <c r="N1035" s="961"/>
      <c r="O1035" s="961"/>
      <c r="P1035" s="961"/>
      <c r="Q1035" s="961"/>
      <c r="R1035" s="961"/>
      <c r="S1035" s="961"/>
      <c r="T1035" s="961"/>
      <c r="U1035" s="961"/>
      <c r="V1035" s="961"/>
      <c r="W1035" s="961"/>
      <c r="X1035" s="961"/>
      <c r="Y1035" s="961"/>
      <c r="Z1035" s="961"/>
      <c r="AA1035" s="961"/>
      <c r="AB1035" s="961"/>
      <c r="AC1035" s="961"/>
      <c r="AD1035" s="961"/>
      <c r="AE1035" s="961"/>
      <c r="AF1035" s="961"/>
      <c r="AG1035" s="961"/>
      <c r="AH1035" s="961"/>
      <c r="AI1035" s="961"/>
      <c r="AJ1035" s="961"/>
      <c r="AK1035" s="961"/>
      <c r="AL1035" s="961"/>
      <c r="AM1035" s="961"/>
      <c r="AN1035" s="961"/>
      <c r="AO1035" s="961"/>
      <c r="AP1035" s="961"/>
      <c r="AQ1035" s="961"/>
      <c r="AR1035" s="961"/>
      <c r="AS1035" s="961"/>
      <c r="AT1035" s="961"/>
      <c r="AU1035" s="961"/>
      <c r="AV1035" s="961"/>
      <c r="AW1035" s="961"/>
      <c r="AX1035" s="961"/>
      <c r="AY1035" s="961"/>
    </row>
    <row r="1036" spans="1:96" ht="12.75" customHeight="1">
      <c r="A1036" s="51"/>
      <c r="B1036" s="961"/>
      <c r="C1036" s="961"/>
      <c r="D1036" s="961"/>
      <c r="E1036" s="961"/>
      <c r="F1036" s="961"/>
      <c r="G1036" s="961"/>
      <c r="H1036" s="961"/>
      <c r="I1036" s="961"/>
      <c r="J1036" s="961"/>
      <c r="K1036" s="961"/>
      <c r="L1036" s="961"/>
      <c r="M1036" s="961"/>
      <c r="N1036" s="961"/>
      <c r="O1036" s="961"/>
      <c r="P1036" s="961"/>
      <c r="Q1036" s="961"/>
      <c r="R1036" s="961"/>
      <c r="S1036" s="961"/>
      <c r="T1036" s="961"/>
      <c r="U1036" s="961"/>
      <c r="V1036" s="961"/>
      <c r="W1036" s="961"/>
      <c r="X1036" s="961"/>
      <c r="Y1036" s="961"/>
      <c r="Z1036" s="961"/>
      <c r="AA1036" s="961"/>
      <c r="AB1036" s="961"/>
      <c r="AC1036" s="961"/>
      <c r="AD1036" s="961"/>
      <c r="AE1036" s="961"/>
      <c r="AF1036" s="961"/>
      <c r="AG1036" s="961"/>
      <c r="AH1036" s="961"/>
      <c r="AI1036" s="961"/>
      <c r="AJ1036" s="961"/>
      <c r="AK1036" s="961"/>
      <c r="AL1036" s="961"/>
      <c r="AM1036" s="961"/>
      <c r="AN1036" s="961"/>
      <c r="AO1036" s="961"/>
      <c r="AP1036" s="961"/>
      <c r="AQ1036" s="961"/>
      <c r="AR1036" s="961"/>
      <c r="AS1036" s="961"/>
      <c r="AT1036" s="961"/>
      <c r="AU1036" s="961"/>
      <c r="AV1036" s="961"/>
      <c r="AW1036" s="961"/>
      <c r="AX1036" s="961"/>
      <c r="AY1036" s="961"/>
    </row>
    <row r="1037" spans="1:96" ht="12.75" customHeight="1">
      <c r="A1037" s="51"/>
      <c r="B1037" s="961"/>
      <c r="C1037" s="961"/>
      <c r="D1037" s="961"/>
      <c r="E1037" s="961"/>
      <c r="F1037" s="961"/>
      <c r="G1037" s="961"/>
      <c r="H1037" s="961"/>
      <c r="I1037" s="961"/>
      <c r="J1037" s="961"/>
      <c r="K1037" s="961"/>
      <c r="L1037" s="961"/>
      <c r="M1037" s="961"/>
      <c r="N1037" s="961"/>
      <c r="O1037" s="961"/>
      <c r="P1037" s="961"/>
      <c r="Q1037" s="961"/>
      <c r="R1037" s="961"/>
      <c r="S1037" s="961"/>
      <c r="T1037" s="961"/>
      <c r="U1037" s="961"/>
      <c r="V1037" s="961"/>
      <c r="W1037" s="961"/>
      <c r="X1037" s="961"/>
      <c r="Y1037" s="961"/>
      <c r="Z1037" s="961"/>
      <c r="AA1037" s="961"/>
      <c r="AB1037" s="961"/>
      <c r="AC1037" s="961"/>
      <c r="AD1037" s="961"/>
      <c r="AE1037" s="961"/>
      <c r="AF1037" s="961"/>
      <c r="AG1037" s="961"/>
      <c r="AH1037" s="961"/>
      <c r="AI1037" s="961"/>
      <c r="AJ1037" s="961"/>
      <c r="AK1037" s="961"/>
      <c r="AL1037" s="961"/>
      <c r="AM1037" s="961"/>
      <c r="AN1037" s="961"/>
      <c r="AO1037" s="961"/>
      <c r="AP1037" s="961"/>
      <c r="AQ1037" s="961"/>
      <c r="AR1037" s="961"/>
      <c r="AS1037" s="961"/>
      <c r="AT1037" s="961"/>
      <c r="AU1037" s="961"/>
      <c r="AV1037" s="961"/>
      <c r="AW1037" s="961"/>
      <c r="AX1037" s="961"/>
      <c r="AY1037" s="961"/>
    </row>
    <row r="1038" spans="1:96" ht="12.75" customHeight="1">
      <c r="A1038" s="51"/>
      <c r="B1038" s="112"/>
      <c r="C1038" s="337"/>
      <c r="D1038" s="917"/>
      <c r="E1038" s="917"/>
      <c r="F1038" s="917"/>
      <c r="G1038" s="917"/>
      <c r="H1038" s="917"/>
      <c r="I1038" s="917"/>
      <c r="J1038" s="917"/>
      <c r="K1038" s="917"/>
      <c r="L1038" s="917"/>
      <c r="M1038" s="917"/>
      <c r="N1038" s="917"/>
      <c r="O1038" s="917"/>
      <c r="P1038" s="917"/>
      <c r="Q1038" s="917"/>
      <c r="R1038" s="917"/>
      <c r="S1038" s="917"/>
      <c r="T1038" s="917"/>
      <c r="U1038" s="917"/>
      <c r="V1038" s="917"/>
      <c r="W1038" s="917"/>
      <c r="X1038" s="917"/>
      <c r="Y1038" s="917"/>
      <c r="Z1038" s="917"/>
      <c r="AA1038" s="917"/>
      <c r="AB1038" s="917"/>
      <c r="AC1038" s="917"/>
      <c r="AD1038" s="917"/>
      <c r="AE1038" s="917"/>
      <c r="AF1038" s="917"/>
      <c r="AG1038" s="917"/>
      <c r="AH1038" s="917"/>
      <c r="AI1038" s="917"/>
      <c r="AJ1038" s="917"/>
      <c r="AK1038" s="917"/>
      <c r="AL1038" s="105"/>
      <c r="AM1038" s="961"/>
      <c r="AN1038" s="961"/>
      <c r="AO1038" s="961"/>
      <c r="AP1038" s="961"/>
      <c r="AQ1038" s="961"/>
      <c r="AR1038" s="961"/>
      <c r="AS1038" s="961"/>
      <c r="AT1038" s="961"/>
      <c r="AU1038" s="961"/>
      <c r="AV1038" s="961"/>
      <c r="AW1038" s="961"/>
      <c r="AX1038" s="961"/>
      <c r="AY1038" s="961"/>
    </row>
    <row r="1039" spans="1:96" ht="12.6" customHeight="1">
      <c r="A1039" s="128"/>
      <c r="B1039" s="2248" t="str">
        <f>IF(ISNA(IF((AJ999&gt;(AJ975*0.15)),"(f) cannot be greater than 15% of unadjusted eligible basis.",0)),"",(IF((AJ999&gt;(AJ975*0.15)),"(f) cannot be greater than 15% of unadjusted eligible basis.",0)))</f>
        <v>(f) cannot be greater than 15% of unadjusted eligible basis.</v>
      </c>
      <c r="C1039" s="2248"/>
      <c r="D1039" s="2248"/>
      <c r="E1039" s="2248"/>
      <c r="F1039" s="2248"/>
      <c r="G1039" s="2248"/>
      <c r="H1039" s="2248"/>
      <c r="I1039" s="2248"/>
      <c r="J1039" s="2248"/>
      <c r="K1039" s="2248"/>
      <c r="L1039" s="2248"/>
      <c r="M1039" s="2248"/>
      <c r="N1039" s="2248"/>
      <c r="O1039" s="2248"/>
      <c r="P1039" s="2248"/>
      <c r="Q1039" s="2248"/>
      <c r="R1039" s="2248"/>
      <c r="S1039" s="2248"/>
      <c r="T1039" s="2248"/>
      <c r="U1039" s="2248"/>
      <c r="V1039" s="2248"/>
      <c r="W1039" s="2248"/>
      <c r="X1039" s="2248"/>
      <c r="Y1039" s="2248"/>
      <c r="Z1039" s="2248"/>
      <c r="AA1039" s="2248"/>
      <c r="AB1039" s="2248"/>
      <c r="AC1039" s="2248"/>
      <c r="AD1039" s="2248"/>
      <c r="AE1039" s="2248"/>
      <c r="AF1039" s="2248"/>
      <c r="AG1039" s="2248"/>
      <c r="AH1039" s="2248"/>
      <c r="AI1039" s="2248"/>
      <c r="AJ1039" s="2248"/>
      <c r="AK1039" s="2248"/>
      <c r="AL1039" s="105"/>
      <c r="AM1039" s="961"/>
      <c r="AN1039" s="961"/>
      <c r="AO1039" s="961"/>
      <c r="AP1039" s="961"/>
      <c r="AQ1039" s="961"/>
      <c r="AR1039" s="961"/>
      <c r="AS1039" s="961"/>
      <c r="AT1039" s="961"/>
      <c r="AU1039" s="961"/>
      <c r="AV1039" s="961"/>
      <c r="AW1039" s="961"/>
      <c r="AX1039" s="961"/>
      <c r="AY1039" s="961"/>
    </row>
    <row r="1040" spans="1:96" ht="12.6" customHeight="1" thickBot="1">
      <c r="A1040" s="2201" t="s">
        <v>834</v>
      </c>
      <c r="B1040" s="2201"/>
      <c r="C1040" s="2201"/>
      <c r="D1040" s="2201"/>
      <c r="E1040" s="2201"/>
      <c r="F1040" s="2201"/>
      <c r="G1040" s="2201"/>
      <c r="H1040" s="2201"/>
      <c r="I1040" s="2201"/>
      <c r="J1040" s="2201"/>
      <c r="K1040" s="2201"/>
      <c r="L1040" s="2201"/>
      <c r="M1040" s="2201"/>
      <c r="N1040" s="2201"/>
      <c r="O1040" s="2201"/>
      <c r="P1040" s="2201"/>
      <c r="Q1040" s="2201"/>
      <c r="R1040" s="2201"/>
      <c r="S1040" s="2201"/>
      <c r="T1040" s="2201"/>
      <c r="U1040" s="2201"/>
      <c r="V1040" s="2201"/>
      <c r="W1040" s="2201"/>
      <c r="X1040" s="2201"/>
      <c r="Y1040" s="2201"/>
      <c r="Z1040" s="2201"/>
      <c r="AA1040" s="2201"/>
      <c r="AB1040" s="2201"/>
      <c r="AC1040" s="2201"/>
      <c r="AD1040" s="2201"/>
      <c r="AE1040" s="2201"/>
      <c r="AF1040" s="2201"/>
      <c r="AG1040" s="2201"/>
      <c r="AH1040" s="2201"/>
      <c r="AI1040" s="2201"/>
      <c r="AJ1040" s="2201"/>
      <c r="AK1040" s="2201"/>
      <c r="AL1040" s="220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886" t="s">
        <v>616</v>
      </c>
      <c r="B1044" s="1886"/>
      <c r="C1044" s="13">
        <v>1</v>
      </c>
      <c r="D1044" s="1728" t="s">
        <v>1188</v>
      </c>
      <c r="E1044" s="1728"/>
      <c r="F1044" s="1728"/>
      <c r="G1044" s="1728"/>
      <c r="H1044" s="1728"/>
      <c r="I1044" s="1728"/>
      <c r="J1044" s="1728"/>
      <c r="K1044" s="1728"/>
      <c r="L1044" s="1728"/>
      <c r="M1044" s="1728"/>
      <c r="N1044" s="1728"/>
      <c r="O1044" s="1728"/>
      <c r="P1044" s="1728"/>
      <c r="Q1044" s="1728"/>
      <c r="R1044" s="1728"/>
      <c r="S1044" s="1728"/>
      <c r="T1044" s="1728"/>
      <c r="U1044" s="1728"/>
      <c r="V1044" s="1728"/>
      <c r="W1044" s="1728"/>
      <c r="X1044" s="1728"/>
      <c r="Y1044" s="1728"/>
      <c r="Z1044" s="1728"/>
      <c r="AA1044" s="1728"/>
      <c r="AB1044" s="1728"/>
      <c r="AC1044" s="1728"/>
      <c r="AD1044" s="1728"/>
      <c r="AE1044" s="1728"/>
      <c r="AF1044" s="1728"/>
      <c r="AG1044" s="1728"/>
      <c r="AH1044" s="1728"/>
      <c r="AI1044" s="1728"/>
      <c r="AJ1044" s="1728"/>
      <c r="AK1044" s="1728"/>
      <c r="AL1044" s="131"/>
      <c r="AM1044" s="962"/>
      <c r="AN1044" s="962"/>
      <c r="AO1044" s="962"/>
      <c r="AP1044" s="962"/>
      <c r="AQ1044" s="962"/>
      <c r="AR1044" s="962"/>
      <c r="AS1044" s="962"/>
      <c r="AT1044" s="962"/>
      <c r="AU1044" s="962"/>
      <c r="AV1044" s="962"/>
      <c r="AW1044" s="962"/>
      <c r="AX1044" s="962"/>
      <c r="AY1044" s="962"/>
    </row>
    <row r="1045" spans="1:51" ht="12.6" customHeight="1">
      <c r="A1045" s="235"/>
      <c r="B1045" s="235"/>
      <c r="C1045" s="13"/>
      <c r="D1045" s="1728"/>
      <c r="E1045" s="1728"/>
      <c r="F1045" s="1728"/>
      <c r="G1045" s="1728"/>
      <c r="H1045" s="1728"/>
      <c r="I1045" s="1728"/>
      <c r="J1045" s="1728"/>
      <c r="K1045" s="1728"/>
      <c r="L1045" s="1728"/>
      <c r="M1045" s="1728"/>
      <c r="N1045" s="1728"/>
      <c r="O1045" s="1728"/>
      <c r="P1045" s="1728"/>
      <c r="Q1045" s="1728"/>
      <c r="R1045" s="1728"/>
      <c r="S1045" s="1728"/>
      <c r="T1045" s="1728"/>
      <c r="U1045" s="1728"/>
      <c r="V1045" s="1728"/>
      <c r="W1045" s="1728"/>
      <c r="X1045" s="1728"/>
      <c r="Y1045" s="1728"/>
      <c r="Z1045" s="1728"/>
      <c r="AA1045" s="1728"/>
      <c r="AB1045" s="1728"/>
      <c r="AC1045" s="1728"/>
      <c r="AD1045" s="1728"/>
      <c r="AE1045" s="1728"/>
      <c r="AF1045" s="1728"/>
      <c r="AG1045" s="1728"/>
      <c r="AH1045" s="1728"/>
      <c r="AI1045" s="1728"/>
      <c r="AJ1045" s="1728"/>
      <c r="AK1045" s="1728"/>
      <c r="AL1045" s="131"/>
      <c r="AM1045" s="962"/>
      <c r="AN1045" s="962"/>
      <c r="AO1045" s="962"/>
      <c r="AP1045" s="962"/>
      <c r="AQ1045" s="962"/>
      <c r="AR1045" s="962"/>
      <c r="AS1045" s="962"/>
      <c r="AT1045" s="962"/>
      <c r="AU1045" s="962"/>
      <c r="AV1045" s="962"/>
      <c r="AW1045" s="962"/>
      <c r="AX1045" s="962"/>
      <c r="AY1045" s="962"/>
    </row>
    <row r="1046" spans="1:51" ht="12.6" customHeight="1">
      <c r="A1046" s="235"/>
      <c r="B1046" s="235"/>
      <c r="C1046" s="13"/>
      <c r="D1046" s="1728"/>
      <c r="E1046" s="1728"/>
      <c r="F1046" s="1728"/>
      <c r="G1046" s="1728"/>
      <c r="H1046" s="1728"/>
      <c r="I1046" s="1728"/>
      <c r="J1046" s="1728"/>
      <c r="K1046" s="1728"/>
      <c r="L1046" s="1728"/>
      <c r="M1046" s="1728"/>
      <c r="N1046" s="1728"/>
      <c r="O1046" s="1728"/>
      <c r="P1046" s="1728"/>
      <c r="Q1046" s="1728"/>
      <c r="R1046" s="1728"/>
      <c r="S1046" s="1728"/>
      <c r="T1046" s="1728"/>
      <c r="U1046" s="1728"/>
      <c r="V1046" s="1728"/>
      <c r="W1046" s="1728"/>
      <c r="X1046" s="1728"/>
      <c r="Y1046" s="1728"/>
      <c r="Z1046" s="1728"/>
      <c r="AA1046" s="1728"/>
      <c r="AB1046" s="1728"/>
      <c r="AC1046" s="1728"/>
      <c r="AD1046" s="1728"/>
      <c r="AE1046" s="1728"/>
      <c r="AF1046" s="1728"/>
      <c r="AG1046" s="1728"/>
      <c r="AH1046" s="1728"/>
      <c r="AI1046" s="1728"/>
      <c r="AJ1046" s="1728"/>
      <c r="AK1046" s="1728"/>
      <c r="AL1046" s="105"/>
      <c r="AM1046" s="961"/>
      <c r="AN1046" s="961"/>
      <c r="AO1046" s="961"/>
      <c r="AP1046" s="961"/>
      <c r="AQ1046" s="961"/>
      <c r="AR1046" s="961"/>
      <c r="AS1046" s="961"/>
      <c r="AT1046" s="961"/>
      <c r="AU1046" s="961"/>
      <c r="AV1046" s="961"/>
      <c r="AW1046" s="961"/>
      <c r="AX1046" s="961"/>
      <c r="AY1046" s="961"/>
    </row>
    <row r="1047" spans="1:51" ht="12.6" customHeight="1">
      <c r="A1047" s="235"/>
      <c r="B1047" s="235"/>
      <c r="C1047" s="13"/>
      <c r="D1047" s="1728"/>
      <c r="E1047" s="1728"/>
      <c r="F1047" s="1728"/>
      <c r="G1047" s="1728"/>
      <c r="H1047" s="1728"/>
      <c r="I1047" s="1728"/>
      <c r="J1047" s="1728"/>
      <c r="K1047" s="1728"/>
      <c r="L1047" s="1728"/>
      <c r="M1047" s="1728"/>
      <c r="N1047" s="1728"/>
      <c r="O1047" s="1728"/>
      <c r="P1047" s="1728"/>
      <c r="Q1047" s="1728"/>
      <c r="R1047" s="1728"/>
      <c r="S1047" s="1728"/>
      <c r="T1047" s="1728"/>
      <c r="U1047" s="1728"/>
      <c r="V1047" s="1728"/>
      <c r="W1047" s="1728"/>
      <c r="X1047" s="1728"/>
      <c r="Y1047" s="1728"/>
      <c r="Z1047" s="1728"/>
      <c r="AA1047" s="1728"/>
      <c r="AB1047" s="1728"/>
      <c r="AC1047" s="1728"/>
      <c r="AD1047" s="1728"/>
      <c r="AE1047" s="1728"/>
      <c r="AF1047" s="1728"/>
      <c r="AG1047" s="1728"/>
      <c r="AH1047" s="1728"/>
      <c r="AI1047" s="1728"/>
      <c r="AJ1047" s="1728"/>
      <c r="AK1047" s="1728"/>
      <c r="AL1047" s="105"/>
      <c r="AM1047" s="961"/>
      <c r="AN1047" s="961"/>
      <c r="AO1047" s="961"/>
      <c r="AP1047" s="961"/>
      <c r="AQ1047" s="961"/>
      <c r="AR1047" s="961"/>
      <c r="AS1047" s="961"/>
      <c r="AT1047" s="961"/>
      <c r="AU1047" s="961"/>
      <c r="AV1047" s="961"/>
      <c r="AW1047" s="961"/>
      <c r="AX1047" s="961"/>
      <c r="AY1047" s="961"/>
    </row>
    <row r="1048" spans="1:51" ht="12.6" customHeight="1">
      <c r="A1048" s="235"/>
      <c r="B1048" s="235"/>
      <c r="C1048" s="13"/>
      <c r="D1048" s="1728"/>
      <c r="E1048" s="1728"/>
      <c r="F1048" s="1728"/>
      <c r="G1048" s="1728"/>
      <c r="H1048" s="1728"/>
      <c r="I1048" s="1728"/>
      <c r="J1048" s="1728"/>
      <c r="K1048" s="1728"/>
      <c r="L1048" s="1728"/>
      <c r="M1048" s="1728"/>
      <c r="N1048" s="1728"/>
      <c r="O1048" s="1728"/>
      <c r="P1048" s="1728"/>
      <c r="Q1048" s="1728"/>
      <c r="R1048" s="1728"/>
      <c r="S1048" s="1728"/>
      <c r="T1048" s="1728"/>
      <c r="U1048" s="1728"/>
      <c r="V1048" s="1728"/>
      <c r="W1048" s="1728"/>
      <c r="X1048" s="1728"/>
      <c r="Y1048" s="1728"/>
      <c r="Z1048" s="1728"/>
      <c r="AA1048" s="1728"/>
      <c r="AB1048" s="1728"/>
      <c r="AC1048" s="1728"/>
      <c r="AD1048" s="1728"/>
      <c r="AE1048" s="1728"/>
      <c r="AF1048" s="1728"/>
      <c r="AG1048" s="1728"/>
      <c r="AH1048" s="1728"/>
      <c r="AI1048" s="1728"/>
      <c r="AJ1048" s="1728"/>
      <c r="AK1048" s="1728"/>
      <c r="AL1048" s="105"/>
      <c r="AM1048" s="961"/>
      <c r="AN1048" s="961"/>
      <c r="AO1048" s="961"/>
      <c r="AP1048" s="961"/>
      <c r="AQ1048" s="961"/>
      <c r="AR1048" s="961"/>
      <c r="AS1048" s="961"/>
      <c r="AT1048" s="961"/>
      <c r="AU1048" s="961"/>
      <c r="AV1048" s="961"/>
      <c r="AW1048" s="961"/>
      <c r="AX1048" s="961"/>
      <c r="AY1048" s="961"/>
    </row>
    <row r="1049" spans="1:51" ht="12.6" customHeight="1">
      <c r="A1049" s="37"/>
      <c r="B1049" s="66"/>
      <c r="C1049" s="13"/>
      <c r="D1049" s="1728"/>
      <c r="E1049" s="1728"/>
      <c r="F1049" s="1728"/>
      <c r="G1049" s="1728"/>
      <c r="H1049" s="1728"/>
      <c r="I1049" s="1728"/>
      <c r="J1049" s="1728"/>
      <c r="K1049" s="1728"/>
      <c r="L1049" s="1728"/>
      <c r="M1049" s="1728"/>
      <c r="N1049" s="1728"/>
      <c r="O1049" s="1728"/>
      <c r="P1049" s="1728"/>
      <c r="Q1049" s="1728"/>
      <c r="R1049" s="1728"/>
      <c r="S1049" s="1728"/>
      <c r="T1049" s="1728"/>
      <c r="U1049" s="1728"/>
      <c r="V1049" s="1728"/>
      <c r="W1049" s="1728"/>
      <c r="X1049" s="1728"/>
      <c r="Y1049" s="1728"/>
      <c r="Z1049" s="1728"/>
      <c r="AA1049" s="1728"/>
      <c r="AB1049" s="1728"/>
      <c r="AC1049" s="1728"/>
      <c r="AD1049" s="1728"/>
      <c r="AE1049" s="1728"/>
      <c r="AF1049" s="1728"/>
      <c r="AG1049" s="1728"/>
      <c r="AH1049" s="1728"/>
      <c r="AI1049" s="1728"/>
      <c r="AJ1049" s="1728"/>
      <c r="AK1049" s="1728"/>
      <c r="AL1049" s="105"/>
      <c r="AM1049" s="961"/>
      <c r="AN1049" s="961"/>
      <c r="AO1049" s="961"/>
      <c r="AP1049" s="961"/>
      <c r="AQ1049" s="961"/>
      <c r="AR1049" s="961"/>
      <c r="AS1049" s="961"/>
      <c r="AT1049" s="961"/>
      <c r="AU1049" s="961"/>
      <c r="AV1049" s="961"/>
      <c r="AW1049" s="961"/>
      <c r="AX1049" s="961"/>
      <c r="AY1049" s="961"/>
    </row>
    <row r="1050" spans="1:51" ht="12.6" customHeight="1">
      <c r="A1050" s="1886" t="s">
        <v>616</v>
      </c>
      <c r="B1050" s="1886"/>
      <c r="C1050" s="13">
        <v>2</v>
      </c>
      <c r="D1050" s="1728" t="s">
        <v>1187</v>
      </c>
      <c r="E1050" s="1728"/>
      <c r="F1050" s="1728"/>
      <c r="G1050" s="1728"/>
      <c r="H1050" s="1728"/>
      <c r="I1050" s="1728"/>
      <c r="J1050" s="1728"/>
      <c r="K1050" s="1728"/>
      <c r="L1050" s="1728"/>
      <c r="M1050" s="1728"/>
      <c r="N1050" s="1728"/>
      <c r="O1050" s="1728"/>
      <c r="P1050" s="1728"/>
      <c r="Q1050" s="1728"/>
      <c r="R1050" s="1728"/>
      <c r="S1050" s="1728"/>
      <c r="T1050" s="1728"/>
      <c r="U1050" s="1728"/>
      <c r="V1050" s="1728"/>
      <c r="W1050" s="1728"/>
      <c r="X1050" s="1728"/>
      <c r="Y1050" s="1728"/>
      <c r="Z1050" s="1728"/>
      <c r="AA1050" s="1728"/>
      <c r="AB1050" s="1728"/>
      <c r="AC1050" s="1728"/>
      <c r="AD1050" s="1728"/>
      <c r="AE1050" s="1728"/>
      <c r="AF1050" s="1728"/>
      <c r="AG1050" s="1728"/>
      <c r="AH1050" s="1728"/>
      <c r="AI1050" s="1728"/>
      <c r="AJ1050" s="1728"/>
      <c r="AK1050" s="1728"/>
      <c r="AL1050" s="105"/>
      <c r="AM1050" s="961"/>
      <c r="AN1050" s="961"/>
      <c r="AO1050" s="961"/>
      <c r="AP1050" s="961"/>
      <c r="AQ1050" s="961"/>
      <c r="AR1050" s="961"/>
      <c r="AS1050" s="961"/>
      <c r="AT1050" s="961"/>
      <c r="AU1050" s="961"/>
      <c r="AV1050" s="961"/>
      <c r="AW1050" s="961"/>
      <c r="AX1050" s="961"/>
      <c r="AY1050" s="961"/>
    </row>
    <row r="1051" spans="1:51" ht="12.6" customHeight="1">
      <c r="A1051" s="235"/>
      <c r="B1051" s="235"/>
      <c r="C1051" s="13"/>
      <c r="D1051" s="1728"/>
      <c r="E1051" s="1728"/>
      <c r="F1051" s="1728"/>
      <c r="G1051" s="1728"/>
      <c r="H1051" s="1728"/>
      <c r="I1051" s="1728"/>
      <c r="J1051" s="1728"/>
      <c r="K1051" s="1728"/>
      <c r="L1051" s="1728"/>
      <c r="M1051" s="1728"/>
      <c r="N1051" s="1728"/>
      <c r="O1051" s="1728"/>
      <c r="P1051" s="1728"/>
      <c r="Q1051" s="1728"/>
      <c r="R1051" s="1728"/>
      <c r="S1051" s="1728"/>
      <c r="T1051" s="1728"/>
      <c r="U1051" s="1728"/>
      <c r="V1051" s="1728"/>
      <c r="W1051" s="1728"/>
      <c r="X1051" s="1728"/>
      <c r="Y1051" s="1728"/>
      <c r="Z1051" s="1728"/>
      <c r="AA1051" s="1728"/>
      <c r="AB1051" s="1728"/>
      <c r="AC1051" s="1728"/>
      <c r="AD1051" s="1728"/>
      <c r="AE1051" s="1728"/>
      <c r="AF1051" s="1728"/>
      <c r="AG1051" s="1728"/>
      <c r="AH1051" s="1728"/>
      <c r="AI1051" s="1728"/>
      <c r="AJ1051" s="1728"/>
      <c r="AK1051" s="1728"/>
      <c r="AL1051" s="105"/>
      <c r="AM1051" s="961"/>
      <c r="AN1051" s="961"/>
      <c r="AO1051" s="961"/>
      <c r="AP1051" s="961"/>
      <c r="AQ1051" s="961"/>
      <c r="AR1051" s="961"/>
      <c r="AS1051" s="961"/>
      <c r="AT1051" s="961"/>
      <c r="AU1051" s="961"/>
      <c r="AV1051" s="961"/>
      <c r="AW1051" s="961"/>
      <c r="AX1051" s="961"/>
      <c r="AY1051" s="961"/>
    </row>
    <row r="1052" spans="1:51" ht="12.6" customHeight="1">
      <c r="A1052" s="235"/>
      <c r="B1052" s="235"/>
      <c r="C1052" s="13"/>
      <c r="D1052" s="1728"/>
      <c r="E1052" s="1728"/>
      <c r="F1052" s="1728"/>
      <c r="G1052" s="1728"/>
      <c r="H1052" s="1728"/>
      <c r="I1052" s="1728"/>
      <c r="J1052" s="1728"/>
      <c r="K1052" s="1728"/>
      <c r="L1052" s="1728"/>
      <c r="M1052" s="1728"/>
      <c r="N1052" s="1728"/>
      <c r="O1052" s="1728"/>
      <c r="P1052" s="1728"/>
      <c r="Q1052" s="1728"/>
      <c r="R1052" s="1728"/>
      <c r="S1052" s="1728"/>
      <c r="T1052" s="1728"/>
      <c r="U1052" s="1728"/>
      <c r="V1052" s="1728"/>
      <c r="W1052" s="1728"/>
      <c r="X1052" s="1728"/>
      <c r="Y1052" s="1728"/>
      <c r="Z1052" s="1728"/>
      <c r="AA1052" s="1728"/>
      <c r="AB1052" s="1728"/>
      <c r="AC1052" s="1728"/>
      <c r="AD1052" s="1728"/>
      <c r="AE1052" s="1728"/>
      <c r="AF1052" s="1728"/>
      <c r="AG1052" s="1728"/>
      <c r="AH1052" s="1728"/>
      <c r="AI1052" s="1728"/>
      <c r="AJ1052" s="1728"/>
      <c r="AK1052" s="1728"/>
      <c r="AL1052" s="105"/>
      <c r="AM1052" s="961"/>
      <c r="AN1052" s="961"/>
      <c r="AO1052" s="961"/>
      <c r="AP1052" s="961"/>
      <c r="AQ1052" s="961"/>
      <c r="AR1052" s="961"/>
      <c r="AS1052" s="961"/>
      <c r="AT1052" s="961"/>
      <c r="AU1052" s="961"/>
      <c r="AV1052" s="961"/>
      <c r="AW1052" s="961"/>
      <c r="AX1052" s="961"/>
      <c r="AY1052" s="961"/>
    </row>
    <row r="1053" spans="1:51" ht="12.6" customHeight="1">
      <c r="A1053" s="235"/>
      <c r="B1053" s="235"/>
      <c r="C1053" s="13"/>
      <c r="D1053" s="1728"/>
      <c r="E1053" s="1728"/>
      <c r="F1053" s="1728"/>
      <c r="G1053" s="1728"/>
      <c r="H1053" s="1728"/>
      <c r="I1053" s="1728"/>
      <c r="J1053" s="1728"/>
      <c r="K1053" s="1728"/>
      <c r="L1053" s="1728"/>
      <c r="M1053" s="1728"/>
      <c r="N1053" s="1728"/>
      <c r="O1053" s="1728"/>
      <c r="P1053" s="1728"/>
      <c r="Q1053" s="1728"/>
      <c r="R1053" s="1728"/>
      <c r="S1053" s="1728"/>
      <c r="T1053" s="1728"/>
      <c r="U1053" s="1728"/>
      <c r="V1053" s="1728"/>
      <c r="W1053" s="1728"/>
      <c r="X1053" s="1728"/>
      <c r="Y1053" s="1728"/>
      <c r="Z1053" s="1728"/>
      <c r="AA1053" s="1728"/>
      <c r="AB1053" s="1728"/>
      <c r="AC1053" s="1728"/>
      <c r="AD1053" s="1728"/>
      <c r="AE1053" s="1728"/>
      <c r="AF1053" s="1728"/>
      <c r="AG1053" s="1728"/>
      <c r="AH1053" s="1728"/>
      <c r="AI1053" s="1728"/>
      <c r="AJ1053" s="1728"/>
      <c r="AK1053" s="1728"/>
      <c r="AL1053" s="105"/>
      <c r="AM1053" s="961"/>
      <c r="AN1053" s="961"/>
      <c r="AO1053" s="961"/>
      <c r="AP1053" s="961"/>
      <c r="AQ1053" s="961"/>
      <c r="AR1053" s="961"/>
      <c r="AS1053" s="961"/>
      <c r="AT1053" s="961"/>
      <c r="AU1053" s="961"/>
      <c r="AV1053" s="961"/>
      <c r="AW1053" s="961"/>
      <c r="AX1053" s="961"/>
      <c r="AY1053" s="961"/>
    </row>
    <row r="1054" spans="1:51" ht="12.6" customHeight="1">
      <c r="A1054" s="235"/>
      <c r="B1054" s="235"/>
      <c r="C1054" s="13"/>
      <c r="D1054" s="1728"/>
      <c r="E1054" s="1728"/>
      <c r="F1054" s="1728"/>
      <c r="G1054" s="1728"/>
      <c r="H1054" s="1728"/>
      <c r="I1054" s="1728"/>
      <c r="J1054" s="1728"/>
      <c r="K1054" s="1728"/>
      <c r="L1054" s="1728"/>
      <c r="M1054" s="1728"/>
      <c r="N1054" s="1728"/>
      <c r="O1054" s="1728"/>
      <c r="P1054" s="1728"/>
      <c r="Q1054" s="1728"/>
      <c r="R1054" s="1728"/>
      <c r="S1054" s="1728"/>
      <c r="T1054" s="1728"/>
      <c r="U1054" s="1728"/>
      <c r="V1054" s="1728"/>
      <c r="W1054" s="1728"/>
      <c r="X1054" s="1728"/>
      <c r="Y1054" s="1728"/>
      <c r="Z1054" s="1728"/>
      <c r="AA1054" s="1728"/>
      <c r="AB1054" s="1728"/>
      <c r="AC1054" s="1728"/>
      <c r="AD1054" s="1728"/>
      <c r="AE1054" s="1728"/>
      <c r="AF1054" s="1728"/>
      <c r="AG1054" s="1728"/>
      <c r="AH1054" s="1728"/>
      <c r="AI1054" s="1728"/>
      <c r="AJ1054" s="1728"/>
      <c r="AK1054" s="1728"/>
      <c r="AL1054" s="105"/>
      <c r="AM1054" s="961"/>
      <c r="AN1054" s="961"/>
      <c r="AO1054" s="961"/>
      <c r="AP1054" s="961"/>
      <c r="AQ1054" s="961"/>
      <c r="AR1054" s="961"/>
      <c r="AS1054" s="961"/>
      <c r="AT1054" s="961"/>
      <c r="AU1054" s="961"/>
      <c r="AV1054" s="961"/>
      <c r="AW1054" s="961"/>
      <c r="AX1054" s="961"/>
      <c r="AY1054" s="961"/>
    </row>
    <row r="1055" spans="1:51" ht="12.6" customHeight="1">
      <c r="A1055" s="235"/>
      <c r="B1055" s="235"/>
      <c r="C1055" s="13"/>
      <c r="D1055" s="1728"/>
      <c r="E1055" s="1728"/>
      <c r="F1055" s="1728"/>
      <c r="G1055" s="1728"/>
      <c r="H1055" s="1728"/>
      <c r="I1055" s="1728"/>
      <c r="J1055" s="1728"/>
      <c r="K1055" s="1728"/>
      <c r="L1055" s="1728"/>
      <c r="M1055" s="1728"/>
      <c r="N1055" s="1728"/>
      <c r="O1055" s="1728"/>
      <c r="P1055" s="1728"/>
      <c r="Q1055" s="1728"/>
      <c r="R1055" s="1728"/>
      <c r="S1055" s="1728"/>
      <c r="T1055" s="1728"/>
      <c r="U1055" s="1728"/>
      <c r="V1055" s="1728"/>
      <c r="W1055" s="1728"/>
      <c r="X1055" s="1728"/>
      <c r="Y1055" s="1728"/>
      <c r="Z1055" s="1728"/>
      <c r="AA1055" s="1728"/>
      <c r="AB1055" s="1728"/>
      <c r="AC1055" s="1728"/>
      <c r="AD1055" s="1728"/>
      <c r="AE1055" s="1728"/>
      <c r="AF1055" s="1728"/>
      <c r="AG1055" s="1728"/>
      <c r="AH1055" s="1728"/>
      <c r="AI1055" s="1728"/>
      <c r="AJ1055" s="1728"/>
      <c r="AK1055" s="1728"/>
    </row>
    <row r="1056" spans="1:51" ht="12.6" customHeight="1">
      <c r="A1056" s="1886" t="s">
        <v>616</v>
      </c>
      <c r="B1056" s="1886"/>
      <c r="C1056" s="13">
        <v>3</v>
      </c>
      <c r="D1056" s="1728" t="s">
        <v>1466</v>
      </c>
      <c r="E1056" s="1728"/>
      <c r="F1056" s="1728"/>
      <c r="G1056" s="1728"/>
      <c r="H1056" s="1728"/>
      <c r="I1056" s="1728"/>
      <c r="J1056" s="1728"/>
      <c r="K1056" s="1728"/>
      <c r="L1056" s="1728"/>
      <c r="M1056" s="1728"/>
      <c r="N1056" s="1728"/>
      <c r="O1056" s="1728"/>
      <c r="P1056" s="1728"/>
      <c r="Q1056" s="1728"/>
      <c r="R1056" s="1728"/>
      <c r="S1056" s="1728"/>
      <c r="T1056" s="1728"/>
      <c r="U1056" s="1728"/>
      <c r="V1056" s="1728"/>
      <c r="W1056" s="1728"/>
      <c r="X1056" s="1728"/>
      <c r="Y1056" s="1728"/>
      <c r="Z1056" s="1728"/>
      <c r="AA1056" s="1728"/>
      <c r="AB1056" s="1728"/>
      <c r="AC1056" s="1728"/>
      <c r="AD1056" s="1728"/>
      <c r="AE1056" s="1728"/>
      <c r="AF1056" s="1728"/>
      <c r="AG1056" s="1728"/>
      <c r="AH1056" s="1728"/>
      <c r="AI1056" s="1728"/>
      <c r="AJ1056" s="1728"/>
      <c r="AK1056" s="1728"/>
    </row>
    <row r="1057" spans="1:96" ht="12.6" customHeight="1">
      <c r="A1057" s="130"/>
      <c r="B1057" s="130"/>
      <c r="C1057" s="13"/>
      <c r="D1057" s="1728"/>
      <c r="E1057" s="1728"/>
      <c r="F1057" s="1728"/>
      <c r="G1057" s="1728"/>
      <c r="H1057" s="1728"/>
      <c r="I1057" s="1728"/>
      <c r="J1057" s="1728"/>
      <c r="K1057" s="1728"/>
      <c r="L1057" s="1728"/>
      <c r="M1057" s="1728"/>
      <c r="N1057" s="1728"/>
      <c r="O1057" s="1728"/>
      <c r="P1057" s="1728"/>
      <c r="Q1057" s="1728"/>
      <c r="R1057" s="1728"/>
      <c r="S1057" s="1728"/>
      <c r="T1057" s="1728"/>
      <c r="U1057" s="1728"/>
      <c r="V1057" s="1728"/>
      <c r="W1057" s="1728"/>
      <c r="X1057" s="1728"/>
      <c r="Y1057" s="1728"/>
      <c r="Z1057" s="1728"/>
      <c r="AA1057" s="1728"/>
      <c r="AB1057" s="1728"/>
      <c r="AC1057" s="1728"/>
      <c r="AD1057" s="1728"/>
      <c r="AE1057" s="1728"/>
      <c r="AF1057" s="1728"/>
      <c r="AG1057" s="1728"/>
      <c r="AH1057" s="1728"/>
      <c r="AI1057" s="1728"/>
      <c r="AJ1057" s="1728"/>
      <c r="AK1057" s="1728"/>
      <c r="AL1057" s="711"/>
    </row>
    <row r="1058" spans="1:96" ht="12.6" customHeight="1">
      <c r="A1058" s="130"/>
      <c r="B1058" s="130"/>
      <c r="C1058" s="13"/>
      <c r="D1058" s="1728"/>
      <c r="E1058" s="1728"/>
      <c r="F1058" s="1728"/>
      <c r="G1058" s="1728"/>
      <c r="H1058" s="1728"/>
      <c r="I1058" s="1728"/>
      <c r="J1058" s="1728"/>
      <c r="K1058" s="1728"/>
      <c r="L1058" s="1728"/>
      <c r="M1058" s="1728"/>
      <c r="N1058" s="1728"/>
      <c r="O1058" s="1728"/>
      <c r="P1058" s="1728"/>
      <c r="Q1058" s="1728"/>
      <c r="R1058" s="1728"/>
      <c r="S1058" s="1728"/>
      <c r="T1058" s="1728"/>
      <c r="U1058" s="1728"/>
      <c r="V1058" s="1728"/>
      <c r="W1058" s="1728"/>
      <c r="X1058" s="1728"/>
      <c r="Y1058" s="1728"/>
      <c r="Z1058" s="1728"/>
      <c r="AA1058" s="1728"/>
      <c r="AB1058" s="1728"/>
      <c r="AC1058" s="1728"/>
      <c r="AD1058" s="1728"/>
      <c r="AE1058" s="1728"/>
      <c r="AF1058" s="1728"/>
      <c r="AG1058" s="1728"/>
      <c r="AH1058" s="1728"/>
      <c r="AI1058" s="1728"/>
      <c r="AJ1058" s="1728"/>
      <c r="AK1058" s="1728"/>
    </row>
    <row r="1059" spans="1:96" s="711" customFormat="1" ht="12.6" customHeight="1">
      <c r="A1059" s="62"/>
      <c r="B1059" s="66"/>
      <c r="C1059" s="13"/>
      <c r="D1059" s="1728"/>
      <c r="E1059" s="1728"/>
      <c r="F1059" s="1728"/>
      <c r="G1059" s="1728"/>
      <c r="H1059" s="1728"/>
      <c r="I1059" s="1728"/>
      <c r="J1059" s="1728"/>
      <c r="K1059" s="1728"/>
      <c r="L1059" s="1728"/>
      <c r="M1059" s="1728"/>
      <c r="N1059" s="1728"/>
      <c r="O1059" s="1728"/>
      <c r="P1059" s="1728"/>
      <c r="Q1059" s="1728"/>
      <c r="R1059" s="1728"/>
      <c r="S1059" s="1728"/>
      <c r="T1059" s="1728"/>
      <c r="U1059" s="1728"/>
      <c r="V1059" s="1728"/>
      <c r="W1059" s="1728"/>
      <c r="X1059" s="1728"/>
      <c r="Y1059" s="1728"/>
      <c r="Z1059" s="1728"/>
      <c r="AA1059" s="1728"/>
      <c r="AB1059" s="1728"/>
      <c r="AC1059" s="1728"/>
      <c r="AD1059" s="1728"/>
      <c r="AE1059" s="1728"/>
      <c r="AF1059" s="1728"/>
      <c r="AG1059" s="1728"/>
      <c r="AH1059" s="1728"/>
      <c r="AI1059" s="1728"/>
      <c r="AJ1059" s="1728"/>
      <c r="AK1059" s="172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728"/>
      <c r="E1060" s="1728"/>
      <c r="F1060" s="1728"/>
      <c r="G1060" s="1728"/>
      <c r="H1060" s="1728"/>
      <c r="I1060" s="1728"/>
      <c r="J1060" s="1728"/>
      <c r="K1060" s="1728"/>
      <c r="L1060" s="1728"/>
      <c r="M1060" s="1728"/>
      <c r="N1060" s="1728"/>
      <c r="O1060" s="1728"/>
      <c r="P1060" s="1728"/>
      <c r="Q1060" s="1728"/>
      <c r="R1060" s="1728"/>
      <c r="S1060" s="1728"/>
      <c r="T1060" s="1728"/>
      <c r="U1060" s="1728"/>
      <c r="V1060" s="1728"/>
      <c r="W1060" s="1728"/>
      <c r="X1060" s="1728"/>
      <c r="Y1060" s="1728"/>
      <c r="Z1060" s="1728"/>
      <c r="AA1060" s="1728"/>
      <c r="AB1060" s="1728"/>
      <c r="AC1060" s="1728"/>
      <c r="AD1060" s="1728"/>
      <c r="AE1060" s="1728"/>
      <c r="AF1060" s="1728"/>
      <c r="AG1060" s="1728"/>
      <c r="AH1060" s="1728"/>
      <c r="AI1060" s="1728"/>
      <c r="AJ1060" s="1728"/>
      <c r="AK1060" s="1728"/>
    </row>
    <row r="1061" spans="1:96" ht="12.6" customHeight="1">
      <c r="A1061" s="62"/>
      <c r="B1061" s="66"/>
      <c r="C1061" s="13"/>
      <c r="D1061" s="1728"/>
      <c r="E1061" s="1728"/>
      <c r="F1061" s="1728"/>
      <c r="G1061" s="1728"/>
      <c r="H1061" s="1728"/>
      <c r="I1061" s="1728"/>
      <c r="J1061" s="1728"/>
      <c r="K1061" s="1728"/>
      <c r="L1061" s="1728"/>
      <c r="M1061" s="1728"/>
      <c r="N1061" s="1728"/>
      <c r="O1061" s="1728"/>
      <c r="P1061" s="1728"/>
      <c r="Q1061" s="1728"/>
      <c r="R1061" s="1728"/>
      <c r="S1061" s="1728"/>
      <c r="T1061" s="1728"/>
      <c r="U1061" s="1728"/>
      <c r="V1061" s="1728"/>
      <c r="W1061" s="1728"/>
      <c r="X1061" s="1728"/>
      <c r="Y1061" s="1728"/>
      <c r="Z1061" s="1728"/>
      <c r="AA1061" s="1728"/>
      <c r="AB1061" s="1728"/>
      <c r="AC1061" s="1728"/>
      <c r="AD1061" s="1728"/>
      <c r="AE1061" s="1728"/>
      <c r="AF1061" s="1728"/>
      <c r="AG1061" s="1728"/>
      <c r="AH1061" s="1728"/>
      <c r="AI1061" s="1728"/>
      <c r="AJ1061" s="1728"/>
      <c r="AK1061" s="1728"/>
    </row>
    <row r="1062" spans="1:96" ht="12.6" customHeight="1">
      <c r="A1062" s="62"/>
      <c r="B1062" s="66"/>
      <c r="C1062" s="13"/>
      <c r="D1062" s="1728"/>
      <c r="E1062" s="1728"/>
      <c r="F1062" s="1728"/>
      <c r="G1062" s="1728"/>
      <c r="H1062" s="1728"/>
      <c r="I1062" s="1728"/>
      <c r="J1062" s="1728"/>
      <c r="K1062" s="1728"/>
      <c r="L1062" s="1728"/>
      <c r="M1062" s="1728"/>
      <c r="N1062" s="1728"/>
      <c r="O1062" s="1728"/>
      <c r="P1062" s="1728"/>
      <c r="Q1062" s="1728"/>
      <c r="R1062" s="1728"/>
      <c r="S1062" s="1728"/>
      <c r="T1062" s="1728"/>
      <c r="U1062" s="1728"/>
      <c r="V1062" s="1728"/>
      <c r="W1062" s="1728"/>
      <c r="X1062" s="1728"/>
      <c r="Y1062" s="1728"/>
      <c r="Z1062" s="1728"/>
      <c r="AA1062" s="1728"/>
      <c r="AB1062" s="1728"/>
      <c r="AC1062" s="1728"/>
      <c r="AD1062" s="1728"/>
      <c r="AE1062" s="1728"/>
      <c r="AF1062" s="1728"/>
      <c r="AG1062" s="1728"/>
      <c r="AH1062" s="1728"/>
      <c r="AI1062" s="1728"/>
      <c r="AJ1062" s="1728"/>
      <c r="AK1062" s="1728"/>
    </row>
    <row r="1063" spans="1:96" ht="12.6" customHeight="1">
      <c r="A1063" s="1886" t="s">
        <v>616</v>
      </c>
      <c r="B1063" s="1886"/>
      <c r="C1063" s="13">
        <v>4</v>
      </c>
      <c r="D1063" s="1728" t="s">
        <v>1173</v>
      </c>
      <c r="E1063" s="1728"/>
      <c r="F1063" s="1728"/>
      <c r="G1063" s="1728"/>
      <c r="H1063" s="1728"/>
      <c r="I1063" s="1728"/>
      <c r="J1063" s="1728"/>
      <c r="K1063" s="1728"/>
      <c r="L1063" s="1728"/>
      <c r="M1063" s="1728"/>
      <c r="N1063" s="1728"/>
      <c r="O1063" s="1728"/>
      <c r="P1063" s="1728"/>
      <c r="Q1063" s="1728"/>
      <c r="R1063" s="1728"/>
      <c r="S1063" s="1728"/>
      <c r="T1063" s="1728"/>
      <c r="U1063" s="1728"/>
      <c r="V1063" s="1728"/>
      <c r="W1063" s="1728"/>
      <c r="X1063" s="1728"/>
      <c r="Y1063" s="1728"/>
      <c r="Z1063" s="1728"/>
      <c r="AA1063" s="1728"/>
      <c r="AB1063" s="1728"/>
      <c r="AC1063" s="1728"/>
      <c r="AD1063" s="1728"/>
      <c r="AE1063" s="1728"/>
      <c r="AF1063" s="1728"/>
      <c r="AG1063" s="1728"/>
      <c r="AH1063" s="1728"/>
      <c r="AI1063" s="1728"/>
      <c r="AJ1063" s="1728"/>
      <c r="AK1063" s="1728"/>
    </row>
    <row r="1064" spans="1:96" ht="12.6" customHeight="1">
      <c r="A1064" s="235"/>
      <c r="B1064" s="235"/>
      <c r="C1064" s="13"/>
      <c r="D1064" s="1728"/>
      <c r="E1064" s="1728"/>
      <c r="F1064" s="1728"/>
      <c r="G1064" s="1728"/>
      <c r="H1064" s="1728"/>
      <c r="I1064" s="1728"/>
      <c r="J1064" s="1728"/>
      <c r="K1064" s="1728"/>
      <c r="L1064" s="1728"/>
      <c r="M1064" s="1728"/>
      <c r="N1064" s="1728"/>
      <c r="O1064" s="1728"/>
      <c r="P1064" s="1728"/>
      <c r="Q1064" s="1728"/>
      <c r="R1064" s="1728"/>
      <c r="S1064" s="1728"/>
      <c r="T1064" s="1728"/>
      <c r="U1064" s="1728"/>
      <c r="V1064" s="1728"/>
      <c r="W1064" s="1728"/>
      <c r="X1064" s="1728"/>
      <c r="Y1064" s="1728"/>
      <c r="Z1064" s="1728"/>
      <c r="AA1064" s="1728"/>
      <c r="AB1064" s="1728"/>
      <c r="AC1064" s="1728"/>
      <c r="AD1064" s="1728"/>
      <c r="AE1064" s="1728"/>
      <c r="AF1064" s="1728"/>
      <c r="AG1064" s="1728"/>
      <c r="AH1064" s="1728"/>
      <c r="AI1064" s="1728"/>
      <c r="AJ1064" s="1728"/>
      <c r="AK1064" s="1728"/>
    </row>
    <row r="1065" spans="1:96" ht="12.6" customHeight="1">
      <c r="A1065" s="62"/>
      <c r="B1065" s="66"/>
      <c r="C1065" s="13"/>
      <c r="D1065" s="1728"/>
      <c r="E1065" s="1728"/>
      <c r="F1065" s="1728"/>
      <c r="G1065" s="1728"/>
      <c r="H1065" s="1728"/>
      <c r="I1065" s="1728"/>
      <c r="J1065" s="1728"/>
      <c r="K1065" s="1728"/>
      <c r="L1065" s="1728"/>
      <c r="M1065" s="1728"/>
      <c r="N1065" s="1728"/>
      <c r="O1065" s="1728"/>
      <c r="P1065" s="1728"/>
      <c r="Q1065" s="1728"/>
      <c r="R1065" s="1728"/>
      <c r="S1065" s="1728"/>
      <c r="T1065" s="1728"/>
      <c r="U1065" s="1728"/>
      <c r="V1065" s="1728"/>
      <c r="W1065" s="1728"/>
      <c r="X1065" s="1728"/>
      <c r="Y1065" s="1728"/>
      <c r="Z1065" s="1728"/>
      <c r="AA1065" s="1728"/>
      <c r="AB1065" s="1728"/>
      <c r="AC1065" s="1728"/>
      <c r="AD1065" s="1728"/>
      <c r="AE1065" s="1728"/>
      <c r="AF1065" s="1728"/>
      <c r="AG1065" s="1728"/>
      <c r="AH1065" s="1728"/>
      <c r="AI1065" s="1728"/>
      <c r="AJ1065" s="1728"/>
      <c r="AK1065" s="1728"/>
    </row>
    <row r="1066" spans="1:96" s="674" customFormat="1" ht="12.6" customHeight="1">
      <c r="A1066" s="1886" t="s">
        <v>616</v>
      </c>
      <c r="B1066" s="1886"/>
      <c r="C1066" s="13">
        <v>5</v>
      </c>
      <c r="D1066" s="1728" t="s">
        <v>1370</v>
      </c>
      <c r="E1066" s="1728"/>
      <c r="F1066" s="1728"/>
      <c r="G1066" s="1728"/>
      <c r="H1066" s="1728"/>
      <c r="I1066" s="1728"/>
      <c r="J1066" s="1728"/>
      <c r="K1066" s="1728"/>
      <c r="L1066" s="1728"/>
      <c r="M1066" s="1728"/>
      <c r="N1066" s="1728"/>
      <c r="O1066" s="1728"/>
      <c r="P1066" s="1728"/>
      <c r="Q1066" s="1728"/>
      <c r="R1066" s="1728"/>
      <c r="S1066" s="1728"/>
      <c r="T1066" s="1728"/>
      <c r="U1066" s="1728"/>
      <c r="V1066" s="1728"/>
      <c r="W1066" s="1728"/>
      <c r="X1066" s="1728"/>
      <c r="Y1066" s="1728"/>
      <c r="Z1066" s="1728"/>
      <c r="AA1066" s="1728"/>
      <c r="AB1066" s="1728"/>
      <c r="AC1066" s="1728"/>
      <c r="AD1066" s="1728"/>
      <c r="AE1066" s="1728"/>
      <c r="AF1066" s="1728"/>
      <c r="AG1066" s="1728"/>
      <c r="AH1066" s="1728"/>
      <c r="AI1066" s="1728"/>
      <c r="AJ1066" s="1728"/>
      <c r="AK1066" s="172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728"/>
      <c r="E1067" s="1728"/>
      <c r="F1067" s="1728"/>
      <c r="G1067" s="1728"/>
      <c r="H1067" s="1728"/>
      <c r="I1067" s="1728"/>
      <c r="J1067" s="1728"/>
      <c r="K1067" s="1728"/>
      <c r="L1067" s="1728"/>
      <c r="M1067" s="1728"/>
      <c r="N1067" s="1728"/>
      <c r="O1067" s="1728"/>
      <c r="P1067" s="1728"/>
      <c r="Q1067" s="1728"/>
      <c r="R1067" s="1728"/>
      <c r="S1067" s="1728"/>
      <c r="T1067" s="1728"/>
      <c r="U1067" s="1728"/>
      <c r="V1067" s="1728"/>
      <c r="W1067" s="1728"/>
      <c r="X1067" s="1728"/>
      <c r="Y1067" s="1728"/>
      <c r="Z1067" s="1728"/>
      <c r="AA1067" s="1728"/>
      <c r="AB1067" s="1728"/>
      <c r="AC1067" s="1728"/>
      <c r="AD1067" s="1728"/>
      <c r="AE1067" s="1728"/>
      <c r="AF1067" s="1728"/>
      <c r="AG1067" s="1728"/>
      <c r="AH1067" s="1728"/>
      <c r="AI1067" s="1728"/>
      <c r="AJ1067" s="1728"/>
      <c r="AK1067" s="1728"/>
    </row>
    <row r="1068" spans="1:96" ht="12.6" customHeight="1">
      <c r="A1068" s="235"/>
      <c r="B1068" s="235"/>
      <c r="C1068" s="13"/>
      <c r="D1068" s="1728"/>
      <c r="E1068" s="1728"/>
      <c r="F1068" s="1728"/>
      <c r="G1068" s="1728"/>
      <c r="H1068" s="1728"/>
      <c r="I1068" s="1728"/>
      <c r="J1068" s="1728"/>
      <c r="K1068" s="1728"/>
      <c r="L1068" s="1728"/>
      <c r="M1068" s="1728"/>
      <c r="N1068" s="1728"/>
      <c r="O1068" s="1728"/>
      <c r="P1068" s="1728"/>
      <c r="Q1068" s="1728"/>
      <c r="R1068" s="1728"/>
      <c r="S1068" s="1728"/>
      <c r="T1068" s="1728"/>
      <c r="U1068" s="1728"/>
      <c r="V1068" s="1728"/>
      <c r="W1068" s="1728"/>
      <c r="X1068" s="1728"/>
      <c r="Y1068" s="1728"/>
      <c r="Z1068" s="1728"/>
      <c r="AA1068" s="1728"/>
      <c r="AB1068" s="1728"/>
      <c r="AC1068" s="1728"/>
      <c r="AD1068" s="1728"/>
      <c r="AE1068" s="1728"/>
      <c r="AF1068" s="1728"/>
      <c r="AG1068" s="1728"/>
      <c r="AH1068" s="1728"/>
      <c r="AI1068" s="1728"/>
      <c r="AJ1068" s="1728"/>
      <c r="AK1068" s="1728"/>
    </row>
    <row r="1069" spans="1:96" ht="12.6" customHeight="1">
      <c r="A1069" s="235"/>
      <c r="B1069" s="235"/>
      <c r="C1069" s="13"/>
      <c r="D1069" s="1728"/>
      <c r="E1069" s="1728"/>
      <c r="F1069" s="1728"/>
      <c r="G1069" s="1728"/>
      <c r="H1069" s="1728"/>
      <c r="I1069" s="1728"/>
      <c r="J1069" s="1728"/>
      <c r="K1069" s="1728"/>
      <c r="L1069" s="1728"/>
      <c r="M1069" s="1728"/>
      <c r="N1069" s="1728"/>
      <c r="O1069" s="1728"/>
      <c r="P1069" s="1728"/>
      <c r="Q1069" s="1728"/>
      <c r="R1069" s="1728"/>
      <c r="S1069" s="1728"/>
      <c r="T1069" s="1728"/>
      <c r="U1069" s="1728"/>
      <c r="V1069" s="1728"/>
      <c r="W1069" s="1728"/>
      <c r="X1069" s="1728"/>
      <c r="Y1069" s="1728"/>
      <c r="Z1069" s="1728"/>
      <c r="AA1069" s="1728"/>
      <c r="AB1069" s="1728"/>
      <c r="AC1069" s="1728"/>
      <c r="AD1069" s="1728"/>
      <c r="AE1069" s="1728"/>
      <c r="AF1069" s="1728"/>
      <c r="AG1069" s="1728"/>
      <c r="AH1069" s="1728"/>
      <c r="AI1069" s="1728"/>
      <c r="AJ1069" s="1728"/>
      <c r="AK1069" s="1728"/>
      <c r="AL1069" s="674"/>
    </row>
    <row r="1070" spans="1:96" ht="12.6" customHeight="1">
      <c r="A1070" s="62"/>
      <c r="B1070" s="66"/>
      <c r="C1070" s="13"/>
      <c r="D1070" s="1728"/>
      <c r="E1070" s="1728"/>
      <c r="F1070" s="1728"/>
      <c r="G1070" s="1728"/>
      <c r="H1070" s="1728"/>
      <c r="I1070" s="1728"/>
      <c r="J1070" s="1728"/>
      <c r="K1070" s="1728"/>
      <c r="L1070" s="1728"/>
      <c r="M1070" s="1728"/>
      <c r="N1070" s="1728"/>
      <c r="O1070" s="1728"/>
      <c r="P1070" s="1728"/>
      <c r="Q1070" s="1728"/>
      <c r="R1070" s="1728"/>
      <c r="S1070" s="1728"/>
      <c r="T1070" s="1728"/>
      <c r="U1070" s="1728"/>
      <c r="V1070" s="1728"/>
      <c r="W1070" s="1728"/>
      <c r="X1070" s="1728"/>
      <c r="Y1070" s="1728"/>
      <c r="Z1070" s="1728"/>
      <c r="AA1070" s="1728"/>
      <c r="AB1070" s="1728"/>
      <c r="AC1070" s="1728"/>
      <c r="AD1070" s="1728"/>
      <c r="AE1070" s="1728"/>
      <c r="AF1070" s="1728"/>
      <c r="AG1070" s="1728"/>
      <c r="AH1070" s="1728"/>
      <c r="AI1070" s="1728"/>
      <c r="AJ1070" s="1728"/>
      <c r="AK1070" s="1728"/>
    </row>
    <row r="1071" spans="1:96" ht="12.6" customHeight="1">
      <c r="A1071" s="1886" t="s">
        <v>616</v>
      </c>
      <c r="B1071" s="1886"/>
      <c r="C1071" s="13">
        <v>6</v>
      </c>
      <c r="D1071" s="1728" t="s">
        <v>1174</v>
      </c>
      <c r="E1071" s="1728"/>
      <c r="F1071" s="1728"/>
      <c r="G1071" s="1728"/>
      <c r="H1071" s="1728"/>
      <c r="I1071" s="1728"/>
      <c r="J1071" s="1728"/>
      <c r="K1071" s="1728"/>
      <c r="L1071" s="1728"/>
      <c r="M1071" s="1728"/>
      <c r="N1071" s="1728"/>
      <c r="O1071" s="1728"/>
      <c r="P1071" s="1728"/>
      <c r="Q1071" s="1728"/>
      <c r="R1071" s="1728"/>
      <c r="S1071" s="1728"/>
      <c r="T1071" s="1728"/>
      <c r="U1071" s="1728"/>
      <c r="V1071" s="1728"/>
      <c r="W1071" s="1728"/>
      <c r="X1071" s="1728"/>
      <c r="Y1071" s="1728"/>
      <c r="Z1071" s="1728"/>
      <c r="AA1071" s="1728"/>
      <c r="AB1071" s="1728"/>
      <c r="AC1071" s="1728"/>
      <c r="AD1071" s="1728"/>
      <c r="AE1071" s="1728"/>
      <c r="AF1071" s="1728"/>
      <c r="AG1071" s="1728"/>
      <c r="AH1071" s="1728"/>
      <c r="AI1071" s="1728"/>
      <c r="AJ1071" s="1728"/>
      <c r="AK1071" s="1728"/>
    </row>
    <row r="1072" spans="1:96" ht="12.6" customHeight="1">
      <c r="A1072" s="62"/>
      <c r="B1072" s="317"/>
      <c r="C1072" s="13"/>
      <c r="D1072" s="1728"/>
      <c r="E1072" s="1728"/>
      <c r="F1072" s="1728"/>
      <c r="G1072" s="1728"/>
      <c r="H1072" s="1728"/>
      <c r="I1072" s="1728"/>
      <c r="J1072" s="1728"/>
      <c r="K1072" s="1728"/>
      <c r="L1072" s="1728"/>
      <c r="M1072" s="1728"/>
      <c r="N1072" s="1728"/>
      <c r="O1072" s="1728"/>
      <c r="P1072" s="1728"/>
      <c r="Q1072" s="1728"/>
      <c r="R1072" s="1728"/>
      <c r="S1072" s="1728"/>
      <c r="T1072" s="1728"/>
      <c r="U1072" s="1728"/>
      <c r="V1072" s="1728"/>
      <c r="W1072" s="1728"/>
      <c r="X1072" s="1728"/>
      <c r="Y1072" s="1728"/>
      <c r="Z1072" s="1728"/>
      <c r="AA1072" s="1728"/>
      <c r="AB1072" s="1728"/>
      <c r="AC1072" s="1728"/>
      <c r="AD1072" s="1728"/>
      <c r="AE1072" s="1728"/>
      <c r="AF1072" s="1728"/>
      <c r="AG1072" s="1728"/>
      <c r="AH1072" s="1728"/>
      <c r="AI1072" s="1728"/>
      <c r="AJ1072" s="1728"/>
      <c r="AK1072" s="1728"/>
    </row>
    <row r="1073" spans="1:96" ht="12.6" customHeight="1">
      <c r="A1073" s="62"/>
      <c r="B1073" s="66"/>
      <c r="C1073" s="13"/>
      <c r="D1073" s="1728"/>
      <c r="E1073" s="1728"/>
      <c r="F1073" s="1728"/>
      <c r="G1073" s="1728"/>
      <c r="H1073" s="1728"/>
      <c r="I1073" s="1728"/>
      <c r="J1073" s="1728"/>
      <c r="K1073" s="1728"/>
      <c r="L1073" s="1728"/>
      <c r="M1073" s="1728"/>
      <c r="N1073" s="1728"/>
      <c r="O1073" s="1728"/>
      <c r="P1073" s="1728"/>
      <c r="Q1073" s="1728"/>
      <c r="R1073" s="1728"/>
      <c r="S1073" s="1728"/>
      <c r="T1073" s="1728"/>
      <c r="U1073" s="1728"/>
      <c r="V1073" s="1728"/>
      <c r="W1073" s="1728"/>
      <c r="X1073" s="1728"/>
      <c r="Y1073" s="1728"/>
      <c r="Z1073" s="1728"/>
      <c r="AA1073" s="1728"/>
      <c r="AB1073" s="1728"/>
      <c r="AC1073" s="1728"/>
      <c r="AD1073" s="1728"/>
      <c r="AE1073" s="1728"/>
      <c r="AF1073" s="1728"/>
      <c r="AG1073" s="1728"/>
      <c r="AH1073" s="1728"/>
      <c r="AI1073" s="1728"/>
      <c r="AJ1073" s="1728"/>
      <c r="AK1073" s="1728"/>
    </row>
    <row r="1074" spans="1:96" ht="12.6" customHeight="1">
      <c r="A1074" s="1886" t="s">
        <v>616</v>
      </c>
      <c r="B1074" s="1886"/>
      <c r="C1074" s="318">
        <v>7</v>
      </c>
      <c r="D1074" s="1728" t="s">
        <v>1176</v>
      </c>
      <c r="E1074" s="1728"/>
      <c r="F1074" s="1728"/>
      <c r="G1074" s="1728"/>
      <c r="H1074" s="1728"/>
      <c r="I1074" s="1728"/>
      <c r="J1074" s="1728"/>
      <c r="K1074" s="1728"/>
      <c r="L1074" s="1728"/>
      <c r="M1074" s="1728"/>
      <c r="N1074" s="1728"/>
      <c r="O1074" s="1728"/>
      <c r="P1074" s="1728"/>
      <c r="Q1074" s="1728"/>
      <c r="R1074" s="1728"/>
      <c r="S1074" s="1728"/>
      <c r="T1074" s="1728"/>
      <c r="U1074" s="1728"/>
      <c r="V1074" s="1728"/>
      <c r="W1074" s="1728"/>
      <c r="X1074" s="1728"/>
      <c r="Y1074" s="1728"/>
      <c r="Z1074" s="1728"/>
      <c r="AA1074" s="1728"/>
      <c r="AB1074" s="1728"/>
      <c r="AC1074" s="1728"/>
      <c r="AD1074" s="1728"/>
      <c r="AE1074" s="1728"/>
      <c r="AF1074" s="1728"/>
      <c r="AG1074" s="1728"/>
      <c r="AH1074" s="1728"/>
      <c r="AI1074" s="1728"/>
      <c r="AJ1074" s="1728"/>
      <c r="AK1074" s="1728"/>
      <c r="AL1074" s="32"/>
      <c r="AM1074" s="934"/>
      <c r="AN1074" s="934"/>
      <c r="AO1074" s="934"/>
      <c r="AP1074" s="934"/>
      <c r="AQ1074" s="934"/>
      <c r="AR1074" s="934"/>
      <c r="AS1074" s="934"/>
      <c r="AT1074" s="934"/>
      <c r="AU1074" s="934"/>
      <c r="AV1074" s="934"/>
      <c r="AW1074" s="934"/>
      <c r="AX1074" s="934"/>
      <c r="AY1074" s="934"/>
    </row>
    <row r="1075" spans="1:96" ht="12.6" customHeight="1">
      <c r="A1075" s="235"/>
      <c r="B1075" s="235"/>
      <c r="C1075" s="319"/>
      <c r="D1075" s="1728"/>
      <c r="E1075" s="1728"/>
      <c r="F1075" s="1728"/>
      <c r="G1075" s="1728"/>
      <c r="H1075" s="1728"/>
      <c r="I1075" s="1728"/>
      <c r="J1075" s="1728"/>
      <c r="K1075" s="1728"/>
      <c r="L1075" s="1728"/>
      <c r="M1075" s="1728"/>
      <c r="N1075" s="1728"/>
      <c r="O1075" s="1728"/>
      <c r="P1075" s="1728"/>
      <c r="Q1075" s="1728"/>
      <c r="R1075" s="1728"/>
      <c r="S1075" s="1728"/>
      <c r="T1075" s="1728"/>
      <c r="U1075" s="1728"/>
      <c r="V1075" s="1728"/>
      <c r="W1075" s="1728"/>
      <c r="X1075" s="1728"/>
      <c r="Y1075" s="1728"/>
      <c r="Z1075" s="1728"/>
      <c r="AA1075" s="1728"/>
      <c r="AB1075" s="1728"/>
      <c r="AC1075" s="1728"/>
      <c r="AD1075" s="1728"/>
      <c r="AE1075" s="1728"/>
      <c r="AF1075" s="1728"/>
      <c r="AG1075" s="1728"/>
      <c r="AH1075" s="1728"/>
      <c r="AI1075" s="1728"/>
      <c r="AJ1075" s="1728"/>
      <c r="AK1075" s="1728"/>
    </row>
    <row r="1076" spans="1:96" ht="12.6" customHeight="1">
      <c r="A1076" s="235"/>
      <c r="B1076" s="235"/>
      <c r="C1076" s="319"/>
      <c r="D1076" s="1728"/>
      <c r="E1076" s="1728"/>
      <c r="F1076" s="1728"/>
      <c r="G1076" s="1728"/>
      <c r="H1076" s="1728"/>
      <c r="I1076" s="1728"/>
      <c r="J1076" s="1728"/>
      <c r="K1076" s="1728"/>
      <c r="L1076" s="1728"/>
      <c r="M1076" s="1728"/>
      <c r="N1076" s="1728"/>
      <c r="O1076" s="1728"/>
      <c r="P1076" s="1728"/>
      <c r="Q1076" s="1728"/>
      <c r="R1076" s="1728"/>
      <c r="S1076" s="1728"/>
      <c r="T1076" s="1728"/>
      <c r="U1076" s="1728"/>
      <c r="V1076" s="1728"/>
      <c r="W1076" s="1728"/>
      <c r="X1076" s="1728"/>
      <c r="Y1076" s="1728"/>
      <c r="Z1076" s="1728"/>
      <c r="AA1076" s="1728"/>
      <c r="AB1076" s="1728"/>
      <c r="AC1076" s="1728"/>
      <c r="AD1076" s="1728"/>
      <c r="AE1076" s="1728"/>
      <c r="AF1076" s="1728"/>
      <c r="AG1076" s="1728"/>
      <c r="AH1076" s="1728"/>
      <c r="AI1076" s="1728"/>
      <c r="AJ1076" s="1728"/>
      <c r="AK1076" s="1728"/>
    </row>
    <row r="1077" spans="1:96" s="674" customFormat="1" ht="12.6" customHeight="1">
      <c r="A1077" s="62"/>
      <c r="B1077" s="66"/>
      <c r="C1077" s="318"/>
      <c r="D1077" s="1728"/>
      <c r="E1077" s="1728"/>
      <c r="F1077" s="1728"/>
      <c r="G1077" s="1728"/>
      <c r="H1077" s="1728"/>
      <c r="I1077" s="1728"/>
      <c r="J1077" s="1728"/>
      <c r="K1077" s="1728"/>
      <c r="L1077" s="1728"/>
      <c r="M1077" s="1728"/>
      <c r="N1077" s="1728"/>
      <c r="O1077" s="1728"/>
      <c r="P1077" s="1728"/>
      <c r="Q1077" s="1728"/>
      <c r="R1077" s="1728"/>
      <c r="S1077" s="1728"/>
      <c r="T1077" s="1728"/>
      <c r="U1077" s="1728"/>
      <c r="V1077" s="1728"/>
      <c r="W1077" s="1728"/>
      <c r="X1077" s="1728"/>
      <c r="Y1077" s="1728"/>
      <c r="Z1077" s="1728"/>
      <c r="AA1077" s="1728"/>
      <c r="AB1077" s="1728"/>
      <c r="AC1077" s="1728"/>
      <c r="AD1077" s="1728"/>
      <c r="AE1077" s="1728"/>
      <c r="AF1077" s="1728"/>
      <c r="AG1077" s="1728"/>
      <c r="AH1077" s="1728"/>
      <c r="AI1077" s="1728"/>
      <c r="AJ1077" s="1728"/>
      <c r="AK1077" s="1728"/>
      <c r="AL1077" s="12"/>
      <c r="AM1077" s="39"/>
      <c r="AN1077" s="39"/>
      <c r="AO1077" s="39"/>
      <c r="AP1077" s="39"/>
      <c r="AQ1077" s="39"/>
      <c r="AR1077" s="39"/>
      <c r="AS1077" s="39"/>
      <c r="AT1077" s="39"/>
      <c r="AU1077" s="39"/>
      <c r="AV1077" s="39"/>
      <c r="AW1077" s="39"/>
      <c r="AX1077" s="39"/>
      <c r="AY1077" s="39"/>
      <c r="CR1077" s="25"/>
    </row>
    <row r="1078" spans="1:96" ht="12.6" customHeight="1">
      <c r="A1078" s="1886" t="s">
        <v>616</v>
      </c>
      <c r="B1078" s="1886"/>
      <c r="C1078" s="318">
        <v>8</v>
      </c>
      <c r="D1078" s="2249" t="s">
        <v>1990</v>
      </c>
      <c r="E1078" s="2249"/>
      <c r="F1078" s="2249"/>
      <c r="G1078" s="2249"/>
      <c r="H1078" s="2249"/>
      <c r="I1078" s="2249"/>
      <c r="J1078" s="2249"/>
      <c r="K1078" s="2249"/>
      <c r="L1078" s="2249"/>
      <c r="M1078" s="2249"/>
      <c r="N1078" s="2249"/>
      <c r="O1078" s="2249"/>
      <c r="P1078" s="2249"/>
      <c r="Q1078" s="2249"/>
      <c r="R1078" s="2249"/>
      <c r="S1078" s="2249"/>
      <c r="T1078" s="2249"/>
      <c r="U1078" s="2249"/>
      <c r="V1078" s="2249"/>
      <c r="W1078" s="2249"/>
      <c r="X1078" s="2249"/>
      <c r="Y1078" s="2249"/>
      <c r="Z1078" s="2249"/>
      <c r="AA1078" s="2249"/>
      <c r="AB1078" s="2249"/>
      <c r="AC1078" s="2249"/>
      <c r="AD1078" s="2249"/>
      <c r="AE1078" s="2249"/>
      <c r="AF1078" s="2249"/>
      <c r="AG1078" s="2249"/>
      <c r="AH1078" s="2249"/>
      <c r="AI1078" s="2249"/>
      <c r="AJ1078" s="2249"/>
      <c r="AK1078" s="2249"/>
    </row>
    <row r="1079" spans="1:96" ht="12.6" customHeight="1">
      <c r="A1079" s="235"/>
      <c r="B1079" s="235"/>
      <c r="C1079" s="318"/>
      <c r="D1079" s="2249"/>
      <c r="E1079" s="2249"/>
      <c r="F1079" s="2249"/>
      <c r="G1079" s="2249"/>
      <c r="H1079" s="2249"/>
      <c r="I1079" s="2249"/>
      <c r="J1079" s="2249"/>
      <c r="K1079" s="2249"/>
      <c r="L1079" s="2249"/>
      <c r="M1079" s="2249"/>
      <c r="N1079" s="2249"/>
      <c r="O1079" s="2249"/>
      <c r="P1079" s="2249"/>
      <c r="Q1079" s="2249"/>
      <c r="R1079" s="2249"/>
      <c r="S1079" s="2249"/>
      <c r="T1079" s="2249"/>
      <c r="U1079" s="2249"/>
      <c r="V1079" s="2249"/>
      <c r="W1079" s="2249"/>
      <c r="X1079" s="2249"/>
      <c r="Y1079" s="2249"/>
      <c r="Z1079" s="2249"/>
      <c r="AA1079" s="2249"/>
      <c r="AB1079" s="2249"/>
      <c r="AC1079" s="2249"/>
      <c r="AD1079" s="2249"/>
      <c r="AE1079" s="2249"/>
      <c r="AF1079" s="2249"/>
      <c r="AG1079" s="2249"/>
      <c r="AH1079" s="2249"/>
      <c r="AI1079" s="2249"/>
      <c r="AJ1079" s="2249"/>
      <c r="AK1079" s="2249"/>
    </row>
    <row r="1080" spans="1:96" ht="12.6" customHeight="1">
      <c r="A1080" s="235"/>
      <c r="B1080" s="235"/>
      <c r="C1080" s="318"/>
      <c r="D1080" s="2249"/>
      <c r="E1080" s="2249"/>
      <c r="F1080" s="2249"/>
      <c r="G1080" s="2249"/>
      <c r="H1080" s="2249"/>
      <c r="I1080" s="2249"/>
      <c r="J1080" s="2249"/>
      <c r="K1080" s="2249"/>
      <c r="L1080" s="2249"/>
      <c r="M1080" s="2249"/>
      <c r="N1080" s="2249"/>
      <c r="O1080" s="2249"/>
      <c r="P1080" s="2249"/>
      <c r="Q1080" s="2249"/>
      <c r="R1080" s="2249"/>
      <c r="S1080" s="2249"/>
      <c r="T1080" s="2249"/>
      <c r="U1080" s="2249"/>
      <c r="V1080" s="2249"/>
      <c r="W1080" s="2249"/>
      <c r="X1080" s="2249"/>
      <c r="Y1080" s="2249"/>
      <c r="Z1080" s="2249"/>
      <c r="AA1080" s="2249"/>
      <c r="AB1080" s="2249"/>
      <c r="AC1080" s="2249"/>
      <c r="AD1080" s="2249"/>
      <c r="AE1080" s="2249"/>
      <c r="AF1080" s="2249"/>
      <c r="AG1080" s="2249"/>
      <c r="AH1080" s="2249"/>
      <c r="AI1080" s="2249"/>
      <c r="AJ1080" s="2249"/>
      <c r="AK1080" s="2249"/>
      <c r="AL1080" s="674"/>
    </row>
    <row r="1081" spans="1:96" ht="12" customHeight="1">
      <c r="A1081" s="62"/>
      <c r="B1081" s="66"/>
      <c r="C1081" s="318"/>
      <c r="D1081" s="2249"/>
      <c r="E1081" s="2249"/>
      <c r="F1081" s="2249"/>
      <c r="G1081" s="2249"/>
      <c r="H1081" s="2249"/>
      <c r="I1081" s="2249"/>
      <c r="J1081" s="2249"/>
      <c r="K1081" s="2249"/>
      <c r="L1081" s="2249"/>
      <c r="M1081" s="2249"/>
      <c r="N1081" s="2249"/>
      <c r="O1081" s="2249"/>
      <c r="P1081" s="2249"/>
      <c r="Q1081" s="2249"/>
      <c r="R1081" s="2249"/>
      <c r="S1081" s="2249"/>
      <c r="T1081" s="2249"/>
      <c r="U1081" s="2249"/>
      <c r="V1081" s="2249"/>
      <c r="W1081" s="2249"/>
      <c r="X1081" s="2249"/>
      <c r="Y1081" s="2249"/>
      <c r="Z1081" s="2249"/>
      <c r="AA1081" s="2249"/>
      <c r="AB1081" s="2249"/>
      <c r="AC1081" s="2249"/>
      <c r="AD1081" s="2249"/>
      <c r="AE1081" s="2249"/>
      <c r="AF1081" s="2249"/>
      <c r="AG1081" s="2249"/>
      <c r="AH1081" s="2249"/>
      <c r="AI1081" s="2249"/>
      <c r="AJ1081" s="2249"/>
      <c r="AK1081" s="2249"/>
    </row>
    <row r="1082" spans="1:96" ht="12.6" customHeight="1">
      <c r="A1082" s="1886" t="s">
        <v>616</v>
      </c>
      <c r="B1082" s="1886"/>
      <c r="C1082" s="318">
        <v>9</v>
      </c>
      <c r="D1082" s="1728" t="s">
        <v>1175</v>
      </c>
      <c r="E1082" s="1728"/>
      <c r="F1082" s="1728"/>
      <c r="G1082" s="1728"/>
      <c r="H1082" s="1728"/>
      <c r="I1082" s="1728"/>
      <c r="J1082" s="1728"/>
      <c r="K1082" s="1728"/>
      <c r="L1082" s="1728"/>
      <c r="M1082" s="1728"/>
      <c r="N1082" s="1728"/>
      <c r="O1082" s="1728"/>
      <c r="P1082" s="1728"/>
      <c r="Q1082" s="1728"/>
      <c r="R1082" s="1728"/>
      <c r="S1082" s="1728"/>
      <c r="T1082" s="1728"/>
      <c r="U1082" s="1728"/>
      <c r="V1082" s="1728"/>
      <c r="W1082" s="1728"/>
      <c r="X1082" s="1728"/>
      <c r="Y1082" s="1728"/>
      <c r="Z1082" s="1728"/>
      <c r="AA1082" s="1728"/>
      <c r="AB1082" s="1728"/>
      <c r="AC1082" s="1728"/>
      <c r="AD1082" s="1728"/>
      <c r="AE1082" s="1728"/>
      <c r="AF1082" s="1728"/>
      <c r="AG1082" s="1728"/>
      <c r="AH1082" s="1728"/>
      <c r="AI1082" s="1728"/>
      <c r="AJ1082" s="1728"/>
      <c r="AK1082" s="1728"/>
    </row>
    <row r="1083" spans="1:96" ht="15" customHeight="1">
      <c r="A1083" s="62"/>
      <c r="B1083" s="66"/>
      <c r="C1083" s="318"/>
      <c r="D1083" s="1728"/>
      <c r="E1083" s="1728"/>
      <c r="F1083" s="1728"/>
      <c r="G1083" s="1728"/>
      <c r="H1083" s="1728"/>
      <c r="I1083" s="1728"/>
      <c r="J1083" s="1728"/>
      <c r="K1083" s="1728"/>
      <c r="L1083" s="1728"/>
      <c r="M1083" s="1728"/>
      <c r="N1083" s="1728"/>
      <c r="O1083" s="1728"/>
      <c r="P1083" s="1728"/>
      <c r="Q1083" s="1728"/>
      <c r="R1083" s="1728"/>
      <c r="S1083" s="1728"/>
      <c r="T1083" s="1728"/>
      <c r="U1083" s="1728"/>
      <c r="V1083" s="1728"/>
      <c r="W1083" s="1728"/>
      <c r="X1083" s="1728"/>
      <c r="Y1083" s="1728"/>
      <c r="Z1083" s="1728"/>
      <c r="AA1083" s="1728"/>
      <c r="AB1083" s="1728"/>
      <c r="AC1083" s="1728"/>
      <c r="AD1083" s="1728"/>
      <c r="AE1083" s="1728"/>
      <c r="AF1083" s="1728"/>
      <c r="AG1083" s="1728"/>
      <c r="AH1083" s="1728"/>
      <c r="AI1083" s="1728"/>
      <c r="AJ1083" s="1728"/>
      <c r="AK1083" s="1728"/>
    </row>
    <row r="1084" spans="1:96" ht="15" customHeight="1">
      <c r="D1084" s="1728"/>
      <c r="E1084" s="1728"/>
      <c r="F1084" s="1728"/>
      <c r="G1084" s="1728"/>
      <c r="H1084" s="1728"/>
      <c r="I1084" s="1728"/>
      <c r="J1084" s="1728"/>
      <c r="K1084" s="1728"/>
      <c r="L1084" s="1728"/>
      <c r="M1084" s="1728"/>
      <c r="N1084" s="1728"/>
      <c r="O1084" s="1728"/>
      <c r="P1084" s="1728"/>
      <c r="Q1084" s="1728"/>
      <c r="R1084" s="1728"/>
      <c r="S1084" s="1728"/>
      <c r="T1084" s="1728"/>
      <c r="U1084" s="1728"/>
      <c r="V1084" s="1728"/>
      <c r="W1084" s="1728"/>
      <c r="X1084" s="1728"/>
      <c r="Y1084" s="1728"/>
      <c r="Z1084" s="1728"/>
      <c r="AA1084" s="1728"/>
      <c r="AB1084" s="1728"/>
      <c r="AC1084" s="1728"/>
      <c r="AD1084" s="1728"/>
      <c r="AE1084" s="1728"/>
      <c r="AF1084" s="1728"/>
      <c r="AG1084" s="1728"/>
      <c r="AH1084" s="1728"/>
      <c r="AI1084" s="1728"/>
      <c r="AJ1084" s="1728"/>
      <c r="AK1084" s="1728"/>
    </row>
    <row r="1085" spans="1:96" ht="15" customHeight="1"/>
    <row r="1086" spans="1:96" ht="15" hidden="1" customHeight="1"/>
    <row r="1087" spans="1:96" ht="15" hidden="1" customHeight="1"/>
  </sheetData>
  <sheetProtection algorithmName="SHA-512" hashValue="p5h2QKTb06iGQ32tpHb7y79jydMWe/5mml8E6ztZRiJnxGUTgpp1d/TOA5LKALMm2psvGFX0ZG4MW3c99kCs3Q==" saltValue="2L2PwiNlPLqeDl4TI5yml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57" priority="4" stopIfTrue="1" operator="equal">
      <formula>"Please Enter Amount:"</formula>
    </cfRule>
  </conditionalFormatting>
  <conditionalFormatting sqref="AJ1024">
    <cfRule type="cellIs" dxfId="156" priority="7" stopIfTrue="1" operator="equal">
      <formula>"#DIV/0!"</formula>
    </cfRule>
  </conditionalFormatting>
  <conditionalFormatting sqref="AG440:AJ440">
    <cfRule type="expression" dxfId="155" priority="8" stopIfTrue="1">
      <formula>"iserror(d31)"</formula>
    </cfRule>
  </conditionalFormatting>
  <conditionalFormatting sqref="AF1012">
    <cfRule type="cellIs" dxfId="154" priority="2" stopIfTrue="1" operator="equal">
      <formula>"Please Enter Amount:"</formula>
    </cfRule>
  </conditionalFormatting>
  <conditionalFormatting sqref="AF1005">
    <cfRule type="cellIs" dxfId="15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 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D84" activePane="bottomRight" state="frozen"/>
      <selection pane="topRight" activeCell="D1" sqref="D1"/>
      <selection pane="bottomLeft" activeCell="A4" sqref="A4"/>
      <selection pane="bottomRight" activeCell="M13" sqref="M13"/>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573</v>
      </c>
      <c r="B1" s="189"/>
      <c r="C1" s="189"/>
      <c r="D1" s="189"/>
      <c r="E1" s="190"/>
      <c r="F1" s="2426" t="s">
        <v>646</v>
      </c>
      <c r="G1" s="2427"/>
      <c r="H1" s="2427"/>
      <c r="I1" s="2427"/>
      <c r="J1" s="2427"/>
      <c r="K1" s="2427"/>
      <c r="L1" s="2427"/>
      <c r="M1" s="2427"/>
      <c r="N1" s="2427"/>
      <c r="O1" s="2427"/>
      <c r="P1" s="2427"/>
      <c r="Q1" s="2427"/>
      <c r="R1" s="2428"/>
      <c r="S1" s="168"/>
      <c r="T1" s="167"/>
      <c r="U1" s="169"/>
    </row>
    <row r="2" spans="1:21" s="208" customFormat="1" ht="71.25" customHeight="1">
      <c r="A2" s="207"/>
      <c r="B2" s="208" t="s">
        <v>24</v>
      </c>
      <c r="C2" s="208" t="s">
        <v>388</v>
      </c>
      <c r="D2" s="208" t="s">
        <v>387</v>
      </c>
      <c r="E2" s="208" t="s">
        <v>25</v>
      </c>
      <c r="F2" s="209" t="str">
        <f>Application!B637&amp;Application!C637</f>
        <v>1)Tax-Exempt Perm Loan</v>
      </c>
      <c r="G2" s="209" t="str">
        <f>Application!B638&amp;Application!C638</f>
        <v>2)HCD AHSC</v>
      </c>
      <c r="H2" s="209" t="str">
        <f>Application!B639&amp;Application!C639</f>
        <v>3)SF MOHCD (committed)</v>
      </c>
      <c r="I2" s="209" t="str">
        <f>Application!B640&amp;Application!C640</f>
        <v>4)SF MOHCD (uncommitted)</v>
      </c>
      <c r="J2" s="209" t="str">
        <f>Application!B641&amp;Application!C641</f>
        <v>5)FHLB AHP</v>
      </c>
      <c r="K2" s="209" t="str">
        <f>Application!B642&amp;Application!C642</f>
        <v>6)GGRC Loan</v>
      </c>
      <c r="L2" s="209" t="str">
        <f>Application!B643&amp;Application!C643</f>
        <v>7)The Kelsey Sponsor Loan</v>
      </c>
      <c r="M2" s="209" t="str">
        <f>Application!B644&amp;Application!C644</f>
        <v>8)Kelsey Commercial Space Purchase</v>
      </c>
      <c r="N2" s="209" t="str">
        <f>Application!B645&amp;Application!C645</f>
        <v>9)Accrued Interest on Soft Loans</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1">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25000</v>
      </c>
      <c r="C6" s="1015">
        <v>24590</v>
      </c>
      <c r="D6" s="1015">
        <v>410</v>
      </c>
      <c r="E6" s="217">
        <f>B6-SUM(F6:Q6)</f>
        <v>24590</v>
      </c>
      <c r="F6" s="217"/>
      <c r="G6" s="217"/>
      <c r="H6" s="217"/>
      <c r="I6" s="217"/>
      <c r="J6" s="217"/>
      <c r="K6" s="217"/>
      <c r="L6" s="217"/>
      <c r="M6" s="217">
        <f>D6</f>
        <v>410</v>
      </c>
      <c r="N6" s="217"/>
      <c r="O6" s="217"/>
      <c r="P6" s="217"/>
      <c r="Q6" s="217"/>
      <c r="R6" s="871">
        <f>SUM(E6:Q6)</f>
        <v>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ht="12">
      <c r="A8" s="219" t="s">
        <v>618</v>
      </c>
      <c r="B8" s="216">
        <f>SUM(C8:D8)</f>
        <v>25000</v>
      </c>
      <c r="C8" s="216">
        <f t="shared" ref="C8:Q8" si="0">SUM(C4:C7)</f>
        <v>24590</v>
      </c>
      <c r="D8" s="216">
        <f t="shared" si="0"/>
        <v>410</v>
      </c>
      <c r="E8" s="216">
        <f t="shared" si="0"/>
        <v>24590</v>
      </c>
      <c r="F8" s="216">
        <f t="shared" si="0"/>
        <v>0</v>
      </c>
      <c r="G8" s="216">
        <f t="shared" si="0"/>
        <v>0</v>
      </c>
      <c r="H8" s="216">
        <f t="shared" si="0"/>
        <v>0</v>
      </c>
      <c r="I8" s="216">
        <f t="shared" si="0"/>
        <v>0</v>
      </c>
      <c r="J8" s="216">
        <f t="shared" si="0"/>
        <v>0</v>
      </c>
      <c r="K8" s="216">
        <f t="shared" si="0"/>
        <v>0</v>
      </c>
      <c r="L8" s="216">
        <f t="shared" si="0"/>
        <v>0</v>
      </c>
      <c r="M8" s="216">
        <f t="shared" si="0"/>
        <v>410</v>
      </c>
      <c r="N8" s="216">
        <f t="shared" si="0"/>
        <v>0</v>
      </c>
      <c r="O8" s="216">
        <f t="shared" si="0"/>
        <v>0</v>
      </c>
      <c r="P8" s="216"/>
      <c r="Q8" s="216">
        <f t="shared" si="0"/>
        <v>0</v>
      </c>
      <c r="R8" s="527">
        <f>SUM(R4:R7)</f>
        <v>25000</v>
      </c>
      <c r="S8" s="218"/>
      <c r="T8" s="218"/>
      <c r="U8" s="213"/>
    </row>
    <row r="9" spans="1:21" s="214" customFormat="1">
      <c r="A9" s="215" t="s">
        <v>619</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620</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ht="12">
      <c r="A11" s="219" t="s">
        <v>621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ht="12">
      <c r="A12" s="219" t="s">
        <v>89</v>
      </c>
      <c r="B12" s="216">
        <f t="shared" ref="B12:Q12" si="2">SUM(B8+B11)</f>
        <v>25000</v>
      </c>
      <c r="C12" s="216">
        <f t="shared" si="2"/>
        <v>24590</v>
      </c>
      <c r="D12" s="216">
        <f t="shared" si="2"/>
        <v>410</v>
      </c>
      <c r="E12" s="216">
        <f t="shared" si="2"/>
        <v>24590</v>
      </c>
      <c r="F12" s="216">
        <f t="shared" si="2"/>
        <v>0</v>
      </c>
      <c r="G12" s="216">
        <f t="shared" si="2"/>
        <v>0</v>
      </c>
      <c r="H12" s="216">
        <f t="shared" si="2"/>
        <v>0</v>
      </c>
      <c r="I12" s="216">
        <f t="shared" si="2"/>
        <v>0</v>
      </c>
      <c r="J12" s="216">
        <f t="shared" si="2"/>
        <v>0</v>
      </c>
      <c r="K12" s="216">
        <f t="shared" si="2"/>
        <v>0</v>
      </c>
      <c r="L12" s="216">
        <f t="shared" si="2"/>
        <v>0</v>
      </c>
      <c r="M12" s="216">
        <f t="shared" si="2"/>
        <v>410</v>
      </c>
      <c r="N12" s="216">
        <f t="shared" si="2"/>
        <v>0</v>
      </c>
      <c r="O12" s="216">
        <f t="shared" si="2"/>
        <v>0</v>
      </c>
      <c r="P12" s="216"/>
      <c r="Q12" s="216">
        <f t="shared" si="2"/>
        <v>0</v>
      </c>
      <c r="R12" s="527">
        <f>SUM(R8+R11)</f>
        <v>25000</v>
      </c>
      <c r="S12" s="218"/>
      <c r="T12" s="218"/>
      <c r="U12" s="213"/>
    </row>
    <row r="13" spans="1:21" s="214" customFormat="1">
      <c r="A13" s="446" t="s">
        <v>952</v>
      </c>
      <c r="B13" s="216">
        <f>SUM(C13+D13)</f>
        <v>0</v>
      </c>
      <c r="C13" s="1015"/>
      <c r="D13" s="1015"/>
      <c r="E13" s="217"/>
      <c r="F13" s="217"/>
      <c r="G13" s="217"/>
      <c r="H13" s="217"/>
      <c r="I13" s="217"/>
      <c r="J13" s="217"/>
      <c r="K13" s="217"/>
      <c r="L13" s="217"/>
      <c r="M13" s="217"/>
      <c r="N13" s="217"/>
      <c r="O13" s="217"/>
      <c r="P13" s="217"/>
      <c r="Q13" s="217"/>
      <c r="R13" s="871">
        <f>SUM(E13:Q13)</f>
        <v>0</v>
      </c>
      <c r="S13" s="217"/>
      <c r="T13" s="217"/>
      <c r="U13" s="213"/>
    </row>
    <row r="14" spans="1:21" s="214" customFormat="1" ht="22.8">
      <c r="A14" s="447" t="s">
        <v>1846</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1321</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623</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624</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625</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1843</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ht="12">
      <c r="A27" s="219" t="s">
        <v>146</v>
      </c>
      <c r="B27" s="216">
        <f>SUM(C27:D27)</f>
        <v>50000</v>
      </c>
      <c r="C27" s="1015">
        <v>49180</v>
      </c>
      <c r="D27" s="1015">
        <v>820</v>
      </c>
      <c r="E27" s="217">
        <f>B27-SUM(F27:Q27)</f>
        <v>49180</v>
      </c>
      <c r="F27" s="217"/>
      <c r="G27" s="217"/>
      <c r="H27" s="217"/>
      <c r="I27" s="217"/>
      <c r="J27" s="217"/>
      <c r="K27" s="217"/>
      <c r="L27" s="217"/>
      <c r="M27" s="217">
        <f>D27</f>
        <v>820</v>
      </c>
      <c r="N27" s="217"/>
      <c r="O27" s="217"/>
      <c r="P27" s="217"/>
      <c r="Q27" s="217"/>
      <c r="R27" s="871">
        <f t="shared" si="4"/>
        <v>50000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623</v>
      </c>
      <c r="B29" s="216">
        <f t="shared" ref="B29:B38" si="6">SUM(C29+D29)</f>
        <v>2118258</v>
      </c>
      <c r="C29" s="217">
        <v>2083518</v>
      </c>
      <c r="D29" s="217">
        <v>34740</v>
      </c>
      <c r="E29" s="217">
        <f t="shared" ref="E29:E33" si="7">B29-SUM(F29:Q29)</f>
        <v>2083518</v>
      </c>
      <c r="F29" s="217"/>
      <c r="G29" s="217"/>
      <c r="H29" s="217"/>
      <c r="I29" s="217"/>
      <c r="J29" s="217"/>
      <c r="K29" s="217"/>
      <c r="L29" s="217"/>
      <c r="M29" s="217">
        <f t="shared" ref="M29:M33" si="8">D29</f>
        <v>34740</v>
      </c>
      <c r="N29" s="217"/>
      <c r="O29" s="217"/>
      <c r="P29" s="217"/>
      <c r="Q29" s="217"/>
      <c r="R29" s="871">
        <f t="shared" ref="R29:R37" si="9">SUM(E29:Q29)</f>
        <v>2118258</v>
      </c>
      <c r="S29" s="217">
        <f>C29</f>
        <v>2083518</v>
      </c>
      <c r="T29" s="217"/>
      <c r="U29" s="213"/>
    </row>
    <row r="30" spans="1:21" s="214" customFormat="1">
      <c r="A30" s="215" t="s">
        <v>624</v>
      </c>
      <c r="B30" s="216">
        <f t="shared" si="6"/>
        <v>58833923</v>
      </c>
      <c r="C30" s="217">
        <v>57869023</v>
      </c>
      <c r="D30" s="217">
        <v>964900</v>
      </c>
      <c r="E30" s="217">
        <f t="shared" si="7"/>
        <v>11361584</v>
      </c>
      <c r="F30" s="217">
        <f>Application!AO637</f>
        <v>3103000</v>
      </c>
      <c r="G30" s="217">
        <f>Application!AO638</f>
        <v>20000000</v>
      </c>
      <c r="H30" s="217">
        <f>Application!AO639</f>
        <v>12150000</v>
      </c>
      <c r="I30" s="217">
        <f>Application!AO640</f>
        <v>7064139</v>
      </c>
      <c r="J30" s="217">
        <f>Application!AO641</f>
        <v>1000000</v>
      </c>
      <c r="K30" s="217">
        <f>Application!AO642</f>
        <v>1000000</v>
      </c>
      <c r="L30" s="217">
        <f>Application!AO643</f>
        <v>2190300</v>
      </c>
      <c r="M30" s="217">
        <f t="shared" si="8"/>
        <v>964900</v>
      </c>
      <c r="N30" s="217"/>
      <c r="O30" s="217"/>
      <c r="P30" s="217"/>
      <c r="Q30" s="217"/>
      <c r="R30" s="871">
        <f t="shared" si="9"/>
        <v>58833923</v>
      </c>
      <c r="S30" s="217">
        <f t="shared" ref="S30:S33" si="10">C30</f>
        <v>57869023</v>
      </c>
      <c r="T30" s="217"/>
      <c r="U30" s="213"/>
    </row>
    <row r="31" spans="1:21" s="214" customFormat="1">
      <c r="A31" s="215" t="s">
        <v>625</v>
      </c>
      <c r="B31" s="216">
        <f t="shared" si="6"/>
        <v>2799048</v>
      </c>
      <c r="C31" s="217">
        <v>2753142</v>
      </c>
      <c r="D31" s="217">
        <v>45906</v>
      </c>
      <c r="E31" s="217">
        <f t="shared" si="7"/>
        <v>2753142</v>
      </c>
      <c r="F31" s="217"/>
      <c r="G31" s="217"/>
      <c r="H31" s="217"/>
      <c r="I31" s="217"/>
      <c r="J31" s="217"/>
      <c r="K31" s="217"/>
      <c r="L31" s="217"/>
      <c r="M31" s="217">
        <f t="shared" si="8"/>
        <v>45906</v>
      </c>
      <c r="N31" s="217"/>
      <c r="O31" s="217"/>
      <c r="P31" s="217"/>
      <c r="Q31" s="217"/>
      <c r="R31" s="871">
        <f t="shared" si="9"/>
        <v>2799048</v>
      </c>
      <c r="S31" s="217">
        <f t="shared" si="10"/>
        <v>2753142</v>
      </c>
      <c r="T31" s="217"/>
      <c r="U31" s="213"/>
    </row>
    <row r="32" spans="1:21" s="214" customFormat="1">
      <c r="A32" s="215" t="s">
        <v>142</v>
      </c>
      <c r="B32" s="216">
        <f t="shared" si="6"/>
        <v>2105063</v>
      </c>
      <c r="C32" s="217">
        <f>4141078/2</f>
        <v>2070539</v>
      </c>
      <c r="D32" s="217">
        <f>69048/2</f>
        <v>34524</v>
      </c>
      <c r="E32" s="217">
        <f t="shared" si="7"/>
        <v>2070539</v>
      </c>
      <c r="F32" s="217"/>
      <c r="G32" s="217"/>
      <c r="H32" s="217"/>
      <c r="I32" s="217"/>
      <c r="J32" s="217"/>
      <c r="K32" s="217"/>
      <c r="L32" s="217"/>
      <c r="M32" s="217">
        <f t="shared" si="8"/>
        <v>34524</v>
      </c>
      <c r="N32" s="217"/>
      <c r="O32" s="217"/>
      <c r="P32" s="217"/>
      <c r="Q32" s="217"/>
      <c r="R32" s="871">
        <f t="shared" si="9"/>
        <v>2105063</v>
      </c>
      <c r="S32" s="217">
        <f t="shared" si="10"/>
        <v>2070539</v>
      </c>
      <c r="T32" s="217"/>
      <c r="U32" s="213"/>
    </row>
    <row r="33" spans="1:21" s="214" customFormat="1">
      <c r="A33" s="215" t="s">
        <v>143</v>
      </c>
      <c r="B33" s="216">
        <f t="shared" si="6"/>
        <v>2105063</v>
      </c>
      <c r="C33" s="217">
        <f>C32</f>
        <v>2070539</v>
      </c>
      <c r="D33" s="1015">
        <f>D32</f>
        <v>34524</v>
      </c>
      <c r="E33" s="217">
        <f t="shared" si="7"/>
        <v>2070539</v>
      </c>
      <c r="F33" s="217"/>
      <c r="G33" s="217"/>
      <c r="H33" s="217"/>
      <c r="I33" s="217"/>
      <c r="J33" s="217"/>
      <c r="K33" s="217"/>
      <c r="L33" s="217"/>
      <c r="M33" s="217">
        <f t="shared" si="8"/>
        <v>34524</v>
      </c>
      <c r="N33" s="217"/>
      <c r="O33" s="217"/>
      <c r="P33" s="217"/>
      <c r="Q33" s="217"/>
      <c r="R33" s="871">
        <f t="shared" si="9"/>
        <v>2105063</v>
      </c>
      <c r="S33" s="217">
        <f t="shared" si="10"/>
        <v>2070539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9"/>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1">
        <f t="shared" si="9"/>
        <v>0</v>
      </c>
      <c r="S35" s="217"/>
      <c r="T35" s="217"/>
      <c r="U35" s="213"/>
    </row>
    <row r="36" spans="1:21" s="214" customFormat="1">
      <c r="A36" s="1098" t="s">
        <v>1843</v>
      </c>
      <c r="B36" s="216">
        <f t="shared" si="6"/>
        <v>294380</v>
      </c>
      <c r="C36" s="217">
        <v>289552</v>
      </c>
      <c r="D36" s="217">
        <v>4828</v>
      </c>
      <c r="E36" s="217">
        <f>B36-SUM(F36:Q36)</f>
        <v>289552</v>
      </c>
      <c r="F36" s="217"/>
      <c r="G36" s="217"/>
      <c r="H36" s="217"/>
      <c r="I36" s="217"/>
      <c r="J36" s="217"/>
      <c r="K36" s="217"/>
      <c r="L36" s="217"/>
      <c r="M36" s="217">
        <f>D36</f>
        <v>4828</v>
      </c>
      <c r="N36" s="217"/>
      <c r="O36" s="217"/>
      <c r="P36" s="217"/>
      <c r="Q36" s="217"/>
      <c r="R36" s="871">
        <f t="shared" si="9"/>
        <v>294380</v>
      </c>
      <c r="S36" s="217">
        <f>C36</f>
        <v>289552</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9"/>
        <v>0</v>
      </c>
      <c r="S37" s="217"/>
      <c r="T37" s="217"/>
      <c r="U37" s="213"/>
    </row>
    <row r="38" spans="1:21" s="214" customFormat="1" ht="12">
      <c r="A38" s="219" t="s">
        <v>148</v>
      </c>
      <c r="B38" s="216">
        <f t="shared" si="6"/>
        <v>68255735</v>
      </c>
      <c r="C38" s="216">
        <f>SUM(C29:C37)</f>
        <v>67136313</v>
      </c>
      <c r="D38" s="216">
        <f t="shared" ref="D38:Q38" si="11">SUM(D29:D37)</f>
        <v>1119422</v>
      </c>
      <c r="E38" s="216">
        <f t="shared" si="11"/>
        <v>20628874</v>
      </c>
      <c r="F38" s="216">
        <f t="shared" si="11"/>
        <v>3103000</v>
      </c>
      <c r="G38" s="216">
        <f t="shared" si="11"/>
        <v>20000000</v>
      </c>
      <c r="H38" s="216">
        <f t="shared" si="11"/>
        <v>12150000</v>
      </c>
      <c r="I38" s="216">
        <f t="shared" si="11"/>
        <v>7064139</v>
      </c>
      <c r="J38" s="216">
        <f t="shared" si="11"/>
        <v>1000000</v>
      </c>
      <c r="K38" s="216">
        <f t="shared" si="11"/>
        <v>1000000</v>
      </c>
      <c r="L38" s="216">
        <f t="shared" si="11"/>
        <v>2190300</v>
      </c>
      <c r="M38" s="216">
        <f t="shared" si="11"/>
        <v>1119422</v>
      </c>
      <c r="N38" s="216">
        <f t="shared" si="11"/>
        <v>0</v>
      </c>
      <c r="O38" s="216">
        <f t="shared" si="11"/>
        <v>0</v>
      </c>
      <c r="P38" s="216">
        <f t="shared" si="11"/>
        <v>0</v>
      </c>
      <c r="Q38" s="216">
        <f t="shared" si="11"/>
        <v>0</v>
      </c>
      <c r="R38" s="527">
        <f>SUM(R29:R37)</f>
        <v>68255735</v>
      </c>
      <c r="S38" s="220">
        <f>SUM(S29:S37)</f>
        <v>67136313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2656950</v>
      </c>
      <c r="C40" s="217">
        <v>2613375</v>
      </c>
      <c r="D40" s="217">
        <v>43575</v>
      </c>
      <c r="E40" s="217">
        <f>B40-SUM(F40:Q40)</f>
        <v>2613375</v>
      </c>
      <c r="F40" s="217"/>
      <c r="G40" s="217"/>
      <c r="H40" s="217"/>
      <c r="I40" s="217"/>
      <c r="J40" s="217"/>
      <c r="K40" s="217"/>
      <c r="L40" s="217"/>
      <c r="M40" s="217">
        <f>D40</f>
        <v>43575</v>
      </c>
      <c r="N40" s="217"/>
      <c r="O40" s="217"/>
      <c r="P40" s="217"/>
      <c r="Q40" s="217"/>
      <c r="R40" s="871">
        <f>SUM(E40:Q40)</f>
        <v>2656950</v>
      </c>
      <c r="S40" s="217">
        <f>C40</f>
        <v>2613375</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ht="12">
      <c r="A42" s="219" t="s">
        <v>152</v>
      </c>
      <c r="B42" s="216">
        <f>SUM(C42:D42)</f>
        <v>2656950</v>
      </c>
      <c r="C42" s="216">
        <f>SUM(C39:C41)</f>
        <v>2613375</v>
      </c>
      <c r="D42" s="216">
        <f>SUM(D39:D41)</f>
        <v>43575</v>
      </c>
      <c r="E42" s="216">
        <f t="shared" ref="E42:T42" si="12">SUM(E40:E41)</f>
        <v>2613375</v>
      </c>
      <c r="F42" s="216">
        <f t="shared" si="12"/>
        <v>0</v>
      </c>
      <c r="G42" s="216">
        <f t="shared" si="12"/>
        <v>0</v>
      </c>
      <c r="H42" s="216">
        <f t="shared" si="12"/>
        <v>0</v>
      </c>
      <c r="I42" s="216">
        <f t="shared" si="12"/>
        <v>0</v>
      </c>
      <c r="J42" s="216">
        <f t="shared" si="12"/>
        <v>0</v>
      </c>
      <c r="K42" s="216">
        <f t="shared" si="12"/>
        <v>0</v>
      </c>
      <c r="L42" s="216">
        <f t="shared" si="12"/>
        <v>0</v>
      </c>
      <c r="M42" s="216">
        <f t="shared" si="12"/>
        <v>43575</v>
      </c>
      <c r="N42" s="216">
        <f t="shared" si="12"/>
        <v>0</v>
      </c>
      <c r="O42" s="216">
        <f t="shared" si="12"/>
        <v>0</v>
      </c>
      <c r="P42" s="216">
        <f t="shared" si="12"/>
        <v>0</v>
      </c>
      <c r="Q42" s="216">
        <f t="shared" si="12"/>
        <v>0</v>
      </c>
      <c r="R42" s="527">
        <f>SUM(R40:R41)</f>
        <v>2656950</v>
      </c>
      <c r="S42" s="220">
        <f t="shared" si="12"/>
        <v>2613375</v>
      </c>
      <c r="T42" s="220">
        <f t="shared" si="12"/>
        <v>0</v>
      </c>
      <c r="U42" s="213"/>
    </row>
    <row r="43" spans="1:21" s="214" customFormat="1" ht="12">
      <c r="A43" s="219" t="s">
        <v>153</v>
      </c>
      <c r="B43" s="216">
        <f>SUM(C43:D43)</f>
        <v>627183</v>
      </c>
      <c r="C43" s="217">
        <f>430062+163228+23606</f>
        <v>616896</v>
      </c>
      <c r="D43" s="217">
        <f>7171+2722+394</f>
        <v>10287</v>
      </c>
      <c r="E43" s="217">
        <f>B43-SUM(F43:Q43)</f>
        <v>616896</v>
      </c>
      <c r="F43" s="217"/>
      <c r="G43" s="217"/>
      <c r="H43" s="217"/>
      <c r="I43" s="217"/>
      <c r="J43" s="217"/>
      <c r="K43" s="217"/>
      <c r="L43" s="217"/>
      <c r="M43" s="217">
        <f>D43</f>
        <v>10287</v>
      </c>
      <c r="N43" s="217"/>
      <c r="O43" s="217"/>
      <c r="P43" s="217"/>
      <c r="Q43" s="217"/>
      <c r="R43" s="871">
        <f>SUM(E43:Q43)</f>
        <v>627183</v>
      </c>
      <c r="S43" s="217">
        <f>C43</f>
        <v>616896</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6304579</v>
      </c>
      <c r="C45" s="217">
        <f>4743283+1535692</f>
        <v>6278975</v>
      </c>
      <c r="D45" s="217">
        <v>25604</v>
      </c>
      <c r="E45" s="217">
        <f t="shared" ref="E45:E49" si="14">B45-SUM(F45:Q45)</f>
        <v>6278975</v>
      </c>
      <c r="F45" s="217"/>
      <c r="G45" s="217"/>
      <c r="H45" s="217"/>
      <c r="I45" s="217"/>
      <c r="J45" s="217"/>
      <c r="K45" s="217"/>
      <c r="L45" s="217"/>
      <c r="M45" s="217">
        <f t="shared" ref="M45:M46" si="15">D45</f>
        <v>25604</v>
      </c>
      <c r="N45" s="217"/>
      <c r="O45" s="217"/>
      <c r="P45" s="217"/>
      <c r="Q45" s="217"/>
      <c r="R45" s="871">
        <f t="shared" ref="R45:R53" si="16">SUM(E45:Q45)</f>
        <v>6304579</v>
      </c>
      <c r="S45" s="217">
        <f>2316487+184283</f>
        <v>2500770</v>
      </c>
      <c r="T45" s="217"/>
      <c r="U45" s="213"/>
    </row>
    <row r="46" spans="1:21" s="214" customFormat="1">
      <c r="A46" s="215" t="s">
        <v>156</v>
      </c>
      <c r="B46" s="216">
        <f t="shared" si="13"/>
        <v>438490</v>
      </c>
      <c r="C46" s="217">
        <v>431299</v>
      </c>
      <c r="D46" s="217">
        <v>7191</v>
      </c>
      <c r="E46" s="217">
        <f t="shared" si="14"/>
        <v>431299</v>
      </c>
      <c r="F46" s="217"/>
      <c r="G46" s="217"/>
      <c r="H46" s="217"/>
      <c r="I46" s="217"/>
      <c r="J46" s="217"/>
      <c r="K46" s="217"/>
      <c r="L46" s="217"/>
      <c r="M46" s="217">
        <f t="shared" si="15"/>
        <v>7191</v>
      </c>
      <c r="N46" s="217"/>
      <c r="O46" s="217"/>
      <c r="P46" s="217"/>
      <c r="Q46" s="217"/>
      <c r="R46" s="871">
        <f t="shared" si="16"/>
        <v>438490</v>
      </c>
      <c r="S46" s="217">
        <v>139373</v>
      </c>
      <c r="T46" s="217"/>
      <c r="U46" s="213"/>
    </row>
    <row r="47" spans="1:21" s="214" customFormat="1">
      <c r="A47" s="297" t="s">
        <v>157</v>
      </c>
      <c r="B47" s="216">
        <f t="shared" si="13"/>
        <v>0</v>
      </c>
      <c r="C47" s="217"/>
      <c r="D47" s="217"/>
      <c r="E47" s="217"/>
      <c r="F47" s="217"/>
      <c r="G47" s="217"/>
      <c r="H47" s="217"/>
      <c r="I47" s="217"/>
      <c r="J47" s="217"/>
      <c r="K47" s="217"/>
      <c r="L47" s="217"/>
      <c r="M47" s="217"/>
      <c r="N47" s="217"/>
      <c r="O47" s="217"/>
      <c r="P47" s="217"/>
      <c r="Q47" s="217"/>
      <c r="R47" s="871">
        <f t="shared" si="16"/>
        <v>0</v>
      </c>
      <c r="S47" s="217"/>
      <c r="T47" s="217"/>
      <c r="U47" s="213"/>
    </row>
    <row r="48" spans="1:21" s="214" customFormat="1">
      <c r="A48" s="215" t="s">
        <v>158</v>
      </c>
      <c r="B48" s="216">
        <f t="shared" si="13"/>
        <v>0</v>
      </c>
      <c r="C48" s="217"/>
      <c r="D48" s="217"/>
      <c r="E48" s="217"/>
      <c r="F48" s="217"/>
      <c r="G48" s="217"/>
      <c r="H48" s="217"/>
      <c r="I48" s="217"/>
      <c r="J48" s="217"/>
      <c r="K48" s="217"/>
      <c r="L48" s="217"/>
      <c r="M48" s="217"/>
      <c r="N48" s="217"/>
      <c r="O48" s="217"/>
      <c r="P48" s="217"/>
      <c r="Q48" s="217"/>
      <c r="R48" s="871">
        <f t="shared" si="16"/>
        <v>0</v>
      </c>
      <c r="S48" s="217"/>
      <c r="T48" s="217"/>
      <c r="U48" s="213"/>
    </row>
    <row r="49" spans="1:21" s="214" customFormat="1">
      <c r="A49" s="215" t="s">
        <v>60</v>
      </c>
      <c r="B49" s="216">
        <f t="shared" si="13"/>
        <v>409183</v>
      </c>
      <c r="C49" s="217">
        <v>409183</v>
      </c>
      <c r="D49" s="217"/>
      <c r="E49" s="217">
        <f t="shared" si="14"/>
        <v>409183</v>
      </c>
      <c r="F49" s="217"/>
      <c r="G49" s="217"/>
      <c r="H49" s="217"/>
      <c r="I49" s="217"/>
      <c r="J49" s="217"/>
      <c r="K49" s="217"/>
      <c r="L49" s="217"/>
      <c r="M49" s="217"/>
      <c r="N49" s="217"/>
      <c r="O49" s="217"/>
      <c r="P49" s="217"/>
      <c r="Q49" s="217"/>
      <c r="R49" s="871">
        <f t="shared" si="16"/>
        <v>409183</v>
      </c>
      <c r="S49" s="217"/>
      <c r="T49" s="217"/>
      <c r="U49" s="213"/>
    </row>
    <row r="50" spans="1:21" s="214" customFormat="1">
      <c r="A50" s="215" t="s">
        <v>161</v>
      </c>
      <c r="B50" s="216">
        <f t="shared" si="13"/>
        <v>125000</v>
      </c>
      <c r="C50" s="1015">
        <v>122950</v>
      </c>
      <c r="D50" s="1015">
        <v>2050</v>
      </c>
      <c r="E50" s="217">
        <f>B50-SUM(F50:Q50)</f>
        <v>122950</v>
      </c>
      <c r="F50" s="217"/>
      <c r="G50" s="217"/>
      <c r="H50" s="217"/>
      <c r="I50" s="217"/>
      <c r="J50" s="217"/>
      <c r="K50" s="217"/>
      <c r="L50" s="217"/>
      <c r="M50" s="217">
        <f>D50</f>
        <v>2050</v>
      </c>
      <c r="N50" s="217"/>
      <c r="O50" s="217"/>
      <c r="P50" s="217"/>
      <c r="Q50" s="217"/>
      <c r="R50" s="871">
        <f t="shared" si="16"/>
        <v>125000</v>
      </c>
      <c r="S50" s="217">
        <f>C50</f>
        <v>122950</v>
      </c>
      <c r="T50" s="217"/>
      <c r="U50" s="213"/>
    </row>
    <row r="51" spans="1:21" s="214" customFormat="1">
      <c r="A51" s="437" t="s">
        <v>159</v>
      </c>
      <c r="B51" s="216">
        <f t="shared" si="13"/>
        <v>0</v>
      </c>
      <c r="C51" s="1015"/>
      <c r="D51" s="1015"/>
      <c r="E51" s="217"/>
      <c r="F51" s="217"/>
      <c r="G51" s="217"/>
      <c r="H51" s="217"/>
      <c r="I51" s="217"/>
      <c r="J51" s="217"/>
      <c r="K51" s="217"/>
      <c r="L51" s="217"/>
      <c r="M51" s="217"/>
      <c r="N51" s="217"/>
      <c r="O51" s="217"/>
      <c r="P51" s="217"/>
      <c r="Q51" s="217"/>
      <c r="R51" s="871">
        <f t="shared" si="16"/>
        <v>0</v>
      </c>
      <c r="S51" s="217"/>
      <c r="T51" s="217"/>
      <c r="U51" s="213"/>
    </row>
    <row r="52" spans="1:21" s="214" customFormat="1">
      <c r="A52" s="215" t="s">
        <v>160</v>
      </c>
      <c r="B52" s="216">
        <f t="shared" si="13"/>
        <v>750000</v>
      </c>
      <c r="C52" s="1015">
        <v>737700</v>
      </c>
      <c r="D52" s="1015">
        <v>12300</v>
      </c>
      <c r="E52" s="217">
        <f t="shared" ref="E52:E53" si="17">B52-SUM(F52:Q52)</f>
        <v>737700</v>
      </c>
      <c r="F52" s="217"/>
      <c r="G52" s="217"/>
      <c r="H52" s="217"/>
      <c r="I52" s="217"/>
      <c r="J52" s="217"/>
      <c r="K52" s="217"/>
      <c r="L52" s="217"/>
      <c r="M52" s="217">
        <f t="shared" ref="M52:M53" si="18">D52</f>
        <v>12300</v>
      </c>
      <c r="N52" s="217"/>
      <c r="O52" s="217"/>
      <c r="P52" s="217"/>
      <c r="Q52" s="217"/>
      <c r="R52" s="871">
        <f t="shared" si="16"/>
        <v>750000</v>
      </c>
      <c r="S52" s="217">
        <f>C52</f>
        <v>737700</v>
      </c>
      <c r="T52" s="217"/>
      <c r="U52" s="213"/>
    </row>
    <row r="53" spans="1:21" s="214" customFormat="1">
      <c r="A53" s="1704" t="s">
        <v>2749</v>
      </c>
      <c r="B53" s="216">
        <f t="shared" si="13"/>
        <v>40000</v>
      </c>
      <c r="C53" s="217">
        <v>39344</v>
      </c>
      <c r="D53" s="217">
        <v>656</v>
      </c>
      <c r="E53" s="217">
        <f t="shared" si="17"/>
        <v>39344</v>
      </c>
      <c r="F53" s="217"/>
      <c r="G53" s="217"/>
      <c r="H53" s="217"/>
      <c r="I53" s="217"/>
      <c r="J53" s="217"/>
      <c r="K53" s="217"/>
      <c r="L53" s="217"/>
      <c r="M53" s="217">
        <f t="shared" si="18"/>
        <v>656</v>
      </c>
      <c r="N53" s="217"/>
      <c r="O53" s="217"/>
      <c r="P53" s="217"/>
      <c r="Q53" s="217"/>
      <c r="R53" s="871">
        <f t="shared" si="16"/>
        <v>40000</v>
      </c>
      <c r="S53" s="217">
        <v>12714</v>
      </c>
      <c r="T53" s="217"/>
      <c r="U53" s="213"/>
    </row>
    <row r="54" spans="1:21" s="224" customFormat="1" ht="12">
      <c r="A54" s="219" t="s">
        <v>162</v>
      </c>
      <c r="B54" s="220">
        <f>SUM(C54:D54)</f>
        <v>8067252</v>
      </c>
      <c r="C54" s="220">
        <f t="shared" ref="C54:T54" si="19">SUM(C45:C53)</f>
        <v>8019451</v>
      </c>
      <c r="D54" s="220">
        <f t="shared" si="19"/>
        <v>47801</v>
      </c>
      <c r="E54" s="220">
        <f t="shared" si="19"/>
        <v>8019451</v>
      </c>
      <c r="F54" s="220">
        <f t="shared" si="19"/>
        <v>0</v>
      </c>
      <c r="G54" s="220">
        <f t="shared" si="19"/>
        <v>0</v>
      </c>
      <c r="H54" s="220">
        <f t="shared" si="19"/>
        <v>0</v>
      </c>
      <c r="I54" s="220">
        <f t="shared" si="19"/>
        <v>0</v>
      </c>
      <c r="J54" s="220">
        <f t="shared" si="19"/>
        <v>0</v>
      </c>
      <c r="K54" s="220">
        <f t="shared" si="19"/>
        <v>0</v>
      </c>
      <c r="L54" s="220">
        <f t="shared" si="19"/>
        <v>0</v>
      </c>
      <c r="M54" s="220">
        <f t="shared" si="19"/>
        <v>47801</v>
      </c>
      <c r="N54" s="220">
        <f t="shared" si="19"/>
        <v>0</v>
      </c>
      <c r="O54" s="220">
        <f t="shared" si="19"/>
        <v>0</v>
      </c>
      <c r="P54" s="220">
        <f t="shared" si="19"/>
        <v>0</v>
      </c>
      <c r="Q54" s="220">
        <f t="shared" si="19"/>
        <v>0</v>
      </c>
      <c r="R54" s="527">
        <f t="shared" si="19"/>
        <v>8067252</v>
      </c>
      <c r="S54" s="220">
        <f t="shared" si="19"/>
        <v>3513507</v>
      </c>
      <c r="T54" s="220">
        <f t="shared" si="19"/>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31030</v>
      </c>
      <c r="C56" s="217">
        <v>31030</v>
      </c>
      <c r="D56" s="217"/>
      <c r="E56" s="217">
        <f>B56-SUM(F56:Q56)</f>
        <v>31030</v>
      </c>
      <c r="F56" s="217"/>
      <c r="G56" s="217"/>
      <c r="H56" s="217"/>
      <c r="I56" s="217"/>
      <c r="J56" s="217"/>
      <c r="K56" s="217"/>
      <c r="L56" s="217"/>
      <c r="M56" s="217"/>
      <c r="N56" s="217"/>
      <c r="O56" s="217"/>
      <c r="P56" s="217"/>
      <c r="Q56" s="217"/>
      <c r="R56" s="871">
        <f t="shared" ref="R56:R61" si="21">SUM(E56:Q56)</f>
        <v>31030</v>
      </c>
      <c r="S56" s="218"/>
      <c r="T56" s="218"/>
      <c r="U56" s="213"/>
    </row>
    <row r="57" spans="1:21" s="303" customFormat="1">
      <c r="A57" s="297" t="s">
        <v>157</v>
      </c>
      <c r="B57" s="304">
        <f t="shared" si="20"/>
        <v>0</v>
      </c>
      <c r="C57" s="301"/>
      <c r="D57" s="301"/>
      <c r="E57" s="301"/>
      <c r="F57" s="301"/>
      <c r="G57" s="301"/>
      <c r="H57" s="301"/>
      <c r="I57" s="301"/>
      <c r="J57" s="301"/>
      <c r="K57" s="301"/>
      <c r="L57" s="301"/>
      <c r="M57" s="301"/>
      <c r="N57" s="301"/>
      <c r="O57" s="301"/>
      <c r="P57" s="301"/>
      <c r="Q57" s="301"/>
      <c r="R57" s="871">
        <f t="shared" si="21"/>
        <v>0</v>
      </c>
      <c r="S57" s="305"/>
      <c r="T57" s="305"/>
      <c r="U57" s="302"/>
    </row>
    <row r="58" spans="1:21" s="214" customFormat="1">
      <c r="A58" s="215" t="s">
        <v>161</v>
      </c>
      <c r="B58" s="216">
        <f t="shared" si="20"/>
        <v>50000</v>
      </c>
      <c r="C58" s="217">
        <v>49180</v>
      </c>
      <c r="D58" s="217">
        <v>820</v>
      </c>
      <c r="E58" s="217">
        <f>B58-SUM(F58:Q58)</f>
        <v>49180</v>
      </c>
      <c r="F58" s="217"/>
      <c r="G58" s="217"/>
      <c r="H58" s="217"/>
      <c r="I58" s="217"/>
      <c r="J58" s="217"/>
      <c r="K58" s="217"/>
      <c r="L58" s="217"/>
      <c r="M58" s="217">
        <f>D58</f>
        <v>820</v>
      </c>
      <c r="N58" s="217"/>
      <c r="O58" s="217"/>
      <c r="P58" s="217"/>
      <c r="Q58" s="217"/>
      <c r="R58" s="871">
        <f t="shared" si="21"/>
        <v>50000</v>
      </c>
      <c r="S58" s="218"/>
      <c r="T58" s="218"/>
      <c r="U58" s="213"/>
    </row>
    <row r="59" spans="1:21" s="214" customFormat="1">
      <c r="A59" s="437" t="s">
        <v>159</v>
      </c>
      <c r="B59" s="216">
        <f t="shared" si="20"/>
        <v>0</v>
      </c>
      <c r="C59" s="217"/>
      <c r="D59" s="217"/>
      <c r="E59" s="217"/>
      <c r="F59" s="217"/>
      <c r="G59" s="217"/>
      <c r="H59" s="217"/>
      <c r="I59" s="217"/>
      <c r="J59" s="217"/>
      <c r="K59" s="217"/>
      <c r="L59" s="217"/>
      <c r="M59" s="217"/>
      <c r="N59" s="217"/>
      <c r="O59" s="217"/>
      <c r="P59" s="217"/>
      <c r="Q59" s="217"/>
      <c r="R59" s="871">
        <f t="shared" si="21"/>
        <v>0</v>
      </c>
      <c r="S59" s="218"/>
      <c r="T59" s="218"/>
      <c r="U59" s="213"/>
    </row>
    <row r="60" spans="1:21" s="214" customFormat="1">
      <c r="A60" s="215" t="s">
        <v>160</v>
      </c>
      <c r="B60" s="216">
        <f t="shared" si="20"/>
        <v>0</v>
      </c>
      <c r="C60" s="217"/>
      <c r="D60" s="217"/>
      <c r="E60" s="217"/>
      <c r="F60" s="217"/>
      <c r="G60" s="217"/>
      <c r="H60" s="217"/>
      <c r="I60" s="217"/>
      <c r="J60" s="217"/>
      <c r="K60" s="217"/>
      <c r="L60" s="217"/>
      <c r="M60" s="217"/>
      <c r="N60" s="217"/>
      <c r="O60" s="217"/>
      <c r="P60" s="217"/>
      <c r="Q60" s="217"/>
      <c r="R60" s="871">
        <f t="shared" si="21"/>
        <v>0</v>
      </c>
      <c r="S60" s="218"/>
      <c r="T60" s="218"/>
      <c r="U60" s="213"/>
    </row>
    <row r="61" spans="1:21" s="214" customFormat="1">
      <c r="A61" s="1704" t="s">
        <v>2750</v>
      </c>
      <c r="B61" s="216">
        <f t="shared" si="20"/>
        <v>25000</v>
      </c>
      <c r="C61" s="217">
        <v>25000</v>
      </c>
      <c r="D61" s="217"/>
      <c r="E61" s="217">
        <f>B61-SUM(F61:Q61)</f>
        <v>25000</v>
      </c>
      <c r="F61" s="217"/>
      <c r="G61" s="217"/>
      <c r="H61" s="217"/>
      <c r="I61" s="217"/>
      <c r="J61" s="217"/>
      <c r="K61" s="217"/>
      <c r="L61" s="217"/>
      <c r="M61" s="217"/>
      <c r="N61" s="217"/>
      <c r="O61" s="217"/>
      <c r="P61" s="217"/>
      <c r="Q61" s="217"/>
      <c r="R61" s="871">
        <f t="shared" si="21"/>
        <v>25000</v>
      </c>
      <c r="S61" s="218"/>
      <c r="T61" s="218"/>
      <c r="U61" s="213"/>
    </row>
    <row r="62" spans="1:21" s="214" customFormat="1" ht="13.65" customHeight="1">
      <c r="A62" s="219" t="s">
        <v>306</v>
      </c>
      <c r="B62" s="216">
        <f>SUM(C62:D62)</f>
        <v>106030</v>
      </c>
      <c r="C62" s="216">
        <f t="shared" ref="C62:R62" si="22">SUM(C56:C61)</f>
        <v>105210</v>
      </c>
      <c r="D62" s="216">
        <f t="shared" si="22"/>
        <v>820</v>
      </c>
      <c r="E62" s="216">
        <f t="shared" si="22"/>
        <v>105210</v>
      </c>
      <c r="F62" s="216">
        <f t="shared" si="22"/>
        <v>0</v>
      </c>
      <c r="G62" s="216">
        <f t="shared" si="22"/>
        <v>0</v>
      </c>
      <c r="H62" s="216">
        <f t="shared" si="22"/>
        <v>0</v>
      </c>
      <c r="I62" s="216">
        <f t="shared" si="22"/>
        <v>0</v>
      </c>
      <c r="J62" s="216">
        <f t="shared" si="22"/>
        <v>0</v>
      </c>
      <c r="K62" s="216">
        <f t="shared" si="22"/>
        <v>0</v>
      </c>
      <c r="L62" s="216">
        <f t="shared" si="22"/>
        <v>0</v>
      </c>
      <c r="M62" s="216">
        <f t="shared" si="22"/>
        <v>820</v>
      </c>
      <c r="N62" s="216">
        <f t="shared" si="22"/>
        <v>0</v>
      </c>
      <c r="O62" s="216">
        <f t="shared" si="22"/>
        <v>0</v>
      </c>
      <c r="P62" s="216">
        <f t="shared" si="22"/>
        <v>0</v>
      </c>
      <c r="Q62" s="216">
        <f t="shared" si="22"/>
        <v>0</v>
      </c>
      <c r="R62" s="527">
        <f t="shared" si="22"/>
        <v>106030</v>
      </c>
      <c r="S62" s="218"/>
      <c r="T62" s="218"/>
      <c r="U62" s="213"/>
    </row>
    <row r="63" spans="1:21" s="214" customFormat="1">
      <c r="A63" s="225" t="s">
        <v>307</v>
      </c>
      <c r="B63" s="216">
        <f t="shared" ref="B63:R63" si="23">SUM(B8+B11+B13+B14+B15+B26+B27+B38+B42+B43+B54+B62)</f>
        <v>79788150</v>
      </c>
      <c r="C63" s="216">
        <f t="shared" si="23"/>
        <v>78565015</v>
      </c>
      <c r="D63" s="216">
        <f t="shared" si="23"/>
        <v>1223135</v>
      </c>
      <c r="E63" s="216">
        <f t="shared" si="23"/>
        <v>32057576</v>
      </c>
      <c r="F63" s="216">
        <f t="shared" si="23"/>
        <v>3103000</v>
      </c>
      <c r="G63" s="216">
        <f t="shared" si="23"/>
        <v>20000000</v>
      </c>
      <c r="H63" s="216">
        <f t="shared" si="23"/>
        <v>12150000</v>
      </c>
      <c r="I63" s="216">
        <f t="shared" si="23"/>
        <v>7064139</v>
      </c>
      <c r="J63" s="216">
        <f t="shared" si="23"/>
        <v>1000000</v>
      </c>
      <c r="K63" s="216">
        <f t="shared" si="23"/>
        <v>1000000</v>
      </c>
      <c r="L63" s="216">
        <f t="shared" si="23"/>
        <v>2190300</v>
      </c>
      <c r="M63" s="216">
        <f t="shared" si="23"/>
        <v>1223135</v>
      </c>
      <c r="N63" s="216">
        <f t="shared" si="23"/>
        <v>0</v>
      </c>
      <c r="O63" s="216">
        <f t="shared" si="23"/>
        <v>0</v>
      </c>
      <c r="P63" s="216">
        <f t="shared" si="23"/>
        <v>0</v>
      </c>
      <c r="Q63" s="216">
        <f t="shared" si="23"/>
        <v>0</v>
      </c>
      <c r="R63" s="527">
        <f t="shared" si="23"/>
        <v>79788150</v>
      </c>
      <c r="S63" s="216">
        <f>SUM(S10+S13+S14+S15+S26+S27+S38+S42+S43+S54)</f>
        <v>73880091</v>
      </c>
      <c r="T63" s="216">
        <f>SUM(T11+T13+T14+T15+T26+T27+T38+T42+T43+T54)</f>
        <v>0</v>
      </c>
      <c r="U63" s="213"/>
    </row>
    <row r="64" spans="1:21" s="214" customFormat="1" ht="22.8">
      <c r="A64" s="211" t="s">
        <v>1847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105000</v>
      </c>
      <c r="C65" s="1015">
        <f>63934+40000</f>
        <v>103934</v>
      </c>
      <c r="D65" s="1015">
        <v>1066</v>
      </c>
      <c r="E65" s="217">
        <f>B65-SUM(F65:Q65)</f>
        <v>103934</v>
      </c>
      <c r="F65" s="217"/>
      <c r="G65" s="217"/>
      <c r="H65" s="217"/>
      <c r="I65" s="217"/>
      <c r="J65" s="217"/>
      <c r="K65" s="217"/>
      <c r="L65" s="217"/>
      <c r="M65" s="217">
        <f>D65</f>
        <v>1066</v>
      </c>
      <c r="N65" s="217"/>
      <c r="O65" s="217"/>
      <c r="P65" s="217"/>
      <c r="Q65" s="217"/>
      <c r="R65" s="871">
        <f>SUM(E65:Q65)</f>
        <v>105000</v>
      </c>
      <c r="S65" s="217">
        <v>20660</v>
      </c>
      <c r="T65" s="217"/>
      <c r="U65" s="213"/>
    </row>
    <row r="66" spans="1:21" s="214" customFormat="1" ht="24" customHeight="1">
      <c r="A66" s="437" t="s">
        <v>1844</v>
      </c>
      <c r="B66" s="216">
        <f t="shared" ref="B66:B69" si="24">SUM(C66+D66)</f>
        <v>0</v>
      </c>
      <c r="C66" s="1015"/>
      <c r="D66" s="1015"/>
      <c r="E66" s="217"/>
      <c r="F66" s="217"/>
      <c r="G66" s="217"/>
      <c r="H66" s="217"/>
      <c r="I66" s="217"/>
      <c r="J66" s="217"/>
      <c r="K66" s="217"/>
      <c r="L66" s="217"/>
      <c r="M66" s="217"/>
      <c r="N66" s="217"/>
      <c r="O66" s="217"/>
      <c r="P66" s="217"/>
      <c r="Q66" s="217"/>
      <c r="R66" s="871">
        <f t="shared" ref="R66:R68" si="25">SUM(E66:Q66)</f>
        <v>0</v>
      </c>
      <c r="S66" s="217"/>
      <c r="T66" s="217"/>
      <c r="U66" s="213"/>
    </row>
    <row r="67" spans="1:21" s="214" customFormat="1" ht="24" customHeight="1">
      <c r="A67" s="437" t="s">
        <v>1845</v>
      </c>
      <c r="B67" s="216">
        <f t="shared" si="24"/>
        <v>10065</v>
      </c>
      <c r="C67" s="1015">
        <v>9900</v>
      </c>
      <c r="D67" s="1015">
        <v>165</v>
      </c>
      <c r="E67" s="217">
        <f>B67-SUM(F67:Q67)</f>
        <v>9900</v>
      </c>
      <c r="F67" s="217"/>
      <c r="G67" s="217"/>
      <c r="H67" s="217"/>
      <c r="I67" s="217"/>
      <c r="J67" s="217"/>
      <c r="K67" s="217"/>
      <c r="L67" s="217"/>
      <c r="M67" s="217">
        <f>D67</f>
        <v>165</v>
      </c>
      <c r="N67" s="217"/>
      <c r="O67" s="217"/>
      <c r="P67" s="217"/>
      <c r="Q67" s="217"/>
      <c r="R67" s="871">
        <f t="shared" si="25"/>
        <v>10065</v>
      </c>
      <c r="S67" s="217">
        <f>C67</f>
        <v>9900</v>
      </c>
      <c r="T67" s="217"/>
      <c r="U67" s="213"/>
    </row>
    <row r="68" spans="1:21" s="214" customFormat="1" ht="12" customHeight="1">
      <c r="A68" s="437" t="s">
        <v>1851</v>
      </c>
      <c r="B68" s="216">
        <f t="shared" si="24"/>
        <v>0</v>
      </c>
      <c r="C68" s="1015"/>
      <c r="D68" s="1015"/>
      <c r="E68" s="217"/>
      <c r="F68" s="217"/>
      <c r="G68" s="217"/>
      <c r="H68" s="217"/>
      <c r="I68" s="217"/>
      <c r="J68" s="217"/>
      <c r="K68" s="217"/>
      <c r="L68" s="217"/>
      <c r="M68" s="217"/>
      <c r="N68" s="217"/>
      <c r="O68" s="217"/>
      <c r="P68" s="217"/>
      <c r="Q68" s="217"/>
      <c r="R68" s="871">
        <f t="shared" si="25"/>
        <v>0</v>
      </c>
      <c r="S68" s="217"/>
      <c r="T68" s="217"/>
      <c r="U68" s="213"/>
    </row>
    <row r="69" spans="1:21" s="214" customFormat="1">
      <c r="A69" s="1704" t="s">
        <v>2751</v>
      </c>
      <c r="B69" s="216">
        <f t="shared" si="24"/>
        <v>120000</v>
      </c>
      <c r="C69" s="1015">
        <f>103278+14754</f>
        <v>118032</v>
      </c>
      <c r="D69" s="1015">
        <f>1722+246</f>
        <v>1968</v>
      </c>
      <c r="E69" s="217">
        <f>B69-SUM(F69:Q69)</f>
        <v>118032</v>
      </c>
      <c r="F69" s="217"/>
      <c r="G69" s="217"/>
      <c r="H69" s="217"/>
      <c r="I69" s="217"/>
      <c r="J69" s="217"/>
      <c r="K69" s="217"/>
      <c r="L69" s="217"/>
      <c r="M69" s="217">
        <f>D69</f>
        <v>1968</v>
      </c>
      <c r="N69" s="217"/>
      <c r="O69" s="217"/>
      <c r="P69" s="217"/>
      <c r="Q69" s="217"/>
      <c r="R69" s="871">
        <f>SUM(E69:Q69)</f>
        <v>120000</v>
      </c>
      <c r="S69" s="217">
        <v>103278</v>
      </c>
      <c r="T69" s="217"/>
      <c r="U69" s="213"/>
    </row>
    <row r="70" spans="1:21" s="214" customFormat="1" ht="12">
      <c r="A70" s="219" t="s">
        <v>1848</v>
      </c>
      <c r="B70" s="216">
        <f>SUM(C70:D70)</f>
        <v>235065</v>
      </c>
      <c r="C70" s="216">
        <f>SUM(C65:C69)</f>
        <v>231866</v>
      </c>
      <c r="D70" s="216">
        <f>SUM(D65:D69)</f>
        <v>3199</v>
      </c>
      <c r="E70" s="216">
        <f t="shared" ref="E70:T70" si="26">SUM(E65:E69)</f>
        <v>231866</v>
      </c>
      <c r="F70" s="216">
        <f t="shared" si="26"/>
        <v>0</v>
      </c>
      <c r="G70" s="216">
        <f t="shared" si="26"/>
        <v>0</v>
      </c>
      <c r="H70" s="216">
        <f t="shared" si="26"/>
        <v>0</v>
      </c>
      <c r="I70" s="216">
        <f t="shared" si="26"/>
        <v>0</v>
      </c>
      <c r="J70" s="216">
        <f t="shared" si="26"/>
        <v>0</v>
      </c>
      <c r="K70" s="216">
        <f t="shared" si="26"/>
        <v>0</v>
      </c>
      <c r="L70" s="216">
        <f t="shared" si="26"/>
        <v>0</v>
      </c>
      <c r="M70" s="216">
        <f t="shared" si="26"/>
        <v>3199</v>
      </c>
      <c r="N70" s="216">
        <f t="shared" si="26"/>
        <v>0</v>
      </c>
      <c r="O70" s="216">
        <f t="shared" si="26"/>
        <v>0</v>
      </c>
      <c r="P70" s="216">
        <f t="shared" si="26"/>
        <v>0</v>
      </c>
      <c r="Q70" s="216">
        <f t="shared" si="26"/>
        <v>0</v>
      </c>
      <c r="R70" s="527">
        <f t="shared" si="26"/>
        <v>235065</v>
      </c>
      <c r="S70" s="220">
        <f t="shared" si="26"/>
        <v>133838</v>
      </c>
      <c r="T70" s="220">
        <f t="shared" si="26"/>
        <v>0</v>
      </c>
      <c r="U70" s="213"/>
    </row>
    <row r="71" spans="1:21" s="214" customFormat="1">
      <c r="A71" s="211" t="s">
        <v>627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628</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629</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1056</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630</v>
      </c>
      <c r="B75" s="216">
        <f>SUM(C75+D75)</f>
        <v>490766</v>
      </c>
      <c r="C75" s="217">
        <f>ROUND(Application!AC884,0)</f>
        <v>490766</v>
      </c>
      <c r="D75" s="217"/>
      <c r="E75" s="217">
        <f t="shared" ref="E75:E76" si="27">B75-SUM(F75:Q75)</f>
        <v>490766</v>
      </c>
      <c r="F75" s="217"/>
      <c r="G75" s="217"/>
      <c r="H75" s="217"/>
      <c r="I75" s="217"/>
      <c r="J75" s="217"/>
      <c r="K75" s="217"/>
      <c r="L75" s="217"/>
      <c r="M75" s="217">
        <f t="shared" ref="M75:M76" si="28">D75</f>
        <v>0</v>
      </c>
      <c r="N75" s="217"/>
      <c r="O75" s="217"/>
      <c r="P75" s="217"/>
      <c r="Q75" s="217"/>
      <c r="R75" s="871">
        <f>SUM(E75:Q75)</f>
        <v>490766</v>
      </c>
      <c r="S75" s="218"/>
      <c r="T75" s="218"/>
      <c r="U75" s="213"/>
    </row>
    <row r="76" spans="1:21" s="214" customFormat="1" ht="22.8">
      <c r="A76" s="1704" t="s">
        <v>2752</v>
      </c>
      <c r="B76" s="216">
        <f>SUM(C76+D76)</f>
        <v>614884</v>
      </c>
      <c r="C76" s="217">
        <f>C75+124118</f>
        <v>614884</v>
      </c>
      <c r="D76" s="217"/>
      <c r="E76" s="217">
        <f t="shared" si="27"/>
        <v>614884</v>
      </c>
      <c r="F76" s="217"/>
      <c r="G76" s="217"/>
      <c r="H76" s="217"/>
      <c r="I76" s="217"/>
      <c r="J76" s="217"/>
      <c r="K76" s="217"/>
      <c r="L76" s="217"/>
      <c r="M76" s="217">
        <f t="shared" si="28"/>
        <v>0</v>
      </c>
      <c r="N76" s="217"/>
      <c r="O76" s="217"/>
      <c r="P76" s="217"/>
      <c r="Q76" s="217"/>
      <c r="R76" s="871">
        <f>SUM(E76:Q76)</f>
        <v>614884</v>
      </c>
      <c r="S76" s="218"/>
      <c r="T76" s="218"/>
      <c r="U76" s="213"/>
    </row>
    <row r="77" spans="1:21" s="214" customFormat="1" ht="12">
      <c r="A77" s="219" t="s">
        <v>631</v>
      </c>
      <c r="B77" s="216">
        <f>SUM(C77:D77)</f>
        <v>1105650</v>
      </c>
      <c r="C77" s="216">
        <f>SUM(C72:C76)</f>
        <v>1105650</v>
      </c>
      <c r="D77" s="216">
        <f>SUM(D72:D76)</f>
        <v>0</v>
      </c>
      <c r="E77" s="216">
        <f t="shared" ref="E77:Q77" si="29">SUM(E72:E76)</f>
        <v>1105650</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27">
        <f>SUM(R72:R76)</f>
        <v>1105650</v>
      </c>
      <c r="S77" s="218"/>
      <c r="T77" s="218"/>
      <c r="U77" s="213"/>
    </row>
    <row r="78" spans="1:21" s="214" customFormat="1">
      <c r="A78" s="211" t="s">
        <v>1372</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1374</v>
      </c>
      <c r="B79" s="216">
        <f>SUM(C79:D79)</f>
        <v>3398068</v>
      </c>
      <c r="C79" s="217">
        <v>3342338</v>
      </c>
      <c r="D79" s="217">
        <v>55730</v>
      </c>
      <c r="E79" s="217">
        <f t="shared" ref="E79:E80" si="30">B79-SUM(F79:Q79)</f>
        <v>3342338</v>
      </c>
      <c r="F79" s="217"/>
      <c r="G79" s="217"/>
      <c r="H79" s="217"/>
      <c r="I79" s="217"/>
      <c r="J79" s="217"/>
      <c r="K79" s="217"/>
      <c r="L79" s="217"/>
      <c r="M79" s="217">
        <f t="shared" ref="M79:M80" si="31">D79</f>
        <v>55730</v>
      </c>
      <c r="N79" s="217"/>
      <c r="O79" s="217"/>
      <c r="P79" s="217"/>
      <c r="Q79" s="217"/>
      <c r="R79" s="871">
        <f>SUM(E79:Q79)</f>
        <v>3398068</v>
      </c>
      <c r="S79" s="217">
        <f t="shared" ref="S79:S80" si="32">C79</f>
        <v>3342338</v>
      </c>
      <c r="T79" s="217"/>
      <c r="U79" s="213"/>
    </row>
    <row r="80" spans="1:21" s="214" customFormat="1">
      <c r="A80" s="437" t="s">
        <v>61</v>
      </c>
      <c r="B80" s="216">
        <f>SUM(C80:D80)</f>
        <v>600449</v>
      </c>
      <c r="C80" s="217">
        <v>590601</v>
      </c>
      <c r="D80" s="217">
        <v>9848</v>
      </c>
      <c r="E80" s="217">
        <f t="shared" si="30"/>
        <v>590601</v>
      </c>
      <c r="F80" s="217"/>
      <c r="G80" s="217"/>
      <c r="H80" s="217"/>
      <c r="I80" s="217"/>
      <c r="J80" s="217"/>
      <c r="K80" s="217"/>
      <c r="L80" s="217"/>
      <c r="M80" s="217">
        <f t="shared" si="31"/>
        <v>9848</v>
      </c>
      <c r="N80" s="217"/>
      <c r="O80" s="217"/>
      <c r="P80" s="217"/>
      <c r="Q80" s="217"/>
      <c r="R80" s="871">
        <f>SUM(E80:Q80)</f>
        <v>600449</v>
      </c>
      <c r="S80" s="217">
        <f t="shared" si="32"/>
        <v>590601</v>
      </c>
      <c r="T80" s="217"/>
      <c r="U80" s="213"/>
    </row>
    <row r="81" spans="1:21" s="214" customFormat="1" ht="12">
      <c r="A81" s="219" t="s">
        <v>1371</v>
      </c>
      <c r="B81" s="216">
        <f>SUM(C81:D81)</f>
        <v>3998517</v>
      </c>
      <c r="C81" s="851">
        <f>SUM(C79:C80)</f>
        <v>3932939</v>
      </c>
      <c r="D81" s="851">
        <f t="shared" ref="D81:T81" si="33">SUM(D79:D80)</f>
        <v>65578</v>
      </c>
      <c r="E81" s="851">
        <f t="shared" si="33"/>
        <v>3932939</v>
      </c>
      <c r="F81" s="851">
        <f t="shared" si="33"/>
        <v>0</v>
      </c>
      <c r="G81" s="851">
        <f t="shared" si="33"/>
        <v>0</v>
      </c>
      <c r="H81" s="851">
        <f t="shared" si="33"/>
        <v>0</v>
      </c>
      <c r="I81" s="851">
        <f t="shared" si="33"/>
        <v>0</v>
      </c>
      <c r="J81" s="851">
        <f t="shared" si="33"/>
        <v>0</v>
      </c>
      <c r="K81" s="851">
        <f t="shared" si="33"/>
        <v>0</v>
      </c>
      <c r="L81" s="851">
        <f t="shared" si="33"/>
        <v>0</v>
      </c>
      <c r="M81" s="851">
        <f t="shared" si="33"/>
        <v>65578</v>
      </c>
      <c r="N81" s="851">
        <f t="shared" si="33"/>
        <v>0</v>
      </c>
      <c r="O81" s="851">
        <f t="shared" si="33"/>
        <v>0</v>
      </c>
      <c r="P81" s="851">
        <f t="shared" si="33"/>
        <v>0</v>
      </c>
      <c r="Q81" s="851">
        <f t="shared" si="33"/>
        <v>0</v>
      </c>
      <c r="R81" s="851">
        <f t="shared" si="33"/>
        <v>3998517</v>
      </c>
      <c r="S81" s="851">
        <f t="shared" si="33"/>
        <v>3932939</v>
      </c>
      <c r="T81" s="851">
        <f t="shared" si="33"/>
        <v>0</v>
      </c>
      <c r="U81" s="213"/>
    </row>
    <row r="82" spans="1:21" s="214" customFormat="1">
      <c r="A82" s="211" t="s">
        <v>806</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65" customHeight="1">
      <c r="A83" s="215" t="s">
        <v>2725</v>
      </c>
      <c r="B83" s="216">
        <f t="shared" ref="B83:B95" si="34">SUM(C83+D83)</f>
        <v>89701</v>
      </c>
      <c r="C83" s="217">
        <v>89701</v>
      </c>
      <c r="D83" s="217"/>
      <c r="E83" s="217">
        <f t="shared" ref="E83:E90" si="35">B83-SUM(F83:Q83)</f>
        <v>89701</v>
      </c>
      <c r="F83" s="217"/>
      <c r="G83" s="217"/>
      <c r="H83" s="217"/>
      <c r="I83" s="217"/>
      <c r="J83" s="217"/>
      <c r="K83" s="217"/>
      <c r="L83" s="217"/>
      <c r="M83" s="217"/>
      <c r="N83" s="217"/>
      <c r="O83" s="217"/>
      <c r="P83" s="217"/>
      <c r="Q83" s="217"/>
      <c r="R83" s="871">
        <f t="shared" ref="R83:R95" si="36">SUM(E83:Q83)</f>
        <v>89701</v>
      </c>
      <c r="S83" s="218"/>
      <c r="T83" s="218"/>
      <c r="U83" s="213"/>
    </row>
    <row r="84" spans="1:21" s="214" customFormat="1">
      <c r="A84" s="215" t="s">
        <v>807</v>
      </c>
      <c r="B84" s="216">
        <f t="shared" si="34"/>
        <v>112000</v>
      </c>
      <c r="C84" s="1015">
        <v>110163</v>
      </c>
      <c r="D84" s="1015">
        <v>1837</v>
      </c>
      <c r="E84" s="217">
        <f t="shared" si="35"/>
        <v>110163</v>
      </c>
      <c r="F84" s="217"/>
      <c r="G84" s="217"/>
      <c r="H84" s="217"/>
      <c r="I84" s="217"/>
      <c r="J84" s="217"/>
      <c r="K84" s="217"/>
      <c r="L84" s="217"/>
      <c r="M84" s="217">
        <f t="shared" ref="M84:M87" si="37">D84</f>
        <v>1837</v>
      </c>
      <c r="N84" s="217"/>
      <c r="O84" s="217"/>
      <c r="P84" s="217"/>
      <c r="Q84" s="217"/>
      <c r="R84" s="871">
        <f t="shared" si="36"/>
        <v>112000</v>
      </c>
      <c r="S84" s="217">
        <f t="shared" ref="S84:S87" si="38">C84</f>
        <v>110163</v>
      </c>
      <c r="T84" s="217"/>
      <c r="U84" s="213"/>
    </row>
    <row r="85" spans="1:21" s="214" customFormat="1">
      <c r="A85" s="215" t="s">
        <v>808</v>
      </c>
      <c r="B85" s="216">
        <f t="shared" si="34"/>
        <v>380233</v>
      </c>
      <c r="C85" s="1015">
        <v>373997</v>
      </c>
      <c r="D85" s="1015">
        <v>6236</v>
      </c>
      <c r="E85" s="217">
        <f t="shared" si="35"/>
        <v>373997</v>
      </c>
      <c r="F85" s="217"/>
      <c r="G85" s="217"/>
      <c r="H85" s="217"/>
      <c r="I85" s="217"/>
      <c r="J85" s="217"/>
      <c r="K85" s="217"/>
      <c r="L85" s="217"/>
      <c r="M85" s="217">
        <f t="shared" si="37"/>
        <v>6236</v>
      </c>
      <c r="N85" s="217"/>
      <c r="O85" s="217"/>
      <c r="P85" s="217"/>
      <c r="Q85" s="217"/>
      <c r="R85" s="871">
        <f t="shared" si="36"/>
        <v>380233</v>
      </c>
      <c r="S85" s="217">
        <f t="shared" si="38"/>
        <v>373997</v>
      </c>
      <c r="T85" s="217"/>
      <c r="U85" s="213"/>
    </row>
    <row r="86" spans="1:21" s="214" customFormat="1">
      <c r="A86" s="215" t="s">
        <v>809</v>
      </c>
      <c r="B86" s="216">
        <f t="shared" si="34"/>
        <v>233503</v>
      </c>
      <c r="C86" s="1015">
        <v>229673</v>
      </c>
      <c r="D86" s="1015">
        <v>3830</v>
      </c>
      <c r="E86" s="217">
        <f t="shared" si="35"/>
        <v>229673</v>
      </c>
      <c r="F86" s="217"/>
      <c r="G86" s="217"/>
      <c r="H86" s="217"/>
      <c r="I86" s="217"/>
      <c r="J86" s="217"/>
      <c r="K86" s="217"/>
      <c r="L86" s="217"/>
      <c r="M86" s="217">
        <f t="shared" si="37"/>
        <v>3830</v>
      </c>
      <c r="N86" s="217"/>
      <c r="O86" s="217"/>
      <c r="P86" s="217"/>
      <c r="Q86" s="217"/>
      <c r="R86" s="871">
        <f t="shared" si="36"/>
        <v>233503</v>
      </c>
      <c r="S86" s="217">
        <f t="shared" si="38"/>
        <v>229673</v>
      </c>
      <c r="T86" s="217"/>
      <c r="U86" s="213"/>
    </row>
    <row r="87" spans="1:21" s="214" customFormat="1">
      <c r="A87" s="215" t="s">
        <v>810</v>
      </c>
      <c r="B87" s="216">
        <f t="shared" si="34"/>
        <v>518461</v>
      </c>
      <c r="C87" s="217">
        <v>509958</v>
      </c>
      <c r="D87" s="217">
        <v>8503</v>
      </c>
      <c r="E87" s="217">
        <f t="shared" si="35"/>
        <v>509958</v>
      </c>
      <c r="F87" s="217"/>
      <c r="G87" s="217"/>
      <c r="H87" s="217"/>
      <c r="I87" s="217"/>
      <c r="J87" s="217"/>
      <c r="K87" s="217"/>
      <c r="L87" s="217"/>
      <c r="M87" s="217">
        <f t="shared" si="37"/>
        <v>8503</v>
      </c>
      <c r="N87" s="217"/>
      <c r="O87" s="217"/>
      <c r="P87" s="217"/>
      <c r="Q87" s="217"/>
      <c r="R87" s="871">
        <f t="shared" si="36"/>
        <v>518461</v>
      </c>
      <c r="S87" s="217">
        <f t="shared" si="38"/>
        <v>509958</v>
      </c>
      <c r="T87" s="217"/>
      <c r="U87" s="213"/>
    </row>
    <row r="88" spans="1:21" s="214" customFormat="1">
      <c r="A88" s="215" t="s">
        <v>811</v>
      </c>
      <c r="B88" s="216">
        <f t="shared" si="34"/>
        <v>415921</v>
      </c>
      <c r="C88" s="217">
        <f>425000-9079</f>
        <v>415921</v>
      </c>
      <c r="D88" s="217"/>
      <c r="E88" s="217">
        <f t="shared" si="35"/>
        <v>415921</v>
      </c>
      <c r="F88" s="217"/>
      <c r="G88" s="217"/>
      <c r="H88" s="217"/>
      <c r="I88" s="217"/>
      <c r="J88" s="217"/>
      <c r="K88" s="217"/>
      <c r="L88" s="217"/>
      <c r="M88" s="217"/>
      <c r="N88" s="217"/>
      <c r="O88" s="217"/>
      <c r="P88" s="217"/>
      <c r="Q88" s="217"/>
      <c r="R88" s="871">
        <f t="shared" si="36"/>
        <v>415921</v>
      </c>
      <c r="S88" s="218"/>
      <c r="T88" s="218"/>
      <c r="U88" s="213"/>
    </row>
    <row r="89" spans="1:21" s="214" customFormat="1">
      <c r="A89" s="215" t="s">
        <v>812</v>
      </c>
      <c r="B89" s="216">
        <f t="shared" si="34"/>
        <v>224000</v>
      </c>
      <c r="C89" s="217">
        <v>224000</v>
      </c>
      <c r="D89" s="217"/>
      <c r="E89" s="217">
        <f t="shared" si="35"/>
        <v>224000</v>
      </c>
      <c r="F89" s="217"/>
      <c r="G89" s="217"/>
      <c r="H89" s="217"/>
      <c r="I89" s="217"/>
      <c r="J89" s="217"/>
      <c r="K89" s="217"/>
      <c r="L89" s="217"/>
      <c r="M89" s="217"/>
      <c r="N89" s="217"/>
      <c r="O89" s="217"/>
      <c r="P89" s="217"/>
      <c r="Q89" s="217"/>
      <c r="R89" s="871">
        <f t="shared" si="36"/>
        <v>224000</v>
      </c>
      <c r="S89" s="217">
        <f>C89</f>
        <v>224000</v>
      </c>
      <c r="T89" s="217"/>
      <c r="U89" s="213"/>
    </row>
    <row r="90" spans="1:21" s="214" customFormat="1">
      <c r="A90" s="215" t="s">
        <v>813</v>
      </c>
      <c r="B90" s="216">
        <f t="shared" si="34"/>
        <v>26500</v>
      </c>
      <c r="C90" s="217">
        <v>26500</v>
      </c>
      <c r="D90" s="217"/>
      <c r="E90" s="217">
        <f t="shared" si="35"/>
        <v>26500</v>
      </c>
      <c r="F90" s="217"/>
      <c r="G90" s="217"/>
      <c r="H90" s="217"/>
      <c r="I90" s="217"/>
      <c r="J90" s="217"/>
      <c r="K90" s="217"/>
      <c r="L90" s="217"/>
      <c r="M90" s="217"/>
      <c r="N90" s="217"/>
      <c r="O90" s="217"/>
      <c r="P90" s="217"/>
      <c r="Q90" s="217"/>
      <c r="R90" s="871">
        <f t="shared" si="36"/>
        <v>26500</v>
      </c>
      <c r="S90" s="217"/>
      <c r="T90" s="217"/>
      <c r="U90" s="213"/>
    </row>
    <row r="91" spans="1:21" s="214" customFormat="1">
      <c r="A91" s="1099" t="s">
        <v>386</v>
      </c>
      <c r="B91" s="216">
        <f t="shared" si="34"/>
        <v>0</v>
      </c>
      <c r="C91" s="217"/>
      <c r="D91" s="217"/>
      <c r="E91" s="217"/>
      <c r="F91" s="217"/>
      <c r="G91" s="217"/>
      <c r="H91" s="217"/>
      <c r="I91" s="217"/>
      <c r="J91" s="217"/>
      <c r="K91" s="217"/>
      <c r="L91" s="217"/>
      <c r="M91" s="217"/>
      <c r="N91" s="217"/>
      <c r="O91" s="217"/>
      <c r="P91" s="217"/>
      <c r="Q91" s="217"/>
      <c r="R91" s="871">
        <f t="shared" si="36"/>
        <v>0</v>
      </c>
      <c r="S91" s="217"/>
      <c r="T91" s="217"/>
      <c r="U91" s="213"/>
    </row>
    <row r="92" spans="1:21" s="214" customFormat="1">
      <c r="A92" s="1098" t="s">
        <v>1373</v>
      </c>
      <c r="B92" s="216">
        <f t="shared" si="34"/>
        <v>15000</v>
      </c>
      <c r="C92" s="217">
        <v>14754</v>
      </c>
      <c r="D92" s="217">
        <v>246</v>
      </c>
      <c r="E92" s="217">
        <f t="shared" ref="E92:E95" si="39">B92-SUM(F92:Q92)</f>
        <v>14754</v>
      </c>
      <c r="F92" s="217"/>
      <c r="G92" s="217"/>
      <c r="H92" s="217"/>
      <c r="I92" s="217"/>
      <c r="J92" s="217"/>
      <c r="K92" s="217"/>
      <c r="L92" s="217"/>
      <c r="M92" s="217">
        <f t="shared" ref="M92:M94" si="40">D92</f>
        <v>246</v>
      </c>
      <c r="N92" s="217"/>
      <c r="O92" s="217"/>
      <c r="P92" s="217"/>
      <c r="Q92" s="217"/>
      <c r="R92" s="871">
        <f t="shared" si="36"/>
        <v>15000</v>
      </c>
      <c r="S92" s="217">
        <f>C92</f>
        <v>14754</v>
      </c>
      <c r="T92" s="217"/>
      <c r="U92" s="213"/>
    </row>
    <row r="93" spans="1:21" s="214" customFormat="1" ht="22.8">
      <c r="A93" s="1704" t="s">
        <v>2753</v>
      </c>
      <c r="B93" s="216">
        <f t="shared" si="34"/>
        <v>735923</v>
      </c>
      <c r="C93" s="217">
        <f>170425+544498+9079</f>
        <v>724002</v>
      </c>
      <c r="D93" s="217">
        <f>2842+9079</f>
        <v>11921</v>
      </c>
      <c r="E93" s="217">
        <f t="shared" si="39"/>
        <v>0</v>
      </c>
      <c r="F93" s="217"/>
      <c r="G93" s="217"/>
      <c r="H93" s="217"/>
      <c r="I93" s="217"/>
      <c r="J93" s="217"/>
      <c r="K93" s="217"/>
      <c r="L93" s="217"/>
      <c r="M93" s="217">
        <f t="shared" si="40"/>
        <v>11921</v>
      </c>
      <c r="N93" s="217">
        <f>C93</f>
        <v>724002</v>
      </c>
      <c r="O93" s="217"/>
      <c r="P93" s="217"/>
      <c r="Q93" s="217"/>
      <c r="R93" s="871">
        <f t="shared" si="36"/>
        <v>735923</v>
      </c>
      <c r="S93" s="217">
        <f>110924+341554</f>
        <v>452478</v>
      </c>
      <c r="T93" s="217"/>
      <c r="U93" s="213"/>
    </row>
    <row r="94" spans="1:21" s="214" customFormat="1">
      <c r="A94" s="1704" t="s">
        <v>2754</v>
      </c>
      <c r="B94" s="216">
        <f t="shared" si="34"/>
        <v>25200</v>
      </c>
      <c r="C94" s="1015">
        <v>24787</v>
      </c>
      <c r="D94" s="1015">
        <v>413</v>
      </c>
      <c r="E94" s="217">
        <f t="shared" si="39"/>
        <v>24787</v>
      </c>
      <c r="F94" s="217"/>
      <c r="G94" s="217"/>
      <c r="H94" s="217"/>
      <c r="I94" s="217"/>
      <c r="J94" s="217"/>
      <c r="K94" s="217"/>
      <c r="L94" s="217"/>
      <c r="M94" s="217">
        <f t="shared" si="40"/>
        <v>413</v>
      </c>
      <c r="N94" s="217"/>
      <c r="O94" s="217"/>
      <c r="P94" s="217"/>
      <c r="Q94" s="217"/>
      <c r="R94" s="871">
        <f t="shared" si="36"/>
        <v>25200</v>
      </c>
      <c r="S94" s="217">
        <f t="shared" ref="S94:S95" si="41">C94</f>
        <v>24787</v>
      </c>
      <c r="T94" s="217"/>
      <c r="U94" s="213"/>
    </row>
    <row r="95" spans="1:21" s="214" customFormat="1">
      <c r="A95" s="1704" t="s">
        <v>2755</v>
      </c>
      <c r="B95" s="216">
        <f t="shared" si="34"/>
        <v>220000</v>
      </c>
      <c r="C95" s="1015">
        <v>220000</v>
      </c>
      <c r="D95" s="1015"/>
      <c r="E95" s="217">
        <f t="shared" si="39"/>
        <v>220000</v>
      </c>
      <c r="F95" s="217"/>
      <c r="G95" s="217"/>
      <c r="H95" s="217"/>
      <c r="I95" s="217"/>
      <c r="J95" s="217"/>
      <c r="K95" s="217"/>
      <c r="L95" s="217"/>
      <c r="M95" s="217"/>
      <c r="N95" s="217"/>
      <c r="O95" s="217"/>
      <c r="P95" s="217"/>
      <c r="Q95" s="217"/>
      <c r="R95" s="871">
        <f t="shared" si="36"/>
        <v>220000</v>
      </c>
      <c r="S95" s="217">
        <f t="shared" si="41"/>
        <v>220000</v>
      </c>
      <c r="T95" s="217"/>
      <c r="U95" s="213"/>
    </row>
    <row r="96" spans="1:21" s="214" customFormat="1" ht="12">
      <c r="A96" s="219" t="s">
        <v>814</v>
      </c>
      <c r="B96" s="216">
        <f>SUM(C96:D96)</f>
        <v>2996442</v>
      </c>
      <c r="C96" s="216">
        <f t="shared" ref="C96:R96" si="42">SUM(C83:C95)</f>
        <v>2963456</v>
      </c>
      <c r="D96" s="216">
        <f t="shared" si="42"/>
        <v>32986</v>
      </c>
      <c r="E96" s="216">
        <f t="shared" si="42"/>
        <v>2239454</v>
      </c>
      <c r="F96" s="216">
        <f t="shared" si="42"/>
        <v>0</v>
      </c>
      <c r="G96" s="216">
        <f t="shared" si="42"/>
        <v>0</v>
      </c>
      <c r="H96" s="216">
        <f t="shared" si="42"/>
        <v>0</v>
      </c>
      <c r="I96" s="216">
        <f t="shared" si="42"/>
        <v>0</v>
      </c>
      <c r="J96" s="216">
        <f t="shared" si="42"/>
        <v>0</v>
      </c>
      <c r="K96" s="216">
        <f t="shared" si="42"/>
        <v>0</v>
      </c>
      <c r="L96" s="216">
        <f t="shared" si="42"/>
        <v>0</v>
      </c>
      <c r="M96" s="216">
        <f t="shared" si="42"/>
        <v>32986</v>
      </c>
      <c r="N96" s="216">
        <f t="shared" si="42"/>
        <v>724002</v>
      </c>
      <c r="O96" s="216">
        <f t="shared" si="42"/>
        <v>0</v>
      </c>
      <c r="P96" s="216">
        <f t="shared" si="42"/>
        <v>0</v>
      </c>
      <c r="Q96" s="216">
        <f t="shared" si="42"/>
        <v>0</v>
      </c>
      <c r="R96" s="527">
        <f t="shared" si="42"/>
        <v>2996442</v>
      </c>
      <c r="S96" s="220">
        <f>SUM(S84:S87,S89:S95)</f>
        <v>2159810</v>
      </c>
      <c r="T96" s="216">
        <f>SUM(T84:T87,T89:T95)</f>
        <v>0</v>
      </c>
      <c r="U96" s="213"/>
    </row>
    <row r="97" spans="1:21" s="214" customFormat="1" ht="12">
      <c r="A97" s="219" t="s">
        <v>815</v>
      </c>
      <c r="B97" s="216">
        <f>SUM(C97:D97)</f>
        <v>88123824</v>
      </c>
      <c r="C97" s="216">
        <f t="shared" ref="C97:R97" si="43">SUM(C63+C70+C77+C81+C96)</f>
        <v>86798926</v>
      </c>
      <c r="D97" s="216">
        <f t="shared" si="43"/>
        <v>1324898</v>
      </c>
      <c r="E97" s="216">
        <f t="shared" si="43"/>
        <v>39567485</v>
      </c>
      <c r="F97" s="216">
        <f t="shared" si="43"/>
        <v>3103000</v>
      </c>
      <c r="G97" s="216">
        <f t="shared" si="43"/>
        <v>20000000</v>
      </c>
      <c r="H97" s="216">
        <f t="shared" si="43"/>
        <v>12150000</v>
      </c>
      <c r="I97" s="216">
        <f t="shared" si="43"/>
        <v>7064139</v>
      </c>
      <c r="J97" s="216">
        <f t="shared" si="43"/>
        <v>1000000</v>
      </c>
      <c r="K97" s="216">
        <f t="shared" si="43"/>
        <v>1000000</v>
      </c>
      <c r="L97" s="216">
        <f t="shared" si="43"/>
        <v>2190300</v>
      </c>
      <c r="M97" s="216">
        <f t="shared" si="43"/>
        <v>1324898</v>
      </c>
      <c r="N97" s="216">
        <f t="shared" si="43"/>
        <v>724002</v>
      </c>
      <c r="O97" s="216">
        <f t="shared" si="43"/>
        <v>0</v>
      </c>
      <c r="P97" s="216">
        <f t="shared" si="43"/>
        <v>0</v>
      </c>
      <c r="Q97" s="216">
        <f t="shared" si="43"/>
        <v>0</v>
      </c>
      <c r="R97" s="216">
        <f t="shared" si="43"/>
        <v>88123824</v>
      </c>
      <c r="S97" s="216">
        <f>SUM(S63+S70+S81+S96)</f>
        <v>80106678</v>
      </c>
      <c r="T97" s="216">
        <f>SUM(T63+T70+T81+T96)</f>
        <v>0</v>
      </c>
      <c r="U97" s="213"/>
    </row>
    <row r="98" spans="1:21" s="214" customFormat="1">
      <c r="A98" s="211" t="s">
        <v>816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817</v>
      </c>
      <c r="B99" s="216">
        <f>SUM(C99+D99)</f>
        <v>2200000</v>
      </c>
      <c r="C99" s="1015">
        <v>2163919</v>
      </c>
      <c r="D99" s="1015">
        <v>36081</v>
      </c>
      <c r="E99" s="217">
        <f>B99-SUM(F99:Q99)</f>
        <v>2163919</v>
      </c>
      <c r="F99" s="217"/>
      <c r="G99" s="217"/>
      <c r="H99" s="217"/>
      <c r="I99" s="217"/>
      <c r="J99" s="217"/>
      <c r="K99" s="217"/>
      <c r="L99" s="217"/>
      <c r="M99" s="217">
        <f>D99</f>
        <v>36081</v>
      </c>
      <c r="N99" s="217"/>
      <c r="O99" s="217"/>
      <c r="P99" s="217"/>
      <c r="Q99" s="217"/>
      <c r="R99" s="871">
        <f t="shared" ref="R99:R103" si="44">SUM(E99:Q99)</f>
        <v>2200000</v>
      </c>
      <c r="S99" s="217">
        <f>C99</f>
        <v>2163919</v>
      </c>
      <c r="T99" s="217"/>
      <c r="U99" s="213"/>
    </row>
    <row r="100" spans="1:21" s="214" customFormat="1">
      <c r="A100" s="437" t="s">
        <v>1849</v>
      </c>
      <c r="B100" s="216">
        <f t="shared" ref="B100:B103" si="45">SUM(C100+D100)</f>
        <v>0</v>
      </c>
      <c r="C100" s="217"/>
      <c r="D100" s="217"/>
      <c r="E100" s="217"/>
      <c r="F100" s="217"/>
      <c r="G100" s="217"/>
      <c r="H100" s="217"/>
      <c r="I100" s="217"/>
      <c r="J100" s="217"/>
      <c r="K100" s="217"/>
      <c r="L100" s="217"/>
      <c r="M100" s="217"/>
      <c r="N100" s="217"/>
      <c r="O100" s="217"/>
      <c r="P100" s="217"/>
      <c r="Q100" s="217"/>
      <c r="R100" s="871">
        <f t="shared" si="44"/>
        <v>0</v>
      </c>
      <c r="S100" s="217"/>
      <c r="T100" s="217"/>
      <c r="U100" s="213"/>
    </row>
    <row r="101" spans="1:21" s="214" customFormat="1" ht="12" customHeight="1">
      <c r="A101" s="215" t="s">
        <v>818</v>
      </c>
      <c r="B101" s="216">
        <f t="shared" si="45"/>
        <v>0</v>
      </c>
      <c r="C101" s="217"/>
      <c r="D101" s="217"/>
      <c r="E101" s="217"/>
      <c r="F101" s="217"/>
      <c r="G101" s="217"/>
      <c r="H101" s="217"/>
      <c r="I101" s="217"/>
      <c r="J101" s="217"/>
      <c r="K101" s="217"/>
      <c r="L101" s="217"/>
      <c r="M101" s="217"/>
      <c r="N101" s="217"/>
      <c r="O101" s="217"/>
      <c r="P101" s="217"/>
      <c r="Q101" s="217"/>
      <c r="R101" s="871">
        <f t="shared" si="44"/>
        <v>0</v>
      </c>
      <c r="S101" s="217"/>
      <c r="T101" s="217"/>
      <c r="U101" s="213"/>
    </row>
    <row r="102" spans="1:21" s="214" customFormat="1">
      <c r="A102" s="437" t="s">
        <v>1850</v>
      </c>
      <c r="B102" s="216">
        <f t="shared" si="45"/>
        <v>0</v>
      </c>
      <c r="C102" s="217"/>
      <c r="D102" s="217"/>
      <c r="E102" s="217"/>
      <c r="F102" s="217"/>
      <c r="G102" s="217"/>
      <c r="H102" s="217"/>
      <c r="I102" s="217"/>
      <c r="J102" s="217"/>
      <c r="K102" s="217"/>
      <c r="L102" s="217"/>
      <c r="M102" s="217"/>
      <c r="N102" s="217"/>
      <c r="O102" s="217"/>
      <c r="P102" s="217"/>
      <c r="Q102" s="217"/>
      <c r="R102" s="871">
        <f t="shared" si="44"/>
        <v>0</v>
      </c>
      <c r="S102" s="217"/>
      <c r="T102" s="217"/>
      <c r="U102" s="213"/>
    </row>
    <row r="103" spans="1:21" s="214" customFormat="1">
      <c r="A103" s="222" t="s">
        <v>35</v>
      </c>
      <c r="B103" s="216">
        <f t="shared" si="45"/>
        <v>0</v>
      </c>
      <c r="C103" s="217"/>
      <c r="D103" s="217"/>
      <c r="E103" s="217"/>
      <c r="F103" s="217"/>
      <c r="G103" s="217"/>
      <c r="H103" s="217"/>
      <c r="I103" s="217"/>
      <c r="J103" s="217"/>
      <c r="K103" s="217"/>
      <c r="L103" s="217"/>
      <c r="M103" s="217"/>
      <c r="N103" s="217"/>
      <c r="O103" s="217"/>
      <c r="P103" s="217"/>
      <c r="Q103" s="217"/>
      <c r="R103" s="871">
        <f t="shared" si="44"/>
        <v>0</v>
      </c>
      <c r="S103" s="217"/>
      <c r="T103" s="217"/>
      <c r="U103" s="213"/>
    </row>
    <row r="104" spans="1:21" s="214" customFormat="1" ht="12">
      <c r="A104" s="219" t="s">
        <v>819</v>
      </c>
      <c r="B104" s="216">
        <f>SUM(C104:D104)</f>
        <v>2200000</v>
      </c>
      <c r="C104" s="216">
        <f>SUM(C99:C103)</f>
        <v>2163919</v>
      </c>
      <c r="D104" s="216">
        <f t="shared" ref="D104:T104" si="46">SUM(D99:D103)</f>
        <v>36081</v>
      </c>
      <c r="E104" s="216">
        <f t="shared" si="46"/>
        <v>2163919</v>
      </c>
      <c r="F104" s="216">
        <f t="shared" si="46"/>
        <v>0</v>
      </c>
      <c r="G104" s="216">
        <f t="shared" si="46"/>
        <v>0</v>
      </c>
      <c r="H104" s="216">
        <f t="shared" si="46"/>
        <v>0</v>
      </c>
      <c r="I104" s="216">
        <f t="shared" si="46"/>
        <v>0</v>
      </c>
      <c r="J104" s="216">
        <f t="shared" si="46"/>
        <v>0</v>
      </c>
      <c r="K104" s="216">
        <f t="shared" si="46"/>
        <v>0</v>
      </c>
      <c r="L104" s="216">
        <f t="shared" si="46"/>
        <v>0</v>
      </c>
      <c r="M104" s="216">
        <f t="shared" si="46"/>
        <v>36081</v>
      </c>
      <c r="N104" s="216">
        <f t="shared" si="46"/>
        <v>0</v>
      </c>
      <c r="O104" s="216">
        <f t="shared" si="46"/>
        <v>0</v>
      </c>
      <c r="P104" s="216">
        <f t="shared" si="46"/>
        <v>0</v>
      </c>
      <c r="Q104" s="216">
        <f t="shared" si="46"/>
        <v>0</v>
      </c>
      <c r="R104" s="527">
        <f t="shared" si="46"/>
        <v>2200000</v>
      </c>
      <c r="S104" s="220">
        <f t="shared" si="46"/>
        <v>2163919</v>
      </c>
      <c r="T104" s="220">
        <f t="shared" si="46"/>
        <v>0</v>
      </c>
      <c r="U104" s="213"/>
    </row>
    <row r="105" spans="1:21" s="214" customFormat="1" ht="12">
      <c r="A105" s="219" t="s">
        <v>820</v>
      </c>
      <c r="B105" s="220">
        <f>SUM(C105:D105)</f>
        <v>90323824</v>
      </c>
      <c r="C105" s="220">
        <f t="shared" ref="C105:R105" si="47">SUM(C97+C104)</f>
        <v>88962845</v>
      </c>
      <c r="D105" s="220">
        <f t="shared" si="47"/>
        <v>1360979</v>
      </c>
      <c r="E105" s="220">
        <f t="shared" si="47"/>
        <v>41731404</v>
      </c>
      <c r="F105" s="220">
        <f t="shared" si="47"/>
        <v>3103000</v>
      </c>
      <c r="G105" s="220">
        <f t="shared" si="47"/>
        <v>20000000</v>
      </c>
      <c r="H105" s="220">
        <f t="shared" si="47"/>
        <v>12150000</v>
      </c>
      <c r="I105" s="220">
        <f t="shared" si="47"/>
        <v>7064139</v>
      </c>
      <c r="J105" s="220">
        <f t="shared" si="47"/>
        <v>1000000</v>
      </c>
      <c r="K105" s="220">
        <f t="shared" si="47"/>
        <v>1000000</v>
      </c>
      <c r="L105" s="220">
        <f t="shared" si="47"/>
        <v>2190300</v>
      </c>
      <c r="M105" s="220">
        <f t="shared" si="47"/>
        <v>1360979</v>
      </c>
      <c r="N105" s="220">
        <f t="shared" si="47"/>
        <v>724002</v>
      </c>
      <c r="O105" s="220">
        <f t="shared" si="47"/>
        <v>0</v>
      </c>
      <c r="P105" s="220">
        <f t="shared" si="47"/>
        <v>0</v>
      </c>
      <c r="Q105" s="220">
        <f t="shared" si="47"/>
        <v>0</v>
      </c>
      <c r="R105" s="527">
        <f t="shared" si="47"/>
        <v>90323824</v>
      </c>
      <c r="S105" s="220">
        <f>S97+S104</f>
        <v>82270597</v>
      </c>
      <c r="T105" s="220">
        <f>T97+T104</f>
        <v>0</v>
      </c>
      <c r="U105" s="213"/>
    </row>
    <row r="106" spans="1:21" ht="12">
      <c r="A106" s="858" t="s">
        <v>1098</v>
      </c>
      <c r="B106" s="228"/>
      <c r="C106" s="228"/>
      <c r="D106" s="228"/>
      <c r="H106" s="230" t="s">
        <v>97</v>
      </c>
      <c r="I106" s="230"/>
      <c r="J106" s="230"/>
      <c r="R106" s="231" t="s">
        <v>98</v>
      </c>
      <c r="S106" s="217"/>
      <c r="T106" s="217"/>
    </row>
    <row r="107" spans="1:21" ht="12">
      <c r="A107" s="228" t="s">
        <v>188</v>
      </c>
      <c r="C107" s="228"/>
      <c r="D107" s="228"/>
      <c r="I107" s="233" t="s">
        <v>356</v>
      </c>
      <c r="J107" s="233"/>
      <c r="R107" s="231" t="s">
        <v>99</v>
      </c>
      <c r="S107" s="234">
        <f>S105+S106</f>
        <v>82270597</v>
      </c>
      <c r="T107" s="234">
        <f>T105+T106</f>
        <v>0</v>
      </c>
    </row>
    <row r="108" spans="1:21" s="300" customFormat="1" ht="12">
      <c r="A108" s="233" t="s">
        <v>925</v>
      </c>
      <c r="B108" s="228"/>
      <c r="C108" s="228"/>
      <c r="D108" s="228"/>
      <c r="E108" s="461">
        <f>Application!AO650</f>
        <v>41731404</v>
      </c>
      <c r="F108" s="461">
        <f>Application!AO637</f>
        <v>3103000</v>
      </c>
      <c r="G108" s="461">
        <f>Application!AO638</f>
        <v>20000000</v>
      </c>
      <c r="H108" s="461">
        <f>Application!AO639</f>
        <v>12150000</v>
      </c>
      <c r="I108" s="461">
        <f>Application!AO640</f>
        <v>7064139</v>
      </c>
      <c r="J108" s="461">
        <f>Application!AO641</f>
        <v>1000000</v>
      </c>
      <c r="K108" s="461">
        <f>Application!AO642</f>
        <v>1000000</v>
      </c>
      <c r="L108" s="461">
        <f>Application!AO643</f>
        <v>2190300</v>
      </c>
      <c r="M108" s="461">
        <f>Application!AO644</f>
        <v>1360979</v>
      </c>
      <c r="N108" s="461">
        <f>Application!AO645</f>
        <v>724002</v>
      </c>
      <c r="O108" s="461">
        <f>Application!AO646</f>
        <v>0</v>
      </c>
      <c r="P108" s="461">
        <f>Application!AO647</f>
        <v>0</v>
      </c>
      <c r="Q108" s="461">
        <f>Application!AO648</f>
        <v>0</v>
      </c>
      <c r="R108" s="229"/>
      <c r="S108" s="229"/>
      <c r="T108" s="229"/>
      <c r="U108" s="299"/>
    </row>
    <row r="109" spans="1:21" ht="10.35" customHeight="1">
      <c r="A109" s="228"/>
      <c r="B109" s="228"/>
      <c r="C109" s="228"/>
      <c r="D109" s="228"/>
    </row>
    <row r="110" spans="1:21" ht="12">
      <c r="A110" s="233" t="s">
        <v>1014</v>
      </c>
      <c r="B110" s="228"/>
      <c r="C110" s="228"/>
      <c r="D110" s="228"/>
    </row>
    <row r="111" spans="1:21" ht="12">
      <c r="A111" s="227" t="s">
        <v>1015</v>
      </c>
      <c r="B111" s="228"/>
      <c r="C111" s="228"/>
      <c r="D111" s="228"/>
    </row>
    <row r="112" spans="1:21" ht="12" customHeight="1">
      <c r="A112" s="480"/>
      <c r="B112" s="228"/>
      <c r="C112" s="228"/>
      <c r="D112" s="228"/>
    </row>
    <row r="113" spans="1:21" ht="12">
      <c r="A113" s="227" t="s">
        <v>1094</v>
      </c>
      <c r="B113" s="228"/>
      <c r="C113" s="228"/>
      <c r="D113" s="228"/>
    </row>
    <row r="114" spans="1:21" ht="12">
      <c r="A114" s="227" t="s">
        <v>2726</v>
      </c>
      <c r="B114" s="228"/>
      <c r="C114" s="228"/>
      <c r="D114" s="228"/>
    </row>
    <row r="115" spans="1:21" ht="12" customHeight="1">
      <c r="A115" s="480"/>
      <c r="B115" s="228"/>
      <c r="C115" s="228"/>
      <c r="D115" s="228"/>
    </row>
    <row r="116" spans="1:21" ht="12">
      <c r="A116" s="530" t="s">
        <v>1100</v>
      </c>
      <c r="B116" s="228"/>
      <c r="C116" s="228"/>
      <c r="D116" s="228"/>
    </row>
    <row r="117" spans="1:21" ht="12">
      <c r="A117" s="530" t="s">
        <v>1389</v>
      </c>
      <c r="B117" s="228"/>
      <c r="C117" s="228"/>
      <c r="D117" s="228"/>
    </row>
    <row r="118" spans="1:21" ht="12">
      <c r="A118" s="530" t="s">
        <v>1099</v>
      </c>
      <c r="B118" s="228"/>
      <c r="C118" s="228"/>
      <c r="D118" s="228"/>
    </row>
    <row r="119" spans="1:21" ht="12">
      <c r="A119" s="530" t="s">
        <v>1101</v>
      </c>
      <c r="B119" s="228"/>
      <c r="C119" s="228"/>
      <c r="D119" s="228"/>
    </row>
    <row r="120" spans="1:21" ht="12" customHeight="1">
      <c r="A120" s="529"/>
      <c r="B120" s="228"/>
      <c r="C120" s="228"/>
      <c r="D120" s="228"/>
    </row>
    <row r="121" spans="1:21" ht="15.6">
      <c r="A121" s="523" t="s">
        <v>1079</v>
      </c>
      <c r="B121" s="228"/>
      <c r="C121" s="228"/>
      <c r="D121" s="228"/>
    </row>
    <row r="122" spans="1:21">
      <c r="A122" s="508" t="s">
        <v>1063</v>
      </c>
      <c r="B122" s="507"/>
      <c r="C122" s="507"/>
      <c r="D122" s="2431" t="s">
        <v>1064</v>
      </c>
      <c r="E122" s="2431"/>
      <c r="F122" s="2431"/>
      <c r="G122" s="507"/>
      <c r="H122" s="507"/>
      <c r="I122" s="507"/>
      <c r="J122" s="507"/>
      <c r="K122" s="507"/>
      <c r="L122" s="507"/>
      <c r="M122" s="507"/>
      <c r="N122" s="507"/>
      <c r="O122" s="507"/>
      <c r="P122" s="507"/>
      <c r="Q122" s="507"/>
      <c r="R122" s="507"/>
      <c r="S122" s="507"/>
      <c r="T122" s="507"/>
      <c r="U122" s="509"/>
    </row>
    <row r="123" spans="1:21">
      <c r="A123" s="507" t="s">
        <v>1065</v>
      </c>
      <c r="B123" s="516"/>
      <c r="C123" s="507"/>
      <c r="D123" s="2421" t="s">
        <v>1390</v>
      </c>
      <c r="E123" s="2422"/>
      <c r="F123" s="2422"/>
      <c r="G123" s="2422"/>
      <c r="H123" s="2422"/>
      <c r="I123" s="2422"/>
      <c r="J123" s="2422"/>
      <c r="K123" s="2422"/>
      <c r="L123" s="2422"/>
      <c r="M123" s="2422"/>
      <c r="N123" s="2422"/>
      <c r="O123" s="2422"/>
      <c r="P123" s="2422"/>
      <c r="Q123" s="2422"/>
      <c r="R123" s="2422"/>
      <c r="S123" s="2422"/>
      <c r="T123" s="507"/>
      <c r="U123" s="509"/>
    </row>
    <row r="124" spans="1:21" ht="13.2">
      <c r="A124" s="506" t="s">
        <v>1066</v>
      </c>
      <c r="B124" s="516"/>
      <c r="C124" s="506"/>
      <c r="D124" s="2422"/>
      <c r="E124" s="2422"/>
      <c r="F124" s="2422"/>
      <c r="G124" s="2422"/>
      <c r="H124" s="2422"/>
      <c r="I124" s="2422"/>
      <c r="J124" s="2422"/>
      <c r="K124" s="2422"/>
      <c r="L124" s="2422"/>
      <c r="M124" s="2422"/>
      <c r="N124" s="2422"/>
      <c r="O124" s="2422"/>
      <c r="P124" s="2422"/>
      <c r="Q124" s="2422"/>
      <c r="R124" s="2422"/>
      <c r="S124" s="2422"/>
      <c r="T124" s="507"/>
      <c r="U124" s="509"/>
    </row>
    <row r="125" spans="1:21" ht="13.2">
      <c r="A125" s="506" t="s">
        <v>1067</v>
      </c>
      <c r="B125" s="516"/>
      <c r="C125" s="506"/>
      <c r="D125" s="2422"/>
      <c r="E125" s="2422"/>
      <c r="F125" s="2422"/>
      <c r="G125" s="2422"/>
      <c r="H125" s="2422"/>
      <c r="I125" s="2422"/>
      <c r="J125" s="2422"/>
      <c r="K125" s="2422"/>
      <c r="L125" s="2422"/>
      <c r="M125" s="2422"/>
      <c r="N125" s="2422"/>
      <c r="O125" s="2422"/>
      <c r="P125" s="2422"/>
      <c r="Q125" s="2422"/>
      <c r="R125" s="2422"/>
      <c r="S125" s="2422"/>
      <c r="T125" s="507"/>
      <c r="U125" s="509"/>
    </row>
    <row r="126" spans="1:21" ht="13.2">
      <c r="A126" s="506" t="s">
        <v>1068</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3.2">
      <c r="A127" s="506" t="s">
        <v>1069</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3.2">
      <c r="A128" s="506" t="s">
        <v>1070</v>
      </c>
      <c r="B128" s="516"/>
      <c r="C128" s="506"/>
      <c r="D128" s="2429"/>
      <c r="E128" s="2429"/>
      <c r="F128" s="2429"/>
      <c r="G128" s="2429"/>
      <c r="H128" s="2429"/>
      <c r="I128" s="506"/>
      <c r="J128" s="2420"/>
      <c r="K128" s="2420"/>
      <c r="L128" s="506"/>
      <c r="M128" s="506"/>
      <c r="N128" s="506"/>
      <c r="O128" s="506"/>
      <c r="P128" s="506"/>
      <c r="Q128" s="506"/>
      <c r="R128" s="506"/>
      <c r="S128" s="506"/>
      <c r="T128" s="507"/>
      <c r="U128" s="509"/>
    </row>
    <row r="129" spans="1:21" ht="13.2">
      <c r="A129" s="506" t="s">
        <v>305</v>
      </c>
      <c r="B129" s="516"/>
      <c r="C129" s="506"/>
      <c r="D129" s="2430" t="s">
        <v>1071</v>
      </c>
      <c r="E129" s="2430"/>
      <c r="F129" s="2430"/>
      <c r="G129" s="2430"/>
      <c r="H129" s="2430"/>
      <c r="I129" s="506"/>
      <c r="J129" s="506" t="s">
        <v>1072</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2">
      <c r="A131" s="519" t="s">
        <v>1073</v>
      </c>
      <c r="B131" s="517">
        <f>SUM(B123:B129)</f>
        <v>0</v>
      </c>
      <c r="C131" s="506"/>
      <c r="D131" s="1915"/>
      <c r="E131" s="1915"/>
      <c r="F131" s="1915"/>
      <c r="G131" s="1915"/>
      <c r="H131" s="1915"/>
      <c r="I131" s="506"/>
      <c r="J131" s="1915"/>
      <c r="K131" s="1915"/>
      <c r="L131" s="1915"/>
      <c r="M131" s="1915"/>
      <c r="N131" s="506"/>
      <c r="O131" s="506"/>
      <c r="P131" s="506"/>
      <c r="Q131" s="506"/>
      <c r="R131" s="506"/>
      <c r="S131" s="506"/>
      <c r="T131" s="507"/>
      <c r="U131" s="509"/>
    </row>
    <row r="132" spans="1:21" ht="12" customHeight="1">
      <c r="A132" s="520"/>
      <c r="B132" s="506"/>
      <c r="C132" s="506"/>
      <c r="D132" s="2423" t="s">
        <v>1074</v>
      </c>
      <c r="E132" s="2423"/>
      <c r="F132" s="2423"/>
      <c r="G132" s="2423"/>
      <c r="H132" s="2423"/>
      <c r="I132" s="506"/>
      <c r="J132" s="2423" t="s">
        <v>1075</v>
      </c>
      <c r="K132" s="2423"/>
      <c r="L132" s="2423"/>
      <c r="M132" s="2423"/>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2">
      <c r="A134" s="521" t="s">
        <v>1076</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2">
      <c r="A135" s="480" t="s">
        <v>1077</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2">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424"/>
      <c r="B138" s="2425"/>
      <c r="C138" s="2425"/>
      <c r="D138" s="511"/>
      <c r="E138" s="2420"/>
      <c r="F138" s="2420"/>
      <c r="G138" s="506"/>
      <c r="H138" s="506"/>
      <c r="I138" s="506"/>
      <c r="J138" s="506"/>
      <c r="K138" s="506"/>
      <c r="L138" s="506"/>
      <c r="M138" s="506"/>
      <c r="N138" s="506"/>
      <c r="O138" s="506"/>
      <c r="P138" s="506"/>
      <c r="Q138" s="506"/>
      <c r="R138" s="506"/>
      <c r="S138" s="506"/>
      <c r="T138" s="513"/>
      <c r="U138" s="514"/>
    </row>
    <row r="139" spans="1:21" ht="13.2">
      <c r="A139" s="2418" t="s">
        <v>1078</v>
      </c>
      <c r="B139" s="2419"/>
      <c r="C139" s="2419"/>
      <c r="D139" s="511"/>
      <c r="E139" s="506" t="s">
        <v>1072</v>
      </c>
      <c r="F139" s="506"/>
      <c r="G139" s="506"/>
      <c r="H139" s="506"/>
      <c r="I139" s="506"/>
      <c r="J139" s="506"/>
      <c r="K139" s="506"/>
      <c r="L139" s="506"/>
      <c r="M139" s="506"/>
      <c r="N139" s="506"/>
      <c r="O139" s="506"/>
      <c r="P139" s="506"/>
      <c r="Q139" s="506"/>
      <c r="R139" s="506"/>
      <c r="S139" s="506"/>
      <c r="T139" s="513"/>
      <c r="U139" s="514"/>
    </row>
    <row r="140" spans="1:21" ht="13.2">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bjec6ITJOlRklmFtHjZ5SFkJVZHhZq4N3UZyUA9eo4LnQRK1vgC6x8tunLvaAUOTBvObN+4/mjNIxXTscG/nIQ==" saltValue="3XmjM6vtQyhyK6tn8ErFf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58" stopIfTrue="1">
      <formula>T9&gt;C9</formula>
    </cfRule>
  </conditionalFormatting>
  <conditionalFormatting sqref="S10">
    <cfRule type="expression" dxfId="151" priority="257" stopIfTrue="1">
      <formula>(S10+T10)&gt;C10</formula>
    </cfRule>
  </conditionalFormatting>
  <conditionalFormatting sqref="R8">
    <cfRule type="cellIs" dxfId="150" priority="246" stopIfTrue="1" operator="notEqual">
      <formula>$B8</formula>
    </cfRule>
    <cfRule type="cellIs" priority="249" stopIfTrue="1" operator="notEqual">
      <formula>$B8</formula>
    </cfRule>
  </conditionalFormatting>
  <conditionalFormatting sqref="R4:R7 R56:R61 R45:R53 R83:R95 R99:R103">
    <cfRule type="cellIs" dxfId="149" priority="248" stopIfTrue="1" operator="notEqual">
      <formula>$B4</formula>
    </cfRule>
  </conditionalFormatting>
  <conditionalFormatting sqref="R9:R10">
    <cfRule type="cellIs" dxfId="148" priority="247" stopIfTrue="1" operator="notEqual">
      <formula>$B9</formula>
    </cfRule>
  </conditionalFormatting>
  <conditionalFormatting sqref="R11:R12">
    <cfRule type="cellIs" dxfId="147" priority="244" stopIfTrue="1" operator="notEqual">
      <formula>$B11</formula>
    </cfRule>
    <cfRule type="cellIs" priority="245" stopIfTrue="1" operator="notEqual">
      <formula>$B11</formula>
    </cfRule>
  </conditionalFormatting>
  <conditionalFormatting sqref="R13:R15">
    <cfRule type="cellIs" dxfId="146" priority="243" stopIfTrue="1" operator="notEqual">
      <formula>$B13</formula>
    </cfRule>
  </conditionalFormatting>
  <conditionalFormatting sqref="R26">
    <cfRule type="cellIs" dxfId="145" priority="241" stopIfTrue="1" operator="notEqual">
      <formula>$B26</formula>
    </cfRule>
    <cfRule type="cellIs" priority="242" stopIfTrue="1" operator="notEqual">
      <formula>$B26</formula>
    </cfRule>
  </conditionalFormatting>
  <conditionalFormatting sqref="R17:R25">
    <cfRule type="cellIs" dxfId="144" priority="240" stopIfTrue="1" operator="notEqual">
      <formula>$B17</formula>
    </cfRule>
  </conditionalFormatting>
  <conditionalFormatting sqref="R27">
    <cfRule type="cellIs" dxfId="143" priority="239" stopIfTrue="1" operator="notEqual">
      <formula>$B27</formula>
    </cfRule>
  </conditionalFormatting>
  <conditionalFormatting sqref="R38">
    <cfRule type="cellIs" dxfId="142" priority="237" stopIfTrue="1" operator="notEqual">
      <formula>$B38</formula>
    </cfRule>
    <cfRule type="cellIs" priority="238" stopIfTrue="1" operator="notEqual">
      <formula>$B38</formula>
    </cfRule>
  </conditionalFormatting>
  <conditionalFormatting sqref="R29:R37">
    <cfRule type="cellIs" dxfId="141" priority="236" stopIfTrue="1" operator="notEqual">
      <formula>$B29</formula>
    </cfRule>
  </conditionalFormatting>
  <conditionalFormatting sqref="R42">
    <cfRule type="cellIs" dxfId="140" priority="234" stopIfTrue="1" operator="notEqual">
      <formula>$B42</formula>
    </cfRule>
    <cfRule type="cellIs" priority="235" stopIfTrue="1" operator="notEqual">
      <formula>$B42</formula>
    </cfRule>
  </conditionalFormatting>
  <conditionalFormatting sqref="R40:R41">
    <cfRule type="cellIs" dxfId="139" priority="233" stopIfTrue="1" operator="notEqual">
      <formula>$B40</formula>
    </cfRule>
  </conditionalFormatting>
  <conditionalFormatting sqref="R43">
    <cfRule type="cellIs" dxfId="138" priority="232" stopIfTrue="1" operator="notEqual">
      <formula>$B43</formula>
    </cfRule>
  </conditionalFormatting>
  <conditionalFormatting sqref="R54">
    <cfRule type="cellIs" dxfId="137" priority="230" stopIfTrue="1" operator="notEqual">
      <formula>$B54</formula>
    </cfRule>
    <cfRule type="cellIs" priority="231" stopIfTrue="1" operator="notEqual">
      <formula>$B54</formula>
    </cfRule>
  </conditionalFormatting>
  <conditionalFormatting sqref="R62:R63">
    <cfRule type="cellIs" dxfId="136" priority="227" stopIfTrue="1" operator="notEqual">
      <formula>$B62</formula>
    </cfRule>
    <cfRule type="cellIs" priority="228" stopIfTrue="1" operator="notEqual">
      <formula>$B62</formula>
    </cfRule>
  </conditionalFormatting>
  <conditionalFormatting sqref="R70">
    <cfRule type="cellIs" dxfId="135" priority="224" stopIfTrue="1" operator="notEqual">
      <formula>$B70</formula>
    </cfRule>
    <cfRule type="cellIs" priority="225" stopIfTrue="1" operator="notEqual">
      <formula>$B70</formula>
    </cfRule>
  </conditionalFormatting>
  <conditionalFormatting sqref="R65:R69">
    <cfRule type="cellIs" dxfId="134" priority="223" stopIfTrue="1" operator="notEqual">
      <formula>$B65</formula>
    </cfRule>
  </conditionalFormatting>
  <conditionalFormatting sqref="R77">
    <cfRule type="cellIs" dxfId="133" priority="221" stopIfTrue="1" operator="notEqual">
      <formula>$B77</formula>
    </cfRule>
    <cfRule type="cellIs" priority="222" stopIfTrue="1" operator="notEqual">
      <formula>$B77</formula>
    </cfRule>
  </conditionalFormatting>
  <conditionalFormatting sqref="R96">
    <cfRule type="cellIs" dxfId="132" priority="219" stopIfTrue="1" operator="notEqual">
      <formula>$B96</formula>
    </cfRule>
    <cfRule type="cellIs" priority="220" stopIfTrue="1" operator="notEqual">
      <formula>$B96</formula>
    </cfRule>
  </conditionalFormatting>
  <conditionalFormatting sqref="R72:R76">
    <cfRule type="cellIs" dxfId="131" priority="218" stopIfTrue="1" operator="notEqual">
      <formula>$B72</formula>
    </cfRule>
  </conditionalFormatting>
  <conditionalFormatting sqref="R79:R80">
    <cfRule type="cellIs" dxfId="130" priority="217" stopIfTrue="1" operator="notEqual">
      <formula>$B79</formula>
    </cfRule>
  </conditionalFormatting>
  <conditionalFormatting sqref="R104:R105">
    <cfRule type="cellIs" dxfId="129" priority="214" stopIfTrue="1" operator="notEqual">
      <formula>$B104</formula>
    </cfRule>
    <cfRule type="cellIs" priority="215" stopIfTrue="1" operator="notEqual">
      <formula>$B104</formula>
    </cfRule>
  </conditionalFormatting>
  <conditionalFormatting sqref="E105:Q105">
    <cfRule type="cellIs" dxfId="128" priority="212" stopIfTrue="1" operator="notEqual">
      <formula>E$108</formula>
    </cfRule>
  </conditionalFormatting>
  <conditionalFormatting sqref="S13">
    <cfRule type="expression" dxfId="127" priority="209" stopIfTrue="1">
      <formula>(S13+T13)&gt;C13</formula>
    </cfRule>
  </conditionalFormatting>
  <conditionalFormatting sqref="S14">
    <cfRule type="expression" dxfId="126" priority="206" stopIfTrue="1">
      <formula>(S14+T14)&gt;C14</formula>
    </cfRule>
  </conditionalFormatting>
  <conditionalFormatting sqref="S17">
    <cfRule type="expression" dxfId="125" priority="205" stopIfTrue="1">
      <formula>(S17+T17)&gt;C17</formula>
    </cfRule>
  </conditionalFormatting>
  <conditionalFormatting sqref="S18">
    <cfRule type="expression" dxfId="124" priority="197" stopIfTrue="1">
      <formula>(S18+T18)&gt;C18</formula>
    </cfRule>
  </conditionalFormatting>
  <conditionalFormatting sqref="S19">
    <cfRule type="expression" dxfId="123" priority="195" stopIfTrue="1">
      <formula>(S19+T19)&gt;C19</formula>
    </cfRule>
  </conditionalFormatting>
  <conditionalFormatting sqref="S20">
    <cfRule type="expression" dxfId="122" priority="194" stopIfTrue="1">
      <formula>(S20+T20)&gt;C20</formula>
    </cfRule>
  </conditionalFormatting>
  <conditionalFormatting sqref="S21">
    <cfRule type="expression" dxfId="121" priority="193" stopIfTrue="1">
      <formula>(S21+T21)&gt;C21</formula>
    </cfRule>
  </conditionalFormatting>
  <conditionalFormatting sqref="S22">
    <cfRule type="expression" dxfId="120" priority="192" stopIfTrue="1">
      <formula>(S22+T22)&gt;C22</formula>
    </cfRule>
  </conditionalFormatting>
  <conditionalFormatting sqref="S23:S24">
    <cfRule type="expression" dxfId="119" priority="191" stopIfTrue="1">
      <formula>(S23+T23)&gt;C23</formula>
    </cfRule>
  </conditionalFormatting>
  <conditionalFormatting sqref="S25">
    <cfRule type="expression" dxfId="118" priority="190" stopIfTrue="1">
      <formula>(S25+T25)&gt;C25</formula>
    </cfRule>
  </conditionalFormatting>
  <conditionalFormatting sqref="S27">
    <cfRule type="expression" dxfId="117" priority="183" stopIfTrue="1">
      <formula>(S27+T27)&gt;C27</formula>
    </cfRule>
  </conditionalFormatting>
  <conditionalFormatting sqref="S29:S33">
    <cfRule type="expression" dxfId="116" priority="181" stopIfTrue="1">
      <formula>(S29+T29)&gt;C29</formula>
    </cfRule>
  </conditionalFormatting>
  <conditionalFormatting sqref="S34">
    <cfRule type="expression" dxfId="115" priority="175" stopIfTrue="1">
      <formula>(S34+T34)&gt;C34</formula>
    </cfRule>
  </conditionalFormatting>
  <conditionalFormatting sqref="S35">
    <cfRule type="expression" dxfId="114" priority="174" stopIfTrue="1">
      <formula>(S35+T35)&gt;C35</formula>
    </cfRule>
  </conditionalFormatting>
  <conditionalFormatting sqref="S37">
    <cfRule type="expression" dxfId="113" priority="173" stopIfTrue="1">
      <formula>(S37+T37)&gt;C37</formula>
    </cfRule>
  </conditionalFormatting>
  <conditionalFormatting sqref="S41">
    <cfRule type="expression" dxfId="112" priority="164" stopIfTrue="1">
      <formula>(S41+T41)&gt;C41</formula>
    </cfRule>
  </conditionalFormatting>
  <conditionalFormatting sqref="S45">
    <cfRule type="expression" dxfId="111" priority="159" stopIfTrue="1">
      <formula>(S45+T45)&gt;C45</formula>
    </cfRule>
  </conditionalFormatting>
  <conditionalFormatting sqref="S46">
    <cfRule type="expression" dxfId="110" priority="154" stopIfTrue="1">
      <formula>(S46+T46)&gt;C46</formula>
    </cfRule>
  </conditionalFormatting>
  <conditionalFormatting sqref="S47">
    <cfRule type="expression" dxfId="109" priority="153" stopIfTrue="1">
      <formula>(S47+T47)&gt;C47</formula>
    </cfRule>
  </conditionalFormatting>
  <conditionalFormatting sqref="S48">
    <cfRule type="expression" dxfId="108" priority="152" stopIfTrue="1">
      <formula>(S48+T48)&gt;C48</formula>
    </cfRule>
  </conditionalFormatting>
  <conditionalFormatting sqref="S49">
    <cfRule type="expression" dxfId="107" priority="151" stopIfTrue="1">
      <formula>(S49+T49)&gt;C49</formula>
    </cfRule>
  </conditionalFormatting>
  <conditionalFormatting sqref="S51">
    <cfRule type="expression" dxfId="106" priority="149" stopIfTrue="1">
      <formula>(S51+T51)&gt;C51</formula>
    </cfRule>
  </conditionalFormatting>
  <conditionalFormatting sqref="S53">
    <cfRule type="expression" dxfId="105" priority="146" stopIfTrue="1">
      <formula>(S53+T53)&gt;C53</formula>
    </cfRule>
  </conditionalFormatting>
  <conditionalFormatting sqref="S65:S66 S68">
    <cfRule type="expression" dxfId="104" priority="136" stopIfTrue="1">
      <formula>(S65+T65)&gt;C65</formula>
    </cfRule>
  </conditionalFormatting>
  <conditionalFormatting sqref="S69">
    <cfRule type="expression" dxfId="103" priority="135" stopIfTrue="1">
      <formula>(S69+T69)&gt;C69</formula>
    </cfRule>
  </conditionalFormatting>
  <conditionalFormatting sqref="S90">
    <cfRule type="expression" dxfId="102" priority="119" stopIfTrue="1">
      <formula>(S90+T90)&gt;C90</formula>
    </cfRule>
  </conditionalFormatting>
  <conditionalFormatting sqref="S91">
    <cfRule type="expression" dxfId="101" priority="118" stopIfTrue="1">
      <formula>(S91+T91)&gt;C91</formula>
    </cfRule>
  </conditionalFormatting>
  <conditionalFormatting sqref="S93">
    <cfRule type="expression" dxfId="100" priority="116" stopIfTrue="1">
      <formula>(S93+T93)&gt;C93</formula>
    </cfRule>
  </conditionalFormatting>
  <conditionalFormatting sqref="S100">
    <cfRule type="expression" dxfId="99" priority="101" stopIfTrue="1">
      <formula>(S100+T100)&gt;C100</formula>
    </cfRule>
  </conditionalFormatting>
  <conditionalFormatting sqref="S101">
    <cfRule type="expression" dxfId="98" priority="99" stopIfTrue="1">
      <formula>(S101+T101)&gt;C101</formula>
    </cfRule>
  </conditionalFormatting>
  <conditionalFormatting sqref="S102">
    <cfRule type="expression" dxfId="97" priority="98" stopIfTrue="1">
      <formula>(S102+T102)&gt;C102</formula>
    </cfRule>
  </conditionalFormatting>
  <conditionalFormatting sqref="S103">
    <cfRule type="expression" dxfId="96" priority="97" stopIfTrue="1">
      <formula>(S103+T103)&gt;C103</formula>
    </cfRule>
  </conditionalFormatting>
  <conditionalFormatting sqref="C10">
    <cfRule type="expression" dxfId="95" priority="89">
      <formula>"(S10+T10)&gt;C10 "</formula>
    </cfRule>
  </conditionalFormatting>
  <conditionalFormatting sqref="T10">
    <cfRule type="expression" dxfId="94" priority="87" stopIfTrue="1">
      <formula>(S10+T10)&gt;C10</formula>
    </cfRule>
  </conditionalFormatting>
  <conditionalFormatting sqref="T13">
    <cfRule type="expression" dxfId="93" priority="85" stopIfTrue="1">
      <formula>(S13+T13)&gt;C13</formula>
    </cfRule>
  </conditionalFormatting>
  <conditionalFormatting sqref="T14">
    <cfRule type="expression" dxfId="92" priority="84" stopIfTrue="1">
      <formula>(S14+T14)&gt;C14</formula>
    </cfRule>
  </conditionalFormatting>
  <conditionalFormatting sqref="T17">
    <cfRule type="expression" dxfId="91" priority="83" stopIfTrue="1">
      <formula>(S17+T17)&gt;C17</formula>
    </cfRule>
  </conditionalFormatting>
  <conditionalFormatting sqref="T18">
    <cfRule type="expression" dxfId="90" priority="66" stopIfTrue="1">
      <formula>(S18+T18)&gt;C18</formula>
    </cfRule>
  </conditionalFormatting>
  <conditionalFormatting sqref="T19">
    <cfRule type="expression" dxfId="89" priority="65" stopIfTrue="1">
      <formula>(S19+T19)&gt;C19</formula>
    </cfRule>
  </conditionalFormatting>
  <conditionalFormatting sqref="T20">
    <cfRule type="expression" dxfId="88" priority="64" stopIfTrue="1">
      <formula>(S20+T20)&gt;C20</formula>
    </cfRule>
  </conditionalFormatting>
  <conditionalFormatting sqref="T21">
    <cfRule type="expression" dxfId="87" priority="63" stopIfTrue="1">
      <formula>(S21+T21)&gt;C21</formula>
    </cfRule>
  </conditionalFormatting>
  <conditionalFormatting sqref="T22">
    <cfRule type="expression" dxfId="86" priority="62" stopIfTrue="1">
      <formula>(S22+T22)&gt;C22</formula>
    </cfRule>
  </conditionalFormatting>
  <conditionalFormatting sqref="T23:T24">
    <cfRule type="expression" dxfId="85" priority="61" stopIfTrue="1">
      <formula>(S23+T23)&gt;C23</formula>
    </cfRule>
  </conditionalFormatting>
  <conditionalFormatting sqref="T25">
    <cfRule type="expression" dxfId="84" priority="60" stopIfTrue="1">
      <formula>(S25+T25)&gt;C25</formula>
    </cfRule>
  </conditionalFormatting>
  <conditionalFormatting sqref="T27">
    <cfRule type="expression" dxfId="83" priority="58" stopIfTrue="1">
      <formula>(S27+T27)&gt;C27</formula>
    </cfRule>
  </conditionalFormatting>
  <conditionalFormatting sqref="T29">
    <cfRule type="expression" dxfId="82" priority="57" stopIfTrue="1">
      <formula>(S29+T29)&gt;C29</formula>
    </cfRule>
  </conditionalFormatting>
  <conditionalFormatting sqref="T30">
    <cfRule type="expression" dxfId="81" priority="55" stopIfTrue="1">
      <formula>(S30+T30)&gt;C30</formula>
    </cfRule>
  </conditionalFormatting>
  <conditionalFormatting sqref="T31">
    <cfRule type="expression" dxfId="80" priority="54" stopIfTrue="1">
      <formula>(S31+T31)&gt;C31</formula>
    </cfRule>
  </conditionalFormatting>
  <conditionalFormatting sqref="T32">
    <cfRule type="expression" dxfId="79" priority="53" stopIfTrue="1">
      <formula>(S32+T32)&gt;C32</formula>
    </cfRule>
  </conditionalFormatting>
  <conditionalFormatting sqref="T33">
    <cfRule type="expression" dxfId="78" priority="52" stopIfTrue="1">
      <formula>(S33+T33)&gt;C33</formula>
    </cfRule>
  </conditionalFormatting>
  <conditionalFormatting sqref="T34">
    <cfRule type="expression" dxfId="77" priority="51" stopIfTrue="1">
      <formula>(S34+T34)&gt;C34</formula>
    </cfRule>
  </conditionalFormatting>
  <conditionalFormatting sqref="T35:T36">
    <cfRule type="expression" dxfId="76" priority="50" stopIfTrue="1">
      <formula>(S35+T35)&gt;C35</formula>
    </cfRule>
  </conditionalFormatting>
  <conditionalFormatting sqref="T37">
    <cfRule type="expression" dxfId="75" priority="49" stopIfTrue="1">
      <formula>(S37+T37)&gt;C37</formula>
    </cfRule>
  </conditionalFormatting>
  <conditionalFormatting sqref="T40">
    <cfRule type="expression" dxfId="74" priority="48" stopIfTrue="1">
      <formula>(S40+T40)&gt;C40</formula>
    </cfRule>
  </conditionalFormatting>
  <conditionalFormatting sqref="T41">
    <cfRule type="expression" dxfId="73" priority="47" stopIfTrue="1">
      <formula>(S41+T41)&gt;C41</formula>
    </cfRule>
  </conditionalFormatting>
  <conditionalFormatting sqref="T43">
    <cfRule type="expression" dxfId="72" priority="46" stopIfTrue="1">
      <formula>(S43+T43)&gt;C43</formula>
    </cfRule>
  </conditionalFormatting>
  <conditionalFormatting sqref="T45">
    <cfRule type="expression" dxfId="71" priority="45" stopIfTrue="1">
      <formula>(S45+T45)&gt;C45</formula>
    </cfRule>
  </conditionalFormatting>
  <conditionalFormatting sqref="T46">
    <cfRule type="expression" dxfId="70" priority="44" stopIfTrue="1">
      <formula>(S46+T46)&gt;C46</formula>
    </cfRule>
  </conditionalFormatting>
  <conditionalFormatting sqref="T47">
    <cfRule type="expression" dxfId="69" priority="43" stopIfTrue="1">
      <formula>(S47+T47)&gt;C47</formula>
    </cfRule>
  </conditionalFormatting>
  <conditionalFormatting sqref="T48">
    <cfRule type="expression" dxfId="68" priority="42" stopIfTrue="1">
      <formula>(S48+T48)&gt;C48</formula>
    </cfRule>
  </conditionalFormatting>
  <conditionalFormatting sqref="T49">
    <cfRule type="expression" dxfId="67" priority="41" stopIfTrue="1">
      <formula>(S49+T49)&gt;C49</formula>
    </cfRule>
  </conditionalFormatting>
  <conditionalFormatting sqref="T50">
    <cfRule type="expression" dxfId="66" priority="40" stopIfTrue="1">
      <formula>(S50+T50)&gt;C50</formula>
    </cfRule>
  </conditionalFormatting>
  <conditionalFormatting sqref="T51">
    <cfRule type="expression" dxfId="65" priority="39" stopIfTrue="1">
      <formula>(S51+T51)&gt;C51</formula>
    </cfRule>
  </conditionalFormatting>
  <conditionalFormatting sqref="T52">
    <cfRule type="expression" dxfId="64" priority="38" stopIfTrue="1">
      <formula>(S52+T52)&gt;C52</formula>
    </cfRule>
  </conditionalFormatting>
  <conditionalFormatting sqref="T53">
    <cfRule type="expression" dxfId="63" priority="36" stopIfTrue="1">
      <formula>(S53+T53)&gt;C53</formula>
    </cfRule>
  </conditionalFormatting>
  <conditionalFormatting sqref="T65:T68">
    <cfRule type="expression" dxfId="62" priority="35" stopIfTrue="1">
      <formula>(S65+T65)&gt;C65</formula>
    </cfRule>
  </conditionalFormatting>
  <conditionalFormatting sqref="T69">
    <cfRule type="expression" dxfId="61" priority="34" stopIfTrue="1">
      <formula>(S69+T69)&gt;C69</formula>
    </cfRule>
  </conditionalFormatting>
  <conditionalFormatting sqref="T79">
    <cfRule type="expression" dxfId="60" priority="33" stopIfTrue="1">
      <formula>(S79+T79)&gt;C79</formula>
    </cfRule>
  </conditionalFormatting>
  <conditionalFormatting sqref="T80">
    <cfRule type="expression" dxfId="59" priority="32" stopIfTrue="1">
      <formula>(S80+T80)&gt;C80</formula>
    </cfRule>
  </conditionalFormatting>
  <conditionalFormatting sqref="T84">
    <cfRule type="expression" dxfId="58" priority="31" stopIfTrue="1">
      <formula>(S84+T84)&gt;C84</formula>
    </cfRule>
  </conditionalFormatting>
  <conditionalFormatting sqref="T85">
    <cfRule type="expression" dxfId="57" priority="30" stopIfTrue="1">
      <formula>(S85+T85)&gt;C85</formula>
    </cfRule>
  </conditionalFormatting>
  <conditionalFormatting sqref="T86">
    <cfRule type="expression" dxfId="56" priority="29" stopIfTrue="1">
      <formula>(S86+T86)&gt;C86</formula>
    </cfRule>
  </conditionalFormatting>
  <conditionalFormatting sqref="T87">
    <cfRule type="expression" dxfId="55" priority="28" stopIfTrue="1">
      <formula>(S87+T87)&gt;C87</formula>
    </cfRule>
  </conditionalFormatting>
  <conditionalFormatting sqref="T89">
    <cfRule type="expression" dxfId="54" priority="27" stopIfTrue="1">
      <formula>(S89+T89)&gt;C89</formula>
    </cfRule>
  </conditionalFormatting>
  <conditionalFormatting sqref="T90">
    <cfRule type="expression" dxfId="53" priority="26" stopIfTrue="1">
      <formula>(S90+T90)&gt;C90</formula>
    </cfRule>
  </conditionalFormatting>
  <conditionalFormatting sqref="T91">
    <cfRule type="expression" dxfId="52" priority="25" stopIfTrue="1">
      <formula>(S91+T91)&gt;C91</formula>
    </cfRule>
  </conditionalFormatting>
  <conditionalFormatting sqref="T92">
    <cfRule type="expression" dxfId="51" priority="24" stopIfTrue="1">
      <formula>(S92+T92)&gt;C92</formula>
    </cfRule>
  </conditionalFormatting>
  <conditionalFormatting sqref="T93">
    <cfRule type="expression" dxfId="50" priority="23" stopIfTrue="1">
      <formula>(S93+T93)&gt;C93</formula>
    </cfRule>
  </conditionalFormatting>
  <conditionalFormatting sqref="T94">
    <cfRule type="expression" dxfId="49" priority="22" stopIfTrue="1">
      <formula>(S94+T94)&gt;C94</formula>
    </cfRule>
  </conditionalFormatting>
  <conditionalFormatting sqref="T95">
    <cfRule type="expression" dxfId="48" priority="21" stopIfTrue="1">
      <formula>(S95+T95)&gt;C95</formula>
    </cfRule>
  </conditionalFormatting>
  <conditionalFormatting sqref="T99">
    <cfRule type="expression" dxfId="47" priority="18" stopIfTrue="1">
      <formula>(S99+T99)&gt;C99</formula>
    </cfRule>
  </conditionalFormatting>
  <conditionalFormatting sqref="T100">
    <cfRule type="expression" dxfId="46" priority="17" stopIfTrue="1">
      <formula>(S100+T100)&gt;C100</formula>
    </cfRule>
  </conditionalFormatting>
  <conditionalFormatting sqref="T101">
    <cfRule type="expression" dxfId="45" priority="15" stopIfTrue="1">
      <formula>(S101+T101)&gt;C101</formula>
    </cfRule>
  </conditionalFormatting>
  <conditionalFormatting sqref="T102">
    <cfRule type="expression" dxfId="44" priority="14" stopIfTrue="1">
      <formula>(S102+T102)&gt;C102</formula>
    </cfRule>
  </conditionalFormatting>
  <conditionalFormatting sqref="T103">
    <cfRule type="expression" dxfId="43" priority="13" stopIfTrue="1">
      <formula>(S103+T103)&gt;C103</formula>
    </cfRule>
  </conditionalFormatting>
  <conditionalFormatting sqref="S36">
    <cfRule type="expression" dxfId="42" priority="12" stopIfTrue="1">
      <formula>(S36+T36)&gt;C36</formula>
    </cfRule>
  </conditionalFormatting>
  <conditionalFormatting sqref="S40">
    <cfRule type="expression" dxfId="41" priority="11" stopIfTrue="1">
      <formula>(S40+T40)&gt;C40</formula>
    </cfRule>
  </conditionalFormatting>
  <conditionalFormatting sqref="S43">
    <cfRule type="expression" dxfId="40" priority="10" stopIfTrue="1">
      <formula>(S43+T43)&gt;C43</formula>
    </cfRule>
  </conditionalFormatting>
  <conditionalFormatting sqref="S50">
    <cfRule type="expression" dxfId="39" priority="9" stopIfTrue="1">
      <formula>(S50+T50)&gt;C50</formula>
    </cfRule>
  </conditionalFormatting>
  <conditionalFormatting sqref="S52">
    <cfRule type="expression" dxfId="38" priority="8" stopIfTrue="1">
      <formula>(S52+T52)&gt;C52</formula>
    </cfRule>
  </conditionalFormatting>
  <conditionalFormatting sqref="S67">
    <cfRule type="expression" dxfId="37" priority="7" stopIfTrue="1">
      <formula>(S67+T67)&gt;C67</formula>
    </cfRule>
  </conditionalFormatting>
  <conditionalFormatting sqref="S79:S80">
    <cfRule type="expression" dxfId="36" priority="6" stopIfTrue="1">
      <formula>(S79+T79)&gt;C79</formula>
    </cfRule>
  </conditionalFormatting>
  <conditionalFormatting sqref="S84:S87">
    <cfRule type="expression" dxfId="35" priority="5" stopIfTrue="1">
      <formula>(S84+T84)&gt;C84</formula>
    </cfRule>
  </conditionalFormatting>
  <conditionalFormatting sqref="S89">
    <cfRule type="expression" dxfId="34" priority="4" stopIfTrue="1">
      <formula>(S89+T89)&gt;C89</formula>
    </cfRule>
  </conditionalFormatting>
  <conditionalFormatting sqref="S92">
    <cfRule type="expression" dxfId="33" priority="3" stopIfTrue="1">
      <formula>(S92+T92)&gt;C92</formula>
    </cfRule>
  </conditionalFormatting>
  <conditionalFormatting sqref="S94:S95">
    <cfRule type="expression" dxfId="32" priority="2" stopIfTrue="1">
      <formula>(S94+T94)&gt;C94</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F8DC9-AC11-49D0-8933-368465445C40}">
  <dimension ref="A1:CC809"/>
  <sheetViews>
    <sheetView showGridLines="0" topLeftCell="A772" zoomScaleNormal="100" zoomScaleSheetLayoutView="100" workbookViewId="0">
      <selection activeCell="AF806" sqref="AF806:AK807"/>
    </sheetView>
  </sheetViews>
  <sheetFormatPr defaultColWidth="0" defaultRowHeight="13.2" zeroHeight="1"/>
  <cols>
    <col min="1" max="1" width="2.6640625" style="1205" customWidth="1"/>
    <col min="2" max="3" width="2.44140625" style="1205" customWidth="1"/>
    <col min="4" max="4" width="3.109375" style="1205" customWidth="1"/>
    <col min="5" max="5" width="3.44140625" style="1205" customWidth="1"/>
    <col min="6" max="6" width="2.88671875" style="1205" customWidth="1"/>
    <col min="7" max="14" width="2.44140625" style="1205" customWidth="1"/>
    <col min="15" max="15" width="2.88671875" style="1205" customWidth="1"/>
    <col min="16" max="16" width="2.44140625" style="1205" customWidth="1"/>
    <col min="17" max="17" width="3.88671875" style="1205" customWidth="1"/>
    <col min="18" max="18" width="4.44140625" style="1205" customWidth="1"/>
    <col min="19" max="19" width="3.33203125" style="1205" customWidth="1"/>
    <col min="20" max="32" width="2.44140625" style="1205" customWidth="1"/>
    <col min="33" max="33" width="3.44140625" style="1205" customWidth="1"/>
    <col min="34" max="36" width="2.44140625" style="1205" customWidth="1"/>
    <col min="37" max="37" width="5.44140625" style="1205" customWidth="1"/>
    <col min="38" max="38" width="2.44140625" style="1205" customWidth="1"/>
    <col min="39" max="39" width="3.44140625" style="1205" customWidth="1"/>
    <col min="40" max="40" width="5.44140625" style="1203" customWidth="1"/>
    <col min="41" max="41" width="5.44140625" style="1204" hidden="1" customWidth="1"/>
    <col min="42" max="45" width="5.44140625" style="1205" hidden="1" customWidth="1"/>
    <col min="46" max="46" width="10.88671875" style="1205" hidden="1" customWidth="1"/>
    <col min="47" max="48" width="5.44140625" style="1205" hidden="1" customWidth="1"/>
    <col min="49" max="49" width="8.6640625" style="1205" hidden="1" customWidth="1"/>
    <col min="50" max="50" width="7.44140625" style="1205" hidden="1" customWidth="1"/>
    <col min="51" max="55" width="5.44140625" style="1205" hidden="1" customWidth="1"/>
    <col min="56" max="60" width="5.44140625" style="1369" hidden="1" customWidth="1"/>
    <col min="61" max="81" width="5.44140625" style="1205" hidden="1" customWidth="1"/>
    <col min="82" max="82" width="0" style="1205" hidden="1" customWidth="1"/>
    <col min="83" max="16384" width="0" style="1205" hidden="1"/>
  </cols>
  <sheetData>
    <row r="1" spans="1:42" ht="15.75" customHeight="1">
      <c r="A1" s="2676" t="s">
        <v>1491</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row>
    <row r="2" spans="1:42" s="1207" customFormat="1" ht="12.75" customHeight="1" thickBot="1">
      <c r="A2" s="2677"/>
      <c r="B2" s="2677"/>
      <c r="C2" s="2677"/>
      <c r="D2" s="2677"/>
      <c r="E2" s="2677"/>
      <c r="F2" s="2677"/>
      <c r="G2" s="2677"/>
      <c r="H2" s="2677"/>
      <c r="I2" s="2677"/>
      <c r="J2" s="2677"/>
      <c r="K2" s="2677"/>
      <c r="L2" s="2677"/>
      <c r="M2" s="2677"/>
      <c r="N2" s="2677"/>
      <c r="O2" s="2677"/>
      <c r="P2" s="2677"/>
      <c r="Q2" s="2677"/>
      <c r="R2" s="2677"/>
      <c r="S2" s="2677"/>
      <c r="T2" s="2677"/>
      <c r="U2" s="2677"/>
      <c r="V2" s="2677"/>
      <c r="W2" s="2677"/>
      <c r="X2" s="2677"/>
      <c r="Y2" s="2677"/>
      <c r="Z2" s="2677"/>
      <c r="AA2" s="2677"/>
      <c r="AB2" s="2677"/>
      <c r="AC2" s="2677"/>
      <c r="AD2" s="2677"/>
      <c r="AE2" s="2677"/>
      <c r="AF2" s="2677"/>
      <c r="AG2" s="2677"/>
      <c r="AH2" s="2677"/>
      <c r="AI2" s="2677"/>
      <c r="AJ2" s="2677"/>
      <c r="AK2" s="2677"/>
      <c r="AL2" s="2677"/>
      <c r="AM2" s="2677"/>
      <c r="AN2" s="1206"/>
    </row>
    <row r="3" spans="1:42" s="1207" customFormat="1" ht="12.75" customHeight="1" thickTop="1">
      <c r="A3" s="1208"/>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6"/>
    </row>
    <row r="4" spans="1:42" s="1207" customFormat="1" ht="12.75" customHeight="1">
      <c r="A4" s="1209" t="s">
        <v>1492</v>
      </c>
      <c r="B4" s="1210" t="s">
        <v>1493</v>
      </c>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c r="AM4" s="1211"/>
      <c r="AN4" s="1206"/>
    </row>
    <row r="5" spans="1:42" s="1207" customFormat="1" ht="12.75" customHeight="1" thickBot="1">
      <c r="A5" s="1209"/>
      <c r="B5" s="1210"/>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c r="AF5" s="1211"/>
      <c r="AG5" s="1211"/>
      <c r="AH5" s="1211"/>
      <c r="AI5" s="1211"/>
      <c r="AJ5" s="1211"/>
      <c r="AK5" s="1211"/>
      <c r="AL5" s="1211"/>
      <c r="AM5" s="1211"/>
      <c r="AN5" s="1206"/>
    </row>
    <row r="6" spans="1:42" s="1207" customFormat="1" ht="12.75" customHeight="1" thickTop="1">
      <c r="A6" s="1212"/>
      <c r="B6" s="1212"/>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c r="AE6" s="1212"/>
      <c r="AF6" s="1212"/>
      <c r="AG6" s="1212"/>
      <c r="AH6" s="1212"/>
      <c r="AI6" s="1212"/>
      <c r="AJ6" s="1212"/>
      <c r="AK6" s="1212"/>
      <c r="AL6" s="1212"/>
      <c r="AM6" s="1213"/>
      <c r="AN6" s="1206"/>
    </row>
    <row r="7" spans="1:42" s="1207" customFormat="1" ht="12.75" customHeight="1">
      <c r="A7" s="1209" t="s">
        <v>1494</v>
      </c>
      <c r="B7" s="1210" t="s">
        <v>1495</v>
      </c>
      <c r="C7" s="1210"/>
      <c r="D7" s="1210"/>
      <c r="E7" s="1210"/>
      <c r="F7" s="1210"/>
      <c r="G7" s="1210"/>
      <c r="H7" s="1210"/>
      <c r="I7" s="1210"/>
      <c r="J7" s="1210"/>
      <c r="K7" s="1210"/>
      <c r="L7" s="1210"/>
      <c r="M7" s="1210"/>
      <c r="N7" s="1210"/>
      <c r="O7" s="1210"/>
      <c r="P7" s="1210"/>
      <c r="Q7" s="1210"/>
      <c r="R7" s="1210"/>
      <c r="S7" s="1210"/>
      <c r="T7" s="1210"/>
      <c r="U7" s="1210"/>
      <c r="V7" s="1210"/>
      <c r="W7" s="1210"/>
      <c r="X7" s="1210"/>
      <c r="Y7" s="1210"/>
      <c r="Z7" s="1210"/>
      <c r="AA7" s="1210"/>
      <c r="AB7" s="1210"/>
      <c r="AC7" s="1210"/>
      <c r="AD7" s="1210"/>
      <c r="AE7" s="2491" t="s">
        <v>1496</v>
      </c>
      <c r="AF7" s="2491"/>
      <c r="AG7" s="2491"/>
      <c r="AH7" s="2491"/>
      <c r="AI7" s="2491"/>
      <c r="AJ7" s="2491"/>
      <c r="AK7" s="2491"/>
      <c r="AL7" s="1211"/>
      <c r="AM7" s="1211"/>
      <c r="AN7" s="1206"/>
    </row>
    <row r="8" spans="1:42" s="1207" customFormat="1" ht="12.75" customHeight="1">
      <c r="A8" s="1209"/>
      <c r="B8" s="1210" t="s">
        <v>2039</v>
      </c>
      <c r="C8" s="1210"/>
      <c r="D8" s="1210"/>
      <c r="E8" s="1210"/>
      <c r="F8" s="1210"/>
      <c r="G8" s="1210"/>
      <c r="H8" s="1210"/>
      <c r="I8" s="1210"/>
      <c r="J8" s="1210"/>
      <c r="K8" s="1210"/>
      <c r="L8" s="1210"/>
      <c r="M8" s="1210"/>
      <c r="N8" s="1210"/>
      <c r="O8" s="1210"/>
      <c r="P8" s="1210"/>
      <c r="Q8" s="1210"/>
      <c r="R8" s="1210"/>
      <c r="S8" s="1210"/>
      <c r="T8" s="1210"/>
      <c r="U8" s="1210"/>
      <c r="V8" s="1210"/>
      <c r="W8" s="1210"/>
      <c r="X8" s="1210"/>
      <c r="Y8" s="1210"/>
      <c r="Z8" s="1210"/>
      <c r="AA8" s="1210"/>
      <c r="AB8" s="1210"/>
      <c r="AC8" s="1210"/>
      <c r="AD8" s="1210"/>
      <c r="AE8" s="1214"/>
      <c r="AF8" s="1214"/>
      <c r="AG8" s="1214"/>
      <c r="AH8" s="1214"/>
      <c r="AI8" s="1214"/>
      <c r="AJ8" s="1214"/>
      <c r="AK8" s="1214"/>
      <c r="AL8" s="1211"/>
      <c r="AM8" s="1211"/>
      <c r="AN8" s="1206"/>
    </row>
    <row r="9" spans="1:42" s="1207" customFormat="1" ht="12.75" customHeight="1">
      <c r="A9" s="1209"/>
      <c r="B9" s="1210"/>
      <c r="C9" s="1210"/>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4"/>
      <c r="AF9" s="1214"/>
      <c r="AG9" s="1214"/>
      <c r="AH9" s="1214"/>
      <c r="AI9" s="1214"/>
      <c r="AJ9" s="1214"/>
      <c r="AK9" s="1214"/>
      <c r="AL9" s="1211"/>
      <c r="AM9" s="1211"/>
      <c r="AN9" s="1206"/>
    </row>
    <row r="10" spans="1:42" s="1207" customFormat="1" ht="12.75" customHeight="1">
      <c r="A10" s="1209"/>
      <c r="B10" s="1210" t="s">
        <v>2693</v>
      </c>
      <c r="C10" s="1210"/>
      <c r="D10" s="1210"/>
      <c r="E10" s="1210"/>
      <c r="F10" s="1210"/>
      <c r="G10" s="1210"/>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4"/>
      <c r="AF10" s="1214"/>
      <c r="AG10" s="1214"/>
      <c r="AH10" s="1214"/>
      <c r="AI10" s="1214"/>
      <c r="AJ10" s="1214"/>
      <c r="AK10" s="1214"/>
      <c r="AL10" s="1211"/>
      <c r="AM10" s="1211"/>
      <c r="AN10" s="1206"/>
    </row>
    <row r="11" spans="1:42" s="1207" customFormat="1" ht="12.75" customHeight="1">
      <c r="A11" s="1211"/>
      <c r="C11" s="1215" t="s">
        <v>2694</v>
      </c>
      <c r="D11" s="1215"/>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1"/>
      <c r="AL11" s="1211"/>
      <c r="AM11" s="1211"/>
      <c r="AN11" s="1206"/>
      <c r="AO11" s="1216"/>
      <c r="AP11" s="1217"/>
    </row>
    <row r="12" spans="1:42" s="1207" customFormat="1" ht="12.75" customHeight="1">
      <c r="A12" s="1211"/>
      <c r="B12" s="1218"/>
      <c r="C12" s="1211"/>
      <c r="D12" s="1211"/>
      <c r="E12" s="1211"/>
      <c r="F12" s="1211"/>
      <c r="G12" s="1211"/>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06"/>
      <c r="AP12" s="1205"/>
    </row>
    <row r="13" spans="1:42" s="1207" customFormat="1" ht="12.75" customHeight="1">
      <c r="A13" s="1211"/>
      <c r="B13" s="2648" t="s">
        <v>616</v>
      </c>
      <c r="C13" s="2648"/>
      <c r="D13" s="1219"/>
      <c r="E13" s="1220" t="s">
        <v>1497</v>
      </c>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2678"/>
      <c r="AH13" s="2678"/>
      <c r="AI13" s="2678"/>
      <c r="AJ13" s="2679"/>
      <c r="AK13" s="1211"/>
      <c r="AL13" s="1211"/>
      <c r="AM13" s="1211"/>
      <c r="AN13" s="1206"/>
      <c r="AO13" s="1222">
        <f>IF($B13="yes",20,0)</f>
        <v>0</v>
      </c>
      <c r="AP13" s="1205"/>
    </row>
    <row r="14" spans="1:42" s="1207" customFormat="1" ht="12.75" customHeight="1">
      <c r="A14" s="1211"/>
      <c r="B14" s="1211"/>
      <c r="C14" s="1211"/>
      <c r="D14" s="1205"/>
      <c r="E14" s="1211"/>
      <c r="F14" s="1211"/>
      <c r="G14" s="1211"/>
      <c r="H14" s="1211"/>
      <c r="I14" s="1211"/>
      <c r="J14" s="1211"/>
      <c r="K14" s="1211"/>
      <c r="L14" s="1211"/>
      <c r="M14" s="1211"/>
      <c r="N14" s="1211"/>
      <c r="O14" s="1211"/>
      <c r="P14" s="1211"/>
      <c r="Q14" s="1211"/>
      <c r="R14" s="1211"/>
      <c r="S14" s="1211"/>
      <c r="T14" s="1211"/>
      <c r="U14" s="1211"/>
      <c r="V14" s="1211"/>
      <c r="W14" s="1211"/>
      <c r="X14" s="1211"/>
      <c r="Y14" s="1211"/>
      <c r="Z14" s="1211"/>
      <c r="AA14" s="1211"/>
      <c r="AB14" s="1211"/>
      <c r="AC14" s="1211"/>
      <c r="AD14" s="1211"/>
      <c r="AE14" s="1211"/>
      <c r="AF14" s="1211"/>
      <c r="AG14" s="1211"/>
      <c r="AH14" s="1211"/>
      <c r="AI14" s="1211"/>
      <c r="AJ14" s="1211"/>
      <c r="AK14" s="1211"/>
      <c r="AL14" s="1211"/>
      <c r="AM14" s="1211"/>
      <c r="AN14" s="1206"/>
      <c r="AO14" s="1222">
        <f>IF(AND($B16="yes",E20&gt;0),20,0)</f>
        <v>0</v>
      </c>
      <c r="AP14" s="1205"/>
    </row>
    <row r="15" spans="1:42" s="1207" customFormat="1" ht="12.75" customHeight="1">
      <c r="A15" s="1211"/>
      <c r="B15" s="1211"/>
      <c r="C15" s="1211"/>
      <c r="D15" s="1222"/>
      <c r="E15" s="1211"/>
      <c r="F15" s="1211"/>
      <c r="G15" s="1211"/>
      <c r="H15" s="121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06"/>
      <c r="AO15" s="1222">
        <f>IF($B22="yes",20,0)</f>
        <v>0</v>
      </c>
      <c r="AP15" s="1205"/>
    </row>
    <row r="16" spans="1:42" s="1207" customFormat="1" ht="12.75" customHeight="1">
      <c r="A16" s="1211"/>
      <c r="B16" s="2648" t="s">
        <v>616</v>
      </c>
      <c r="C16" s="2648"/>
      <c r="D16" s="1219"/>
      <c r="E16" s="2649" t="s">
        <v>1498</v>
      </c>
      <c r="F16" s="2650"/>
      <c r="G16" s="2650"/>
      <c r="H16" s="2650"/>
      <c r="I16" s="2650"/>
      <c r="J16" s="2650"/>
      <c r="K16" s="2650"/>
      <c r="L16" s="2650"/>
      <c r="M16" s="2650"/>
      <c r="N16" s="2650"/>
      <c r="O16" s="2650"/>
      <c r="P16" s="2650"/>
      <c r="Q16" s="2650"/>
      <c r="R16" s="2650"/>
      <c r="S16" s="2650"/>
      <c r="T16" s="2650"/>
      <c r="U16" s="2650"/>
      <c r="V16" s="2650"/>
      <c r="W16" s="2650"/>
      <c r="X16" s="2650"/>
      <c r="Y16" s="2650"/>
      <c r="Z16" s="2650"/>
      <c r="AA16" s="2650"/>
      <c r="AB16" s="2650"/>
      <c r="AC16" s="2650"/>
      <c r="AD16" s="2650"/>
      <c r="AE16" s="2650"/>
      <c r="AF16" s="2650"/>
      <c r="AG16" s="2650"/>
      <c r="AH16" s="2650"/>
      <c r="AI16" s="2650"/>
      <c r="AJ16" s="2651"/>
      <c r="AK16" s="1211"/>
      <c r="AL16" s="1211"/>
      <c r="AM16" s="1211"/>
      <c r="AN16" s="1206"/>
      <c r="AO16" s="1222">
        <f>IF($B25="yes",20,0)</f>
        <v>0</v>
      </c>
      <c r="AP16" s="1205"/>
    </row>
    <row r="17" spans="1:42" s="1207" customFormat="1" ht="12.75" customHeight="1">
      <c r="A17" s="1211"/>
      <c r="B17" s="1211"/>
      <c r="C17" s="1211"/>
      <c r="D17" s="1223"/>
      <c r="E17" s="2652"/>
      <c r="F17" s="2653"/>
      <c r="G17" s="2653"/>
      <c r="H17" s="2653"/>
      <c r="I17" s="2653"/>
      <c r="J17" s="2653"/>
      <c r="K17" s="2653"/>
      <c r="L17" s="2653"/>
      <c r="M17" s="2653"/>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4"/>
      <c r="AK17" s="1211"/>
      <c r="AL17" s="1211"/>
      <c r="AM17" s="1211"/>
      <c r="AN17" s="1206"/>
      <c r="AO17" s="1207">
        <f>IF(SUM(AO13:AO16)&gt;20,20,(SUM(AO13:AO16)))</f>
        <v>0</v>
      </c>
      <c r="AP17" s="1207" t="s">
        <v>1499</v>
      </c>
    </row>
    <row r="18" spans="1:42" s="1207" customFormat="1" ht="12.75" customHeight="1">
      <c r="A18" s="1211"/>
      <c r="B18" s="1211"/>
      <c r="C18" s="1211"/>
      <c r="D18" s="1223"/>
      <c r="E18" s="2652"/>
      <c r="F18" s="2653"/>
      <c r="G18" s="2653"/>
      <c r="H18" s="2653"/>
      <c r="I18" s="2653"/>
      <c r="J18" s="2653"/>
      <c r="K18" s="2653"/>
      <c r="L18" s="2653"/>
      <c r="M18" s="2653"/>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4"/>
      <c r="AK18" s="1211"/>
      <c r="AL18" s="1211"/>
      <c r="AM18" s="1211"/>
      <c r="AN18" s="1206"/>
    </row>
    <row r="19" spans="1:42" s="1207" customFormat="1" ht="12.75" customHeight="1">
      <c r="A19" s="1211"/>
      <c r="B19" s="1211"/>
      <c r="C19" s="1211"/>
      <c r="D19" s="1223"/>
      <c r="E19" s="1224" t="s">
        <v>1500</v>
      </c>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6"/>
      <c r="AK19" s="1211"/>
      <c r="AL19" s="1211"/>
      <c r="AM19" s="1211"/>
      <c r="AN19" s="1206"/>
    </row>
    <row r="20" spans="1:42" s="1207" customFormat="1" ht="12.75" customHeight="1">
      <c r="A20" s="1211"/>
      <c r="B20" s="1211"/>
      <c r="C20" s="1211"/>
      <c r="D20" s="1223"/>
      <c r="E20" s="2667"/>
      <c r="F20" s="2668"/>
      <c r="G20" s="2668"/>
      <c r="H20" s="2668"/>
      <c r="I20" s="2668"/>
      <c r="J20" s="2668"/>
      <c r="K20" s="2668"/>
      <c r="L20" s="2668"/>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9"/>
      <c r="AK20" s="1211"/>
      <c r="AL20" s="1211"/>
      <c r="AM20" s="1211"/>
      <c r="AN20" s="1206"/>
      <c r="AO20" s="1222">
        <f>IF($B30="yes",14,0)</f>
        <v>0</v>
      </c>
    </row>
    <row r="21" spans="1:42" s="1207" customFormat="1" ht="12.75" customHeight="1">
      <c r="A21" s="1211"/>
      <c r="B21" s="1211"/>
      <c r="C21" s="1211"/>
      <c r="E21" s="1211"/>
      <c r="F21" s="1211"/>
      <c r="G21" s="1211"/>
      <c r="H21" s="121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c r="AL21" s="1211"/>
      <c r="AM21" s="1211"/>
      <c r="AN21" s="1206"/>
      <c r="AO21" s="1222">
        <f>IF($B33="yes",14,0)</f>
        <v>0</v>
      </c>
      <c r="AP21" s="1205"/>
    </row>
    <row r="22" spans="1:42" s="1207" customFormat="1" ht="12.75" customHeight="1">
      <c r="A22" s="1211"/>
      <c r="B22" s="2648" t="s">
        <v>616</v>
      </c>
      <c r="C22" s="2648"/>
      <c r="D22" s="1219"/>
      <c r="E22" s="2670" t="s">
        <v>1501</v>
      </c>
      <c r="F22" s="2671"/>
      <c r="G22" s="2671"/>
      <c r="H22" s="2671"/>
      <c r="I22" s="2671"/>
      <c r="J22" s="2671"/>
      <c r="K22" s="2671"/>
      <c r="L22" s="2671"/>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2"/>
      <c r="AK22" s="1211"/>
      <c r="AL22" s="1211"/>
      <c r="AM22" s="1211"/>
      <c r="AN22" s="1206"/>
      <c r="AO22" s="1207">
        <f>IF(SUM(AO20:AO21)&gt;14,14,SUM(AO20:AO21))</f>
        <v>0</v>
      </c>
      <c r="AP22" s="1207" t="s">
        <v>1499</v>
      </c>
    </row>
    <row r="23" spans="1:42" s="1207" customFormat="1" ht="12.75" customHeight="1">
      <c r="A23" s="1211"/>
      <c r="B23" s="1211"/>
      <c r="C23" s="1211"/>
      <c r="D23" s="1222"/>
      <c r="E23" s="2673"/>
      <c r="F23" s="2674"/>
      <c r="G23" s="2674"/>
      <c r="H23" s="2674"/>
      <c r="I23" s="2674"/>
      <c r="J23" s="2674"/>
      <c r="K23" s="2674"/>
      <c r="L23" s="2674"/>
      <c r="M23" s="2674"/>
      <c r="N23" s="2674"/>
      <c r="O23" s="2674"/>
      <c r="P23" s="2674"/>
      <c r="Q23" s="2674"/>
      <c r="R23" s="2674"/>
      <c r="S23" s="2674"/>
      <c r="T23" s="2674"/>
      <c r="U23" s="2674"/>
      <c r="V23" s="2674"/>
      <c r="W23" s="2674"/>
      <c r="X23" s="2674"/>
      <c r="Y23" s="2674"/>
      <c r="Z23" s="2674"/>
      <c r="AA23" s="2674"/>
      <c r="AB23" s="2674"/>
      <c r="AC23" s="2674"/>
      <c r="AD23" s="2674"/>
      <c r="AE23" s="2674"/>
      <c r="AF23" s="2674"/>
      <c r="AG23" s="2674"/>
      <c r="AH23" s="2674"/>
      <c r="AI23" s="2674"/>
      <c r="AJ23" s="2675"/>
      <c r="AK23" s="1211"/>
      <c r="AL23" s="1211"/>
      <c r="AM23" s="1211"/>
      <c r="AN23" s="1206"/>
    </row>
    <row r="24" spans="1:42" s="1207" customFormat="1" ht="12.75" customHeight="1">
      <c r="A24" s="1211"/>
      <c r="B24" s="1211"/>
      <c r="C24" s="1211"/>
      <c r="D24" s="1223"/>
      <c r="E24" s="1211"/>
      <c r="F24" s="1211"/>
      <c r="G24" s="1211"/>
      <c r="H24" s="1211"/>
      <c r="I24" s="1211"/>
      <c r="J24" s="1211"/>
      <c r="K24" s="1211"/>
      <c r="L24" s="1211"/>
      <c r="M24" s="1211"/>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c r="AL24" s="1211"/>
      <c r="AM24" s="1211"/>
      <c r="AN24" s="1206"/>
      <c r="AO24" s="1222">
        <f>IF($B39="yes",6,0)</f>
        <v>0</v>
      </c>
    </row>
    <row r="25" spans="1:42" s="1207" customFormat="1" ht="12.75" customHeight="1">
      <c r="A25" s="1211"/>
      <c r="B25" s="2648" t="s">
        <v>616</v>
      </c>
      <c r="C25" s="2648"/>
      <c r="D25" s="1219"/>
      <c r="E25" s="2564" t="s">
        <v>2695</v>
      </c>
      <c r="F25" s="2565"/>
      <c r="G25" s="2565"/>
      <c r="H25" s="2565"/>
      <c r="I25" s="2565"/>
      <c r="J25" s="2565"/>
      <c r="K25" s="2565"/>
      <c r="L25" s="2565"/>
      <c r="M25" s="2565"/>
      <c r="N25" s="2565"/>
      <c r="O25" s="2565"/>
      <c r="P25" s="2565"/>
      <c r="Q25" s="2565"/>
      <c r="R25" s="2565"/>
      <c r="S25" s="2565"/>
      <c r="T25" s="2565"/>
      <c r="U25" s="2565"/>
      <c r="V25" s="2565"/>
      <c r="W25" s="2565"/>
      <c r="X25" s="2565"/>
      <c r="Y25" s="2565"/>
      <c r="Z25" s="2565"/>
      <c r="AA25" s="2565"/>
      <c r="AB25" s="2565"/>
      <c r="AC25" s="2565"/>
      <c r="AD25" s="2565"/>
      <c r="AE25" s="2565"/>
      <c r="AF25" s="2565"/>
      <c r="AG25" s="2565"/>
      <c r="AH25" s="2565"/>
      <c r="AI25" s="2565"/>
      <c r="AJ25" s="2566"/>
      <c r="AK25" s="1211"/>
      <c r="AL25" s="1211"/>
      <c r="AM25" s="1211"/>
      <c r="AN25" s="1206"/>
      <c r="AO25" s="1207">
        <f>IF(AO24&gt;6,6,AO24)</f>
        <v>0</v>
      </c>
      <c r="AP25" s="1207" t="s">
        <v>1499</v>
      </c>
    </row>
    <row r="26" spans="1:42" s="1207" customFormat="1" ht="12.75" customHeight="1">
      <c r="A26" s="1211"/>
      <c r="B26" s="1211"/>
      <c r="C26" s="1211"/>
      <c r="D26" s="1222"/>
      <c r="E26" s="2571"/>
      <c r="F26" s="2572"/>
      <c r="G26" s="2572"/>
      <c r="H26" s="2572"/>
      <c r="I26" s="2572"/>
      <c r="J26" s="2572"/>
      <c r="K26" s="2572"/>
      <c r="L26" s="2572"/>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3"/>
      <c r="AK26" s="1211"/>
      <c r="AL26" s="1211"/>
      <c r="AM26" s="1211"/>
      <c r="AN26" s="1206"/>
      <c r="AO26" s="1222"/>
    </row>
    <row r="27" spans="1:42" s="1207" customFormat="1" ht="12.75" customHeight="1">
      <c r="A27" s="1211"/>
      <c r="B27" s="1211"/>
      <c r="C27" s="1211"/>
      <c r="D27" s="1222"/>
      <c r="E27" s="1211"/>
      <c r="F27" s="1211"/>
      <c r="G27" s="1211"/>
      <c r="H27" s="1211"/>
      <c r="I27" s="1211"/>
      <c r="J27" s="1211"/>
      <c r="K27" s="1211"/>
      <c r="L27" s="1211"/>
      <c r="M27" s="1211"/>
      <c r="N27" s="1211"/>
      <c r="O27" s="1211"/>
      <c r="P27" s="1211"/>
      <c r="Q27" s="1211"/>
      <c r="R27" s="1211"/>
      <c r="S27" s="1211"/>
      <c r="T27" s="1211"/>
      <c r="U27" s="1211"/>
      <c r="V27" s="1211"/>
      <c r="W27" s="1211"/>
      <c r="X27" s="1211"/>
      <c r="Y27" s="1211"/>
      <c r="Z27" s="1211"/>
      <c r="AA27" s="1211"/>
      <c r="AB27" s="1211"/>
      <c r="AC27" s="1211"/>
      <c r="AD27" s="1211"/>
      <c r="AE27" s="1211"/>
      <c r="AF27" s="1211"/>
      <c r="AG27" s="1211"/>
      <c r="AH27" s="1211"/>
      <c r="AI27" s="1211"/>
      <c r="AJ27" s="1211"/>
      <c r="AK27" s="1211"/>
      <c r="AL27" s="1211"/>
      <c r="AM27" s="1211"/>
      <c r="AN27" s="1206"/>
      <c r="AO27" s="1222"/>
    </row>
    <row r="28" spans="1:42" s="1207" customFormat="1" ht="12.75" customHeight="1">
      <c r="A28" s="1211"/>
      <c r="C28" s="1227" t="s">
        <v>2696</v>
      </c>
      <c r="E28" s="1211"/>
      <c r="F28" s="1211"/>
      <c r="G28" s="1211"/>
      <c r="H28" s="1211"/>
      <c r="I28" s="1211"/>
      <c r="J28" s="1211"/>
      <c r="K28" s="1211"/>
      <c r="L28" s="1211"/>
      <c r="M28" s="1211"/>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c r="AL28" s="1211"/>
      <c r="AM28" s="1211"/>
      <c r="AN28" s="1206"/>
      <c r="AO28" s="1222">
        <f>IF(AND(B46="Yes",B50="Yes",B52="Yes"),20,0)</f>
        <v>0</v>
      </c>
    </row>
    <row r="29" spans="1:42" s="1207" customFormat="1" ht="12.75" customHeight="1">
      <c r="A29" s="1211"/>
      <c r="B29" s="1211"/>
      <c r="C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c r="AL29" s="1211"/>
      <c r="AM29" s="1211"/>
      <c r="AN29" s="1206"/>
      <c r="AO29" s="1207">
        <f>IF(AO28&gt;20,20,AO28)</f>
        <v>0</v>
      </c>
      <c r="AP29" s="1207" t="s">
        <v>1499</v>
      </c>
    </row>
    <row r="30" spans="1:42" s="1207" customFormat="1" ht="12.75" customHeight="1">
      <c r="A30" s="1211"/>
      <c r="B30" s="2648" t="s">
        <v>616</v>
      </c>
      <c r="C30" s="2648"/>
      <c r="D30" s="1219"/>
      <c r="E30" s="2670" t="s">
        <v>2697</v>
      </c>
      <c r="F30" s="2671"/>
      <c r="G30" s="2671"/>
      <c r="H30" s="2671"/>
      <c r="I30" s="2671"/>
      <c r="J30" s="2671"/>
      <c r="K30" s="2671"/>
      <c r="L30" s="2671"/>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2"/>
      <c r="AK30" s="1211"/>
      <c r="AL30" s="1211"/>
      <c r="AM30" s="1211"/>
      <c r="AN30" s="1206"/>
      <c r="AO30" s="1222"/>
    </row>
    <row r="31" spans="1:42" s="1207" customFormat="1" ht="12.75" customHeight="1">
      <c r="A31" s="1211"/>
      <c r="B31" s="1211"/>
      <c r="C31" s="1211"/>
      <c r="E31" s="2673"/>
      <c r="F31" s="2674"/>
      <c r="G31" s="2674"/>
      <c r="H31" s="2674"/>
      <c r="I31" s="2674"/>
      <c r="J31" s="2674"/>
      <c r="K31" s="2674"/>
      <c r="L31" s="2674"/>
      <c r="M31" s="2674"/>
      <c r="N31" s="2674"/>
      <c r="O31" s="2674"/>
      <c r="P31" s="2674"/>
      <c r="Q31" s="2674"/>
      <c r="R31" s="2674"/>
      <c r="S31" s="2674"/>
      <c r="T31" s="2674"/>
      <c r="U31" s="2674"/>
      <c r="V31" s="2674"/>
      <c r="W31" s="2674"/>
      <c r="X31" s="2674"/>
      <c r="Y31" s="2674"/>
      <c r="Z31" s="2674"/>
      <c r="AA31" s="2674"/>
      <c r="AB31" s="2674"/>
      <c r="AC31" s="2674"/>
      <c r="AD31" s="2674"/>
      <c r="AE31" s="2674"/>
      <c r="AF31" s="2674"/>
      <c r="AG31" s="2674"/>
      <c r="AH31" s="2674"/>
      <c r="AI31" s="2674"/>
      <c r="AJ31" s="2675"/>
      <c r="AK31" s="1211"/>
      <c r="AL31" s="1211"/>
      <c r="AM31" s="1211"/>
      <c r="AN31" s="1206"/>
    </row>
    <row r="32" spans="1:42" s="1207" customFormat="1" ht="12.75" customHeight="1">
      <c r="A32" s="1211"/>
      <c r="B32" s="1211"/>
      <c r="C32" s="1211"/>
      <c r="F32" s="1228"/>
      <c r="G32" s="1228"/>
      <c r="H32" s="1228"/>
      <c r="I32" s="1228"/>
      <c r="J32" s="1228"/>
      <c r="K32" s="1228"/>
      <c r="L32" s="1228"/>
      <c r="M32" s="1228"/>
      <c r="N32" s="1228"/>
      <c r="O32" s="1228"/>
      <c r="P32" s="1228"/>
      <c r="Q32" s="1228"/>
      <c r="R32" s="1228"/>
      <c r="S32" s="1228"/>
      <c r="T32" s="1228"/>
      <c r="U32" s="1228"/>
      <c r="V32" s="1228"/>
      <c r="W32" s="1228"/>
      <c r="X32" s="1228"/>
      <c r="Y32" s="1228"/>
      <c r="Z32" s="1228"/>
      <c r="AA32" s="1228"/>
      <c r="AB32" s="1228"/>
      <c r="AC32" s="1228"/>
      <c r="AD32" s="1228"/>
      <c r="AE32" s="1228"/>
      <c r="AF32" s="1228"/>
      <c r="AG32" s="1228"/>
      <c r="AH32" s="1228"/>
      <c r="AI32" s="1228"/>
      <c r="AJ32" s="1228"/>
      <c r="AK32" s="1211"/>
      <c r="AL32" s="1211"/>
      <c r="AM32" s="1211"/>
      <c r="AN32" s="1206"/>
    </row>
    <row r="33" spans="1:41" s="1207" customFormat="1" ht="12.75" customHeight="1">
      <c r="A33" s="1211"/>
      <c r="B33" s="2648" t="s">
        <v>616</v>
      </c>
      <c r="C33" s="2648"/>
      <c r="D33" s="1219"/>
      <c r="E33" s="2564" t="s">
        <v>2698</v>
      </c>
      <c r="F33" s="2565"/>
      <c r="G33" s="2565"/>
      <c r="H33" s="2565"/>
      <c r="I33" s="2565"/>
      <c r="J33" s="2565"/>
      <c r="K33" s="2565"/>
      <c r="L33" s="2565"/>
      <c r="M33" s="2565"/>
      <c r="N33" s="2565"/>
      <c r="O33" s="2565"/>
      <c r="P33" s="2565"/>
      <c r="Q33" s="2565"/>
      <c r="R33" s="2565"/>
      <c r="S33" s="2565"/>
      <c r="T33" s="2565"/>
      <c r="U33" s="2565"/>
      <c r="V33" s="2565"/>
      <c r="W33" s="2565"/>
      <c r="X33" s="2565"/>
      <c r="Y33" s="2565"/>
      <c r="Z33" s="2565"/>
      <c r="AA33" s="2565"/>
      <c r="AB33" s="2565"/>
      <c r="AC33" s="2565"/>
      <c r="AD33" s="2565"/>
      <c r="AE33" s="2565"/>
      <c r="AF33" s="2565"/>
      <c r="AG33" s="2565"/>
      <c r="AH33" s="2565"/>
      <c r="AI33" s="2565"/>
      <c r="AJ33" s="2566"/>
      <c r="AK33" s="1211"/>
      <c r="AL33" s="1211"/>
      <c r="AM33" s="1211"/>
      <c r="AN33" s="1206"/>
    </row>
    <row r="34" spans="1:41" s="1207" customFormat="1" ht="12.75" customHeight="1">
      <c r="A34" s="1211"/>
      <c r="B34" s="1211"/>
      <c r="C34" s="1211"/>
      <c r="E34" s="2567"/>
      <c r="F34" s="2568"/>
      <c r="G34" s="2568"/>
      <c r="H34" s="2568"/>
      <c r="I34" s="2568"/>
      <c r="J34" s="2568"/>
      <c r="K34" s="2568"/>
      <c r="L34" s="2568"/>
      <c r="M34" s="2568"/>
      <c r="N34" s="2568"/>
      <c r="O34" s="2568"/>
      <c r="P34" s="2568"/>
      <c r="Q34" s="2568"/>
      <c r="R34" s="2568"/>
      <c r="S34" s="2568"/>
      <c r="T34" s="2568"/>
      <c r="U34" s="2568"/>
      <c r="V34" s="2568"/>
      <c r="W34" s="2568"/>
      <c r="X34" s="2568"/>
      <c r="Y34" s="2568"/>
      <c r="Z34" s="2568"/>
      <c r="AA34" s="2568"/>
      <c r="AB34" s="2568"/>
      <c r="AC34" s="2568"/>
      <c r="AD34" s="2568"/>
      <c r="AE34" s="2568"/>
      <c r="AF34" s="2568"/>
      <c r="AG34" s="2568"/>
      <c r="AH34" s="2568"/>
      <c r="AI34" s="2568"/>
      <c r="AJ34" s="2569"/>
      <c r="AK34" s="1211"/>
      <c r="AL34" s="1211"/>
      <c r="AM34" s="1211"/>
      <c r="AN34" s="1206"/>
    </row>
    <row r="35" spans="1:41" s="1207" customFormat="1" ht="12.75" customHeight="1">
      <c r="A35" s="1211"/>
      <c r="B35" s="1211"/>
      <c r="C35" s="1211"/>
      <c r="E35" s="2571"/>
      <c r="F35" s="2572"/>
      <c r="G35" s="2572"/>
      <c r="H35" s="2572"/>
      <c r="I35" s="2572"/>
      <c r="J35" s="2572"/>
      <c r="K35" s="2572"/>
      <c r="L35" s="2572"/>
      <c r="M35" s="2572"/>
      <c r="N35" s="2572"/>
      <c r="O35" s="2572"/>
      <c r="P35" s="2572"/>
      <c r="Q35" s="2572"/>
      <c r="R35" s="2572"/>
      <c r="S35" s="2572"/>
      <c r="T35" s="2572"/>
      <c r="U35" s="2572"/>
      <c r="V35" s="2572"/>
      <c r="W35" s="2572"/>
      <c r="X35" s="2572"/>
      <c r="Y35" s="2572"/>
      <c r="Z35" s="2572"/>
      <c r="AA35" s="2572"/>
      <c r="AB35" s="2572"/>
      <c r="AC35" s="2572"/>
      <c r="AD35" s="2572"/>
      <c r="AE35" s="2572"/>
      <c r="AF35" s="2572"/>
      <c r="AG35" s="2572"/>
      <c r="AH35" s="2572"/>
      <c r="AI35" s="2572"/>
      <c r="AJ35" s="2573"/>
      <c r="AK35" s="1211"/>
      <c r="AL35" s="1211"/>
      <c r="AM35" s="1211"/>
      <c r="AN35" s="1206"/>
    </row>
    <row r="36" spans="1:41" s="1207" customFormat="1" ht="12.75" customHeight="1">
      <c r="A36" s="1211"/>
      <c r="B36" s="1211"/>
      <c r="C36" s="1211"/>
      <c r="E36" s="1211"/>
      <c r="F36" s="1211"/>
      <c r="G36" s="1211"/>
      <c r="H36" s="1211"/>
      <c r="I36" s="1211"/>
      <c r="J36" s="1211"/>
      <c r="K36" s="1211"/>
      <c r="L36" s="1211"/>
      <c r="M36" s="1211"/>
      <c r="N36" s="1211"/>
      <c r="O36" s="1211"/>
      <c r="P36" s="1211"/>
      <c r="Q36" s="1211"/>
      <c r="R36" s="1211"/>
      <c r="S36" s="1211"/>
      <c r="T36" s="1211"/>
      <c r="U36" s="1211"/>
      <c r="V36" s="1211"/>
      <c r="W36" s="1211"/>
      <c r="X36" s="1211"/>
      <c r="Y36" s="1211"/>
      <c r="Z36" s="1211"/>
      <c r="AA36" s="1211"/>
      <c r="AB36" s="1211"/>
      <c r="AC36" s="1211"/>
      <c r="AD36" s="1211"/>
      <c r="AE36" s="1211"/>
      <c r="AF36" s="1211"/>
      <c r="AG36" s="1211"/>
      <c r="AH36" s="1211"/>
      <c r="AI36" s="1211"/>
      <c r="AJ36" s="1211"/>
      <c r="AK36" s="1211"/>
      <c r="AL36" s="1211"/>
      <c r="AM36" s="1211"/>
      <c r="AN36" s="1206"/>
      <c r="AO36" s="1207">
        <f>MAX(AO17,AO22,AO25,AO29)</f>
        <v>0</v>
      </c>
    </row>
    <row r="37" spans="1:41" s="1207" customFormat="1" ht="12.75" customHeight="1">
      <c r="A37" s="1211"/>
      <c r="C37" s="1227" t="s">
        <v>2699</v>
      </c>
      <c r="E37" s="1211"/>
      <c r="F37" s="1211"/>
      <c r="G37" s="1211"/>
      <c r="H37" s="121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c r="AF37" s="1211"/>
      <c r="AG37" s="1211"/>
      <c r="AH37" s="1211"/>
      <c r="AI37" s="1211"/>
      <c r="AJ37" s="1211"/>
      <c r="AK37" s="1211"/>
      <c r="AL37" s="1211"/>
      <c r="AM37" s="1211"/>
      <c r="AN37" s="1206"/>
    </row>
    <row r="38" spans="1:41" s="1207" customFormat="1" ht="12.75" customHeight="1">
      <c r="A38" s="1211"/>
      <c r="C38" s="1229"/>
      <c r="D38" s="1229"/>
      <c r="E38" s="1229"/>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11"/>
      <c r="AM38" s="1211"/>
      <c r="AN38" s="1206"/>
    </row>
    <row r="39" spans="1:41" s="1207" customFormat="1" ht="12.75" customHeight="1">
      <c r="A39" s="1211"/>
      <c r="B39" s="2648" t="s">
        <v>616</v>
      </c>
      <c r="C39" s="2648"/>
      <c r="D39" s="1229"/>
      <c r="E39" s="2564" t="s">
        <v>2700</v>
      </c>
      <c r="F39" s="2565"/>
      <c r="G39" s="2565"/>
      <c r="H39" s="2565"/>
      <c r="I39" s="2565"/>
      <c r="J39" s="2565"/>
      <c r="K39" s="2565"/>
      <c r="L39" s="2565"/>
      <c r="M39" s="2565"/>
      <c r="N39" s="2565"/>
      <c r="O39" s="2565"/>
      <c r="P39" s="2565"/>
      <c r="Q39" s="2565"/>
      <c r="R39" s="2565"/>
      <c r="S39" s="2565"/>
      <c r="T39" s="2565"/>
      <c r="U39" s="2565"/>
      <c r="V39" s="2565"/>
      <c r="W39" s="2565"/>
      <c r="X39" s="2565"/>
      <c r="Y39" s="2565"/>
      <c r="Z39" s="2565"/>
      <c r="AA39" s="2565"/>
      <c r="AB39" s="2565"/>
      <c r="AC39" s="2565"/>
      <c r="AD39" s="2565"/>
      <c r="AE39" s="2565"/>
      <c r="AF39" s="2565"/>
      <c r="AG39" s="2565"/>
      <c r="AH39" s="2565"/>
      <c r="AI39" s="2565"/>
      <c r="AJ39" s="2566"/>
      <c r="AK39" s="1229"/>
      <c r="AL39" s="1211"/>
      <c r="AM39" s="1211"/>
      <c r="AN39" s="1206"/>
    </row>
    <row r="40" spans="1:41" s="1207" customFormat="1" ht="12.75" customHeight="1">
      <c r="A40" s="1211"/>
      <c r="B40" s="1211"/>
      <c r="C40" s="1211"/>
      <c r="E40" s="2567"/>
      <c r="F40" s="2568"/>
      <c r="G40" s="2568"/>
      <c r="H40" s="2568"/>
      <c r="I40" s="2568"/>
      <c r="J40" s="2568"/>
      <c r="K40" s="2568"/>
      <c r="L40" s="2568"/>
      <c r="M40" s="2568"/>
      <c r="N40" s="2568"/>
      <c r="O40" s="2568"/>
      <c r="P40" s="2568"/>
      <c r="Q40" s="2568"/>
      <c r="R40" s="2568"/>
      <c r="S40" s="2568"/>
      <c r="T40" s="2568"/>
      <c r="U40" s="2568"/>
      <c r="V40" s="2568"/>
      <c r="W40" s="2568"/>
      <c r="X40" s="2568"/>
      <c r="Y40" s="2568"/>
      <c r="Z40" s="2568"/>
      <c r="AA40" s="2568"/>
      <c r="AB40" s="2568"/>
      <c r="AC40" s="2568"/>
      <c r="AD40" s="2568"/>
      <c r="AE40" s="2568"/>
      <c r="AF40" s="2568"/>
      <c r="AG40" s="2568"/>
      <c r="AH40" s="2568"/>
      <c r="AI40" s="2568"/>
      <c r="AJ40" s="2569"/>
      <c r="AK40" s="1211"/>
      <c r="AL40" s="1211"/>
      <c r="AM40" s="1211"/>
      <c r="AN40" s="1206"/>
    </row>
    <row r="41" spans="1:41" s="1207" customFormat="1" ht="12.75" customHeight="1">
      <c r="A41" s="1211"/>
      <c r="D41" s="1219"/>
      <c r="E41" s="2571"/>
      <c r="F41" s="2572"/>
      <c r="G41" s="2572"/>
      <c r="H41" s="2572"/>
      <c r="I41" s="2572"/>
      <c r="J41" s="2572"/>
      <c r="K41" s="2572"/>
      <c r="L41" s="2572"/>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2572"/>
      <c r="AJ41" s="2573"/>
      <c r="AK41" s="1211"/>
      <c r="AL41" s="1211"/>
      <c r="AM41" s="1211"/>
      <c r="AN41" s="1206"/>
      <c r="AO41" s="1230"/>
    </row>
    <row r="42" spans="1:41" s="1207" customFormat="1" ht="12.75" customHeight="1">
      <c r="A42" s="1211"/>
      <c r="B42" s="1211"/>
      <c r="C42" s="1211"/>
      <c r="E42" s="1211"/>
      <c r="F42" s="1211"/>
      <c r="G42" s="1211"/>
      <c r="H42" s="1211"/>
      <c r="I42" s="1211"/>
      <c r="J42" s="1211"/>
      <c r="K42" s="1211"/>
      <c r="L42" s="1211"/>
      <c r="M42" s="1211"/>
      <c r="N42" s="1211"/>
      <c r="O42" s="1211"/>
      <c r="P42" s="1211"/>
      <c r="Q42" s="1211"/>
      <c r="R42" s="1211"/>
      <c r="S42" s="1211"/>
      <c r="T42" s="1211"/>
      <c r="U42" s="1211"/>
      <c r="V42" s="1211"/>
      <c r="W42" s="1211"/>
      <c r="X42" s="1211"/>
      <c r="Y42" s="1211"/>
      <c r="Z42" s="1211"/>
      <c r="AA42" s="1211"/>
      <c r="AB42" s="1211"/>
      <c r="AC42" s="1211"/>
      <c r="AD42" s="1211"/>
      <c r="AE42" s="1211"/>
      <c r="AF42" s="1211"/>
      <c r="AG42" s="1211"/>
      <c r="AH42" s="1211"/>
      <c r="AI42" s="1211"/>
      <c r="AJ42" s="1211"/>
      <c r="AK42" s="1211"/>
      <c r="AL42" s="1211"/>
      <c r="AM42" s="1211"/>
      <c r="AN42" s="1206"/>
      <c r="AO42" s="1230"/>
    </row>
    <row r="43" spans="1:41" s="1207" customFormat="1" ht="12.75" customHeight="1">
      <c r="A43" s="1210"/>
      <c r="B43" s="1210" t="s">
        <v>2701</v>
      </c>
      <c r="C43" s="1219"/>
      <c r="D43" s="1219"/>
      <c r="E43" s="1231"/>
      <c r="F43" s="1211"/>
      <c r="G43" s="1211"/>
      <c r="H43" s="1211"/>
      <c r="I43" s="1211"/>
      <c r="J43" s="1211"/>
      <c r="K43" s="1211"/>
      <c r="L43" s="1211"/>
      <c r="M43" s="1211"/>
      <c r="N43" s="1211"/>
      <c r="O43" s="1211"/>
      <c r="P43" s="1211"/>
      <c r="Q43" s="1211"/>
      <c r="R43" s="1211"/>
      <c r="S43" s="1211"/>
      <c r="T43" s="1211"/>
      <c r="U43" s="1211"/>
      <c r="V43" s="1211"/>
      <c r="W43" s="1211"/>
      <c r="X43" s="1211"/>
      <c r="Y43" s="1211"/>
      <c r="Z43" s="1211"/>
      <c r="AA43" s="1211"/>
      <c r="AB43" s="1211"/>
      <c r="AC43" s="1211"/>
      <c r="AD43" s="1211"/>
      <c r="AE43" s="1211"/>
      <c r="AF43" s="1211"/>
      <c r="AG43" s="1211"/>
      <c r="AH43" s="1211"/>
      <c r="AI43" s="1211"/>
      <c r="AJ43" s="1211"/>
      <c r="AK43" s="1211"/>
      <c r="AL43" s="1211"/>
      <c r="AM43" s="1211"/>
      <c r="AN43" s="1206"/>
      <c r="AO43" s="1230"/>
    </row>
    <row r="44" spans="1:41" s="1207" customFormat="1" ht="12.75" customHeight="1">
      <c r="A44" s="1211"/>
      <c r="B44" s="1211"/>
      <c r="C44" s="1215" t="s">
        <v>2702</v>
      </c>
      <c r="D44" s="1211"/>
      <c r="E44" s="1211"/>
      <c r="F44" s="1211"/>
      <c r="G44" s="1211"/>
      <c r="H44" s="1211"/>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1211"/>
      <c r="AL44" s="1211"/>
      <c r="AM44" s="1211"/>
      <c r="AN44" s="1206"/>
      <c r="AO44" s="1230"/>
    </row>
    <row r="45" spans="1:41" s="1207" customFormat="1" ht="12.75" customHeight="1">
      <c r="A45" s="1219"/>
      <c r="B45" s="1219"/>
      <c r="C45" s="1219"/>
      <c r="D45" s="1219"/>
      <c r="E45" s="1232"/>
      <c r="F45" s="1211"/>
      <c r="G45" s="1211"/>
      <c r="H45" s="1211"/>
      <c r="I45" s="1211"/>
      <c r="J45" s="1211"/>
      <c r="K45" s="1211"/>
      <c r="L45" s="1211"/>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1211"/>
      <c r="AL45" s="1211"/>
      <c r="AM45" s="1211"/>
      <c r="AN45" s="1206"/>
      <c r="AO45" s="1230"/>
    </row>
    <row r="46" spans="1:41" s="1207" customFormat="1" ht="12.75" customHeight="1">
      <c r="A46" s="1211"/>
      <c r="B46" s="2648" t="s">
        <v>616</v>
      </c>
      <c r="C46" s="2648"/>
      <c r="D46" s="1211"/>
      <c r="E46" s="2564" t="s">
        <v>2703</v>
      </c>
      <c r="F46" s="2565"/>
      <c r="G46" s="2565"/>
      <c r="H46" s="2565"/>
      <c r="I46" s="2565"/>
      <c r="J46" s="2565"/>
      <c r="K46" s="2565"/>
      <c r="L46" s="2565"/>
      <c r="M46" s="2565"/>
      <c r="N46" s="2565"/>
      <c r="O46" s="2565"/>
      <c r="P46" s="2565"/>
      <c r="Q46" s="2565"/>
      <c r="R46" s="2565"/>
      <c r="S46" s="2565"/>
      <c r="T46" s="2565"/>
      <c r="U46" s="2565"/>
      <c r="V46" s="2565"/>
      <c r="W46" s="2565"/>
      <c r="X46" s="2565"/>
      <c r="Y46" s="2565"/>
      <c r="Z46" s="2565"/>
      <c r="AA46" s="2565"/>
      <c r="AB46" s="2565"/>
      <c r="AC46" s="2565"/>
      <c r="AD46" s="2565"/>
      <c r="AE46" s="2565"/>
      <c r="AF46" s="2565"/>
      <c r="AG46" s="2565"/>
      <c r="AH46" s="2565"/>
      <c r="AI46" s="2565"/>
      <c r="AJ46" s="2566"/>
      <c r="AK46" s="1211"/>
      <c r="AL46" s="1211"/>
      <c r="AM46" s="1211"/>
      <c r="AN46" s="1206"/>
      <c r="AO46" s="1233"/>
    </row>
    <row r="47" spans="1:41" s="1207" customFormat="1" ht="12.75" customHeight="1">
      <c r="A47" s="1211"/>
      <c r="D47" s="1219"/>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1211"/>
      <c r="AL47" s="1211"/>
      <c r="AM47" s="1211"/>
      <c r="AN47" s="1206"/>
      <c r="AO47" s="1233"/>
    </row>
    <row r="48" spans="1:41" s="1207" customFormat="1" ht="12.75" customHeight="1">
      <c r="A48" s="1211"/>
      <c r="D48" s="1211"/>
      <c r="E48" s="2571"/>
      <c r="F48" s="2572"/>
      <c r="G48" s="2572"/>
      <c r="H48" s="2572"/>
      <c r="I48" s="2572"/>
      <c r="J48" s="2572"/>
      <c r="K48" s="2572"/>
      <c r="L48" s="2572"/>
      <c r="M48" s="2572"/>
      <c r="N48" s="2572"/>
      <c r="O48" s="2572"/>
      <c r="P48" s="2572"/>
      <c r="Q48" s="2572"/>
      <c r="R48" s="2572"/>
      <c r="S48" s="2572"/>
      <c r="T48" s="2572"/>
      <c r="U48" s="2572"/>
      <c r="V48" s="2572"/>
      <c r="W48" s="2572"/>
      <c r="X48" s="2572"/>
      <c r="Y48" s="2572"/>
      <c r="Z48" s="2572"/>
      <c r="AA48" s="2572"/>
      <c r="AB48" s="2572"/>
      <c r="AC48" s="2572"/>
      <c r="AD48" s="2572"/>
      <c r="AE48" s="2572"/>
      <c r="AF48" s="2572"/>
      <c r="AG48" s="2572"/>
      <c r="AH48" s="2572"/>
      <c r="AI48" s="2572"/>
      <c r="AJ48" s="2573"/>
      <c r="AK48" s="1211"/>
      <c r="AL48" s="1211"/>
      <c r="AM48" s="1211"/>
      <c r="AN48" s="1206"/>
    </row>
    <row r="49" spans="1:50" s="1207" customFormat="1" ht="12.75" customHeight="1">
      <c r="A49" s="1211"/>
      <c r="B49" s="1211"/>
      <c r="C49" s="1211"/>
      <c r="D49" s="1219"/>
      <c r="E49" s="1232"/>
      <c r="F49" s="1230"/>
      <c r="G49" s="1230"/>
      <c r="H49" s="1211"/>
      <c r="I49" s="1211"/>
      <c r="J49" s="1211"/>
      <c r="K49" s="1211"/>
      <c r="L49" s="1211"/>
      <c r="M49" s="1211"/>
      <c r="N49" s="1211"/>
      <c r="O49" s="1211"/>
      <c r="P49" s="1211"/>
      <c r="Q49" s="1211"/>
      <c r="R49" s="1211"/>
      <c r="S49" s="1211"/>
      <c r="T49" s="1211"/>
      <c r="U49" s="1211"/>
      <c r="V49" s="1211"/>
      <c r="W49" s="1211"/>
      <c r="X49" s="1211"/>
      <c r="Y49" s="1211"/>
      <c r="Z49" s="1211"/>
      <c r="AA49" s="1211"/>
      <c r="AB49" s="1211"/>
      <c r="AC49" s="1211"/>
      <c r="AD49" s="1211"/>
      <c r="AE49" s="1211"/>
      <c r="AF49" s="1211"/>
      <c r="AG49" s="1211"/>
      <c r="AH49" s="1211"/>
      <c r="AI49" s="1211"/>
      <c r="AJ49" s="1211"/>
      <c r="AK49" s="1211"/>
      <c r="AL49" s="1211"/>
      <c r="AM49" s="1211"/>
      <c r="AN49" s="1206"/>
    </row>
    <row r="50" spans="1:50" s="1207" customFormat="1" ht="12.75" customHeight="1">
      <c r="A50" s="1211"/>
      <c r="B50" s="2648" t="s">
        <v>616</v>
      </c>
      <c r="C50" s="2648"/>
      <c r="D50" s="1211"/>
      <c r="E50" s="2664" t="s">
        <v>2704</v>
      </c>
      <c r="F50" s="2665"/>
      <c r="G50" s="2665"/>
      <c r="H50" s="2665"/>
      <c r="I50" s="2665"/>
      <c r="J50" s="2665"/>
      <c r="K50" s="2665"/>
      <c r="L50" s="2665"/>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6"/>
      <c r="AK50" s="1211"/>
      <c r="AL50" s="1211"/>
      <c r="AM50" s="1211"/>
      <c r="AN50" s="1206"/>
    </row>
    <row r="51" spans="1:50" s="1207" customFormat="1" ht="12.75" customHeight="1">
      <c r="A51" s="1211"/>
      <c r="B51" s="1211"/>
      <c r="C51" s="1211"/>
      <c r="D51" s="1219"/>
      <c r="E51" s="1234"/>
      <c r="F51" s="1230"/>
      <c r="G51" s="1230"/>
      <c r="H51" s="121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1211"/>
      <c r="AE51" s="1211"/>
      <c r="AF51" s="1211"/>
      <c r="AG51" s="1211"/>
      <c r="AH51" s="1211"/>
      <c r="AI51" s="1211"/>
      <c r="AJ51" s="1211"/>
      <c r="AK51" s="1211"/>
      <c r="AL51" s="1211"/>
      <c r="AM51" s="1211"/>
      <c r="AN51" s="1206"/>
    </row>
    <row r="52" spans="1:50" s="1207" customFormat="1" ht="12.75" customHeight="1">
      <c r="A52" s="1211"/>
      <c r="B52" s="2648" t="s">
        <v>616</v>
      </c>
      <c r="C52" s="2648"/>
      <c r="D52" s="1211"/>
      <c r="E52" s="2564" t="s">
        <v>2705</v>
      </c>
      <c r="F52" s="2565"/>
      <c r="G52" s="2565"/>
      <c r="H52" s="2565"/>
      <c r="I52" s="2565"/>
      <c r="J52" s="2565"/>
      <c r="K52" s="2565"/>
      <c r="L52" s="2565"/>
      <c r="M52" s="2565"/>
      <c r="N52" s="2565"/>
      <c r="O52" s="2565"/>
      <c r="P52" s="2565"/>
      <c r="Q52" s="2565"/>
      <c r="R52" s="2565"/>
      <c r="S52" s="2565"/>
      <c r="T52" s="2565"/>
      <c r="U52" s="2565"/>
      <c r="V52" s="2565"/>
      <c r="W52" s="2565"/>
      <c r="X52" s="2565"/>
      <c r="Y52" s="2565"/>
      <c r="Z52" s="2565"/>
      <c r="AA52" s="2565"/>
      <c r="AB52" s="2565"/>
      <c r="AC52" s="2565"/>
      <c r="AD52" s="2565"/>
      <c r="AE52" s="2565"/>
      <c r="AF52" s="2565"/>
      <c r="AG52" s="2565"/>
      <c r="AH52" s="2565"/>
      <c r="AI52" s="2565"/>
      <c r="AJ52" s="2566"/>
      <c r="AK52" s="1211"/>
      <c r="AL52" s="1211"/>
      <c r="AM52" s="1211"/>
      <c r="AN52" s="1206"/>
    </row>
    <row r="53" spans="1:50" s="1207" customFormat="1" ht="12.75" customHeight="1">
      <c r="A53" s="1211"/>
      <c r="B53" s="1219"/>
      <c r="C53" s="1219"/>
      <c r="D53" s="1219"/>
      <c r="E53" s="2571"/>
      <c r="F53" s="2572"/>
      <c r="G53" s="2572"/>
      <c r="H53" s="2572"/>
      <c r="I53" s="2572"/>
      <c r="J53" s="2572"/>
      <c r="K53" s="2572"/>
      <c r="L53" s="2572"/>
      <c r="M53" s="2572"/>
      <c r="N53" s="2572"/>
      <c r="O53" s="2572"/>
      <c r="P53" s="2572"/>
      <c r="Q53" s="2572"/>
      <c r="R53" s="2572"/>
      <c r="S53" s="2572"/>
      <c r="T53" s="2572"/>
      <c r="U53" s="2572"/>
      <c r="V53" s="2572"/>
      <c r="W53" s="2572"/>
      <c r="X53" s="2572"/>
      <c r="Y53" s="2572"/>
      <c r="Z53" s="2572"/>
      <c r="AA53" s="2572"/>
      <c r="AB53" s="2572"/>
      <c r="AC53" s="2572"/>
      <c r="AD53" s="2572"/>
      <c r="AE53" s="2572"/>
      <c r="AF53" s="2572"/>
      <c r="AG53" s="2572"/>
      <c r="AH53" s="2572"/>
      <c r="AI53" s="2572"/>
      <c r="AJ53" s="2573"/>
      <c r="AK53" s="1211"/>
      <c r="AL53" s="1211"/>
      <c r="AM53" s="1211"/>
      <c r="AN53" s="1206"/>
      <c r="AX53" s="1210"/>
    </row>
    <row r="54" spans="1:50" s="1207" customFormat="1" ht="12.75" customHeight="1">
      <c r="A54" s="1211"/>
      <c r="B54" s="1219"/>
      <c r="C54" s="1219"/>
      <c r="D54" s="1219"/>
      <c r="E54" s="1234"/>
      <c r="F54" s="1211"/>
      <c r="G54" s="1211"/>
      <c r="H54" s="121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1211"/>
      <c r="AE54" s="1211"/>
      <c r="AF54" s="1211"/>
      <c r="AG54" s="1211"/>
      <c r="AH54" s="1211"/>
      <c r="AI54" s="1211"/>
      <c r="AJ54" s="1211"/>
      <c r="AK54" s="1211"/>
      <c r="AL54" s="1211"/>
      <c r="AM54" s="1211"/>
      <c r="AN54" s="1206"/>
      <c r="AX54" s="1210"/>
    </row>
    <row r="55" spans="1:50" s="1207" customFormat="1" ht="12.75" customHeight="1">
      <c r="A55" s="1211"/>
      <c r="B55" s="1211"/>
      <c r="C55" s="1211"/>
      <c r="D55" s="1211"/>
      <c r="E55" s="1211"/>
      <c r="F55" s="1211"/>
      <c r="G55" s="1211"/>
      <c r="H55" s="121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1211"/>
      <c r="AE55" s="1211"/>
      <c r="AF55" s="1211"/>
      <c r="AG55" s="1211"/>
      <c r="AH55" s="1211"/>
      <c r="AI55" s="1211"/>
      <c r="AJ55" s="1211"/>
      <c r="AK55" s="1211"/>
      <c r="AL55" s="1211"/>
      <c r="AM55" s="1211"/>
      <c r="AN55" s="1206"/>
    </row>
    <row r="56" spans="1:50" s="1207" customFormat="1" ht="12.75" customHeight="1">
      <c r="A56" s="1235"/>
      <c r="B56" s="1236"/>
      <c r="C56" s="1236"/>
      <c r="D56" s="1236"/>
      <c r="E56" s="1236"/>
      <c r="F56" s="1236"/>
      <c r="G56" s="1237"/>
      <c r="H56" s="1238"/>
      <c r="I56" s="1238"/>
      <c r="J56" s="1238"/>
      <c r="K56" s="1238"/>
      <c r="L56" s="1238"/>
      <c r="M56" s="1238"/>
      <c r="N56" s="1238"/>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9"/>
      <c r="AJ56" s="1239" t="s">
        <v>1502</v>
      </c>
      <c r="AK56" s="2631">
        <f>AO36</f>
        <v>0</v>
      </c>
      <c r="AL56" s="2632"/>
      <c r="AM56" s="2633"/>
      <c r="AN56" s="1206"/>
    </row>
    <row r="57" spans="1:50" s="1207" customFormat="1" ht="12.75" customHeight="1" thickBot="1">
      <c r="A57" s="1240"/>
      <c r="B57" s="1241"/>
      <c r="C57" s="1242"/>
      <c r="D57" s="1242"/>
      <c r="E57" s="1242"/>
      <c r="F57" s="1242"/>
      <c r="G57" s="1242"/>
      <c r="H57" s="1242"/>
      <c r="I57" s="1242"/>
      <c r="J57" s="1242"/>
      <c r="K57" s="1242"/>
      <c r="L57" s="1242"/>
      <c r="M57" s="1242"/>
      <c r="N57" s="1242"/>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3"/>
      <c r="AN57" s="1206"/>
    </row>
    <row r="58" spans="1:50" s="1207" customFormat="1" ht="12.75" customHeight="1" thickTop="1">
      <c r="B58" s="914"/>
      <c r="C58" s="915"/>
      <c r="D58" s="915"/>
      <c r="E58" s="915"/>
      <c r="F58" s="915"/>
      <c r="G58" s="915"/>
      <c r="H58" s="915"/>
      <c r="I58" s="1244"/>
      <c r="J58" s="1244"/>
      <c r="K58" s="1244"/>
      <c r="L58" s="1244"/>
      <c r="M58" s="1244"/>
      <c r="N58" s="1244"/>
      <c r="O58" s="1244"/>
      <c r="P58" s="1244"/>
      <c r="Q58" s="1244"/>
      <c r="S58" s="1210"/>
      <c r="T58" s="1210"/>
      <c r="U58" s="1210"/>
      <c r="V58" s="1210"/>
      <c r="W58" s="1210"/>
      <c r="X58" s="1210"/>
      <c r="Y58" s="1210"/>
      <c r="Z58" s="1210"/>
      <c r="AA58" s="1210"/>
      <c r="AB58" s="1210"/>
      <c r="AC58" s="1210"/>
      <c r="AD58" s="1210"/>
      <c r="AE58" s="1210"/>
      <c r="AG58" s="1210"/>
      <c r="AH58" s="1210"/>
      <c r="AI58" s="1210"/>
      <c r="AJ58" s="1210"/>
      <c r="AK58" s="1222"/>
      <c r="AL58" s="1222"/>
      <c r="AM58" s="1222"/>
      <c r="AN58" s="1206"/>
    </row>
    <row r="59" spans="1:50" s="1207" customFormat="1" ht="12.75" customHeight="1">
      <c r="A59" s="1209" t="s">
        <v>1503</v>
      </c>
      <c r="B59" s="1210" t="s">
        <v>1504</v>
      </c>
      <c r="C59" s="1210"/>
      <c r="D59" s="1210"/>
      <c r="E59" s="1210"/>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2491" t="s">
        <v>1505</v>
      </c>
      <c r="AF59" s="2491"/>
      <c r="AG59" s="2491"/>
      <c r="AH59" s="2491"/>
      <c r="AI59" s="2491"/>
      <c r="AJ59" s="2491"/>
      <c r="AK59" s="2491"/>
      <c r="AL59" s="1211"/>
      <c r="AM59" s="1211"/>
      <c r="AN59" s="1206"/>
    </row>
    <row r="60" spans="1:50" s="1207" customFormat="1" ht="12.75" customHeight="1">
      <c r="A60" s="1209"/>
      <c r="B60" s="1210" t="s">
        <v>2038</v>
      </c>
      <c r="C60" s="1210"/>
      <c r="D60" s="1210"/>
      <c r="E60" s="1210"/>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4"/>
      <c r="AF60" s="1214"/>
      <c r="AG60" s="1214"/>
      <c r="AH60" s="1214"/>
      <c r="AI60" s="1214"/>
      <c r="AJ60" s="1214"/>
      <c r="AK60" s="1214"/>
      <c r="AL60" s="1211"/>
      <c r="AM60" s="1211"/>
      <c r="AN60" s="1206"/>
    </row>
    <row r="61" spans="1:50" s="1207" customFormat="1" ht="12.75" customHeight="1">
      <c r="A61" s="1209"/>
      <c r="B61" s="1210"/>
      <c r="C61" s="1210"/>
      <c r="D61" s="1210"/>
      <c r="E61" s="1210"/>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4"/>
      <c r="AF61" s="1214"/>
      <c r="AG61" s="1214"/>
      <c r="AH61" s="1214"/>
      <c r="AI61" s="1214"/>
      <c r="AJ61" s="1214"/>
      <c r="AK61" s="1214"/>
      <c r="AL61" s="1211"/>
      <c r="AM61" s="1211"/>
      <c r="AN61" s="1206"/>
    </row>
    <row r="62" spans="1:50" s="1207" customFormat="1" ht="12.75" customHeight="1">
      <c r="A62" s="1209"/>
      <c r="B62" s="2648" t="s">
        <v>616</v>
      </c>
      <c r="C62" s="2648"/>
      <c r="D62" s="1219" t="s">
        <v>1506</v>
      </c>
      <c r="E62" s="2649" t="s">
        <v>2706</v>
      </c>
      <c r="F62" s="2650"/>
      <c r="G62" s="2650"/>
      <c r="H62" s="2650"/>
      <c r="I62" s="2650"/>
      <c r="J62" s="2650"/>
      <c r="K62" s="2650"/>
      <c r="L62" s="2650"/>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1"/>
      <c r="AK62" s="1214"/>
      <c r="AL62" s="1211"/>
      <c r="AM62" s="1211"/>
      <c r="AN62" s="1206"/>
      <c r="AO62" s="1222">
        <f>IF($B62="yes",10,0)</f>
        <v>0</v>
      </c>
    </row>
    <row r="63" spans="1:50" s="1207" customFormat="1" ht="12.75" customHeight="1">
      <c r="A63" s="1209"/>
      <c r="B63" s="1211"/>
      <c r="C63" s="1211"/>
      <c r="D63" s="1223"/>
      <c r="E63" s="2652"/>
      <c r="F63" s="2653"/>
      <c r="G63" s="2653"/>
      <c r="H63" s="2653"/>
      <c r="I63" s="2653"/>
      <c r="J63" s="2653"/>
      <c r="K63" s="2653"/>
      <c r="L63" s="2653"/>
      <c r="M63" s="2653"/>
      <c r="N63" s="2653"/>
      <c r="O63" s="2653"/>
      <c r="P63" s="2653"/>
      <c r="Q63" s="2653"/>
      <c r="R63" s="2653"/>
      <c r="S63" s="2653"/>
      <c r="T63" s="2653"/>
      <c r="U63" s="2653"/>
      <c r="V63" s="2653"/>
      <c r="W63" s="2653"/>
      <c r="X63" s="2653"/>
      <c r="Y63" s="2653"/>
      <c r="Z63" s="2653"/>
      <c r="AA63" s="2653"/>
      <c r="AB63" s="2653"/>
      <c r="AC63" s="2653"/>
      <c r="AD63" s="2653"/>
      <c r="AE63" s="2653"/>
      <c r="AF63" s="2653"/>
      <c r="AG63" s="2653"/>
      <c r="AH63" s="2653"/>
      <c r="AI63" s="2653"/>
      <c r="AJ63" s="2654"/>
      <c r="AK63" s="1214"/>
      <c r="AL63" s="1211"/>
      <c r="AM63" s="1211"/>
      <c r="AN63" s="1206"/>
      <c r="AO63" s="1222">
        <f>IF($B68="yes",10,0)</f>
        <v>10</v>
      </c>
    </row>
    <row r="64" spans="1:50" s="1207" customFormat="1" ht="12.75" customHeight="1">
      <c r="A64" s="1209"/>
      <c r="B64" s="1211"/>
      <c r="C64" s="1211"/>
      <c r="D64" s="1223"/>
      <c r="E64" s="2652"/>
      <c r="F64" s="2653"/>
      <c r="G64" s="2653"/>
      <c r="H64" s="2653"/>
      <c r="I64" s="2653"/>
      <c r="J64" s="2653"/>
      <c r="K64" s="2653"/>
      <c r="L64" s="2653"/>
      <c r="M64" s="2653"/>
      <c r="N64" s="2653"/>
      <c r="O64" s="2653"/>
      <c r="P64" s="2653"/>
      <c r="Q64" s="2653"/>
      <c r="R64" s="2653"/>
      <c r="S64" s="2653"/>
      <c r="T64" s="2653"/>
      <c r="U64" s="2653"/>
      <c r="V64" s="2653"/>
      <c r="W64" s="2653"/>
      <c r="X64" s="2653"/>
      <c r="Y64" s="2653"/>
      <c r="Z64" s="2653"/>
      <c r="AA64" s="2653"/>
      <c r="AB64" s="2653"/>
      <c r="AC64" s="2653"/>
      <c r="AD64" s="2653"/>
      <c r="AE64" s="2653"/>
      <c r="AF64" s="2653"/>
      <c r="AG64" s="2653"/>
      <c r="AH64" s="2653"/>
      <c r="AI64" s="2653"/>
      <c r="AJ64" s="2654"/>
      <c r="AK64" s="1214"/>
      <c r="AL64" s="1211"/>
      <c r="AM64" s="1211"/>
      <c r="AN64" s="1206"/>
      <c r="AO64" s="1222">
        <f>IF($B75="yes",10,0)</f>
        <v>0</v>
      </c>
    </row>
    <row r="65" spans="1:42" s="1207" customFormat="1" ht="12.75" customHeight="1">
      <c r="A65" s="1209"/>
      <c r="B65" s="1211"/>
      <c r="C65" s="1211"/>
      <c r="D65" s="1223"/>
      <c r="E65" s="2652"/>
      <c r="F65" s="2653"/>
      <c r="G65" s="2653"/>
      <c r="H65" s="2653"/>
      <c r="I65" s="2653"/>
      <c r="J65" s="2653"/>
      <c r="K65" s="2653"/>
      <c r="L65" s="2653"/>
      <c r="M65" s="2653"/>
      <c r="N65" s="2653"/>
      <c r="O65" s="2653"/>
      <c r="P65" s="2653"/>
      <c r="Q65" s="2653"/>
      <c r="R65" s="2653"/>
      <c r="S65" s="2653"/>
      <c r="T65" s="2653"/>
      <c r="U65" s="2653"/>
      <c r="V65" s="2653"/>
      <c r="W65" s="2653"/>
      <c r="X65" s="2653"/>
      <c r="Y65" s="2653"/>
      <c r="Z65" s="2653"/>
      <c r="AA65" s="2653"/>
      <c r="AB65" s="2653"/>
      <c r="AC65" s="2653"/>
      <c r="AD65" s="2653"/>
      <c r="AE65" s="2653"/>
      <c r="AF65" s="2653"/>
      <c r="AG65" s="2653"/>
      <c r="AH65" s="2653"/>
      <c r="AI65" s="2653"/>
      <c r="AJ65" s="2654"/>
      <c r="AK65" s="1214"/>
      <c r="AL65" s="1211"/>
      <c r="AM65" s="1211"/>
      <c r="AN65" s="1206"/>
      <c r="AO65" s="1207">
        <f>IF(SUM(AO62:AO64)&gt;10,10,(SUM(AO62:AO64)))</f>
        <v>10</v>
      </c>
      <c r="AP65" s="1245" t="s">
        <v>1507</v>
      </c>
    </row>
    <row r="66" spans="1:42" s="1207" customFormat="1" ht="12.75" customHeight="1">
      <c r="A66" s="1209"/>
      <c r="B66" s="1211"/>
      <c r="C66" s="1211"/>
      <c r="D66" s="1223"/>
      <c r="E66" s="2659"/>
      <c r="F66" s="2660"/>
      <c r="G66" s="2660"/>
      <c r="H66" s="2660"/>
      <c r="I66" s="2660"/>
      <c r="J66" s="2660"/>
      <c r="K66" s="2660"/>
      <c r="L66" s="2660"/>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1"/>
      <c r="AK66" s="1214"/>
      <c r="AL66" s="1211"/>
      <c r="AM66" s="1211"/>
      <c r="AN66" s="1206"/>
    </row>
    <row r="67" spans="1:42" s="1207" customFormat="1" ht="12.75" customHeight="1">
      <c r="A67" s="1209"/>
      <c r="B67" s="1211"/>
      <c r="C67" s="1211"/>
      <c r="E67" s="1211"/>
      <c r="F67" s="1211"/>
      <c r="G67" s="1211"/>
      <c r="H67" s="1211"/>
      <c r="I67" s="1211"/>
      <c r="J67" s="1211"/>
      <c r="K67" s="1211"/>
      <c r="L67" s="1211"/>
      <c r="M67" s="1211"/>
      <c r="N67" s="1211"/>
      <c r="O67" s="1211"/>
      <c r="P67" s="1211"/>
      <c r="Q67" s="1211"/>
      <c r="R67" s="1211"/>
      <c r="S67" s="1211"/>
      <c r="T67" s="1211"/>
      <c r="U67" s="1211"/>
      <c r="V67" s="1211"/>
      <c r="W67" s="1211"/>
      <c r="X67" s="1211"/>
      <c r="Y67" s="1211"/>
      <c r="Z67" s="1211"/>
      <c r="AA67" s="1211"/>
      <c r="AB67" s="1211"/>
      <c r="AC67" s="1211"/>
      <c r="AD67" s="1211"/>
      <c r="AE67" s="1211"/>
      <c r="AF67" s="1211"/>
      <c r="AG67" s="1211"/>
      <c r="AH67" s="1211"/>
      <c r="AI67" s="1211"/>
      <c r="AJ67" s="1211"/>
      <c r="AK67" s="1214"/>
      <c r="AL67" s="1211"/>
      <c r="AM67" s="1211"/>
      <c r="AN67" s="1206"/>
    </row>
    <row r="68" spans="1:42" s="1207" customFormat="1" ht="12.75" customHeight="1">
      <c r="A68" s="1209"/>
      <c r="B68" s="2648" t="s">
        <v>569</v>
      </c>
      <c r="C68" s="2648"/>
      <c r="D68" s="1219" t="s">
        <v>1508</v>
      </c>
      <c r="E68" s="1246" t="s">
        <v>2034</v>
      </c>
      <c r="F68" s="1247"/>
      <c r="G68" s="1247"/>
      <c r="H68" s="1247"/>
      <c r="I68" s="1247"/>
      <c r="J68" s="1247"/>
      <c r="K68" s="1247"/>
      <c r="L68" s="1247"/>
      <c r="M68" s="1247"/>
      <c r="N68" s="1247"/>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8"/>
      <c r="AK68" s="1214"/>
      <c r="AL68" s="1211"/>
      <c r="AM68" s="1211"/>
      <c r="AN68" s="1206"/>
    </row>
    <row r="69" spans="1:42" s="1207" customFormat="1" ht="12.75" customHeight="1">
      <c r="A69" s="1209"/>
      <c r="B69" s="1211"/>
      <c r="C69" s="1211"/>
      <c r="D69" s="1222"/>
      <c r="E69" s="2658" t="s">
        <v>569</v>
      </c>
      <c r="F69" s="2648"/>
      <c r="G69" s="1249"/>
      <c r="H69" s="1232" t="s">
        <v>1509</v>
      </c>
      <c r="I69" s="1250"/>
      <c r="J69" s="1249"/>
      <c r="K69" s="1249"/>
      <c r="L69" s="1249"/>
      <c r="M69" s="1249"/>
      <c r="N69" s="1249"/>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51"/>
      <c r="AK69" s="1214"/>
      <c r="AL69" s="1211"/>
      <c r="AM69" s="1211"/>
      <c r="AN69" s="1206"/>
    </row>
    <row r="70" spans="1:42" s="1207" customFormat="1" ht="12.75" customHeight="1">
      <c r="A70" s="1209"/>
      <c r="B70" s="1211"/>
      <c r="C70" s="1211"/>
      <c r="D70" s="1222"/>
      <c r="E70" s="2662" t="s">
        <v>616</v>
      </c>
      <c r="F70" s="2663"/>
      <c r="G70" s="1249"/>
      <c r="H70" s="1232" t="s">
        <v>1510</v>
      </c>
      <c r="I70" s="1249"/>
      <c r="J70" s="1249"/>
      <c r="K70" s="1249"/>
      <c r="L70" s="1249"/>
      <c r="M70" s="1249"/>
      <c r="N70" s="1249"/>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51"/>
      <c r="AK70" s="1214"/>
      <c r="AL70" s="1211"/>
      <c r="AM70" s="1211"/>
      <c r="AN70" s="1206"/>
    </row>
    <row r="71" spans="1:42" s="1207" customFormat="1" ht="12.75" customHeight="1">
      <c r="A71" s="1209"/>
      <c r="B71" s="1211"/>
      <c r="C71" s="1211"/>
      <c r="D71" s="1222"/>
      <c r="E71" s="2662" t="s">
        <v>616</v>
      </c>
      <c r="F71" s="2663"/>
      <c r="G71" s="1249"/>
      <c r="H71" s="1232" t="s">
        <v>2049</v>
      </c>
      <c r="I71" s="1249"/>
      <c r="J71" s="1249"/>
      <c r="K71" s="1249"/>
      <c r="L71" s="1249"/>
      <c r="M71" s="1249"/>
      <c r="N71" s="1249"/>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51"/>
      <c r="AK71" s="1214"/>
      <c r="AL71" s="1211"/>
      <c r="AM71" s="1211"/>
      <c r="AN71" s="1206"/>
    </row>
    <row r="72" spans="1:42" s="1207" customFormat="1" ht="12.75" customHeight="1">
      <c r="A72" s="1209"/>
      <c r="B72" s="1211"/>
      <c r="C72" s="1211"/>
      <c r="D72" s="1222"/>
      <c r="E72" s="1252"/>
      <c r="F72" s="1249"/>
      <c r="G72" s="1249"/>
      <c r="H72" s="1249"/>
      <c r="I72" s="1249"/>
      <c r="J72" s="1249"/>
      <c r="K72" s="1249"/>
      <c r="L72" s="1249"/>
      <c r="M72" s="1249"/>
      <c r="N72" s="1249"/>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51"/>
      <c r="AK72" s="1214"/>
      <c r="AL72" s="1211"/>
      <c r="AM72" s="1211"/>
      <c r="AN72" s="1206"/>
    </row>
    <row r="73" spans="1:42" s="1207" customFormat="1" ht="12.75" customHeight="1">
      <c r="A73" s="1209"/>
      <c r="B73" s="1211"/>
      <c r="C73" s="1211"/>
      <c r="D73" s="1222"/>
      <c r="E73" s="2658" t="s">
        <v>569</v>
      </c>
      <c r="F73" s="2648"/>
      <c r="G73" s="1228"/>
      <c r="H73" s="1014" t="s">
        <v>2048</v>
      </c>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53"/>
      <c r="AK73" s="1214"/>
      <c r="AL73" s="1211"/>
      <c r="AM73" s="1211"/>
      <c r="AN73" s="1206"/>
    </row>
    <row r="74" spans="1:42" s="1207" customFormat="1" ht="12.75" customHeight="1">
      <c r="A74" s="1209"/>
      <c r="B74" s="1211"/>
      <c r="C74" s="1211"/>
      <c r="D74" s="1223"/>
      <c r="E74" s="1211"/>
      <c r="F74" s="1211"/>
      <c r="G74" s="1211"/>
      <c r="H74" s="1211"/>
      <c r="I74" s="1211"/>
      <c r="J74" s="1211"/>
      <c r="K74" s="1211"/>
      <c r="L74" s="1211"/>
      <c r="M74" s="1211"/>
      <c r="N74" s="1211"/>
      <c r="O74" s="1211"/>
      <c r="P74" s="1211"/>
      <c r="Q74" s="1211"/>
      <c r="R74" s="1211"/>
      <c r="S74" s="1211"/>
      <c r="T74" s="1211"/>
      <c r="U74" s="1211"/>
      <c r="V74" s="1211"/>
      <c r="W74" s="1211"/>
      <c r="X74" s="1211"/>
      <c r="Y74" s="1211"/>
      <c r="Z74" s="1211"/>
      <c r="AA74" s="1211"/>
      <c r="AB74" s="1211"/>
      <c r="AC74" s="1211"/>
      <c r="AD74" s="1211"/>
      <c r="AE74" s="1211"/>
      <c r="AF74" s="1211"/>
      <c r="AG74" s="1211"/>
      <c r="AH74" s="1211"/>
      <c r="AI74" s="1211"/>
      <c r="AJ74" s="1211"/>
      <c r="AK74" s="1214"/>
      <c r="AL74" s="1211"/>
      <c r="AM74" s="1211"/>
      <c r="AN74" s="1206"/>
    </row>
    <row r="75" spans="1:42" s="1207" customFormat="1" ht="12.75" customHeight="1">
      <c r="A75" s="1209"/>
      <c r="B75" s="2648" t="s">
        <v>616</v>
      </c>
      <c r="C75" s="2648"/>
      <c r="D75" s="1219" t="s">
        <v>1511</v>
      </c>
      <c r="E75" s="2564" t="s">
        <v>2050</v>
      </c>
      <c r="F75" s="2565"/>
      <c r="G75" s="2565"/>
      <c r="H75" s="2565"/>
      <c r="I75" s="2565"/>
      <c r="J75" s="2565"/>
      <c r="K75" s="2565"/>
      <c r="L75" s="2565"/>
      <c r="M75" s="2565"/>
      <c r="N75" s="2565"/>
      <c r="O75" s="2565"/>
      <c r="P75" s="2565"/>
      <c r="Q75" s="2565"/>
      <c r="R75" s="2565"/>
      <c r="S75" s="2565"/>
      <c r="T75" s="2565"/>
      <c r="U75" s="2565"/>
      <c r="V75" s="2565"/>
      <c r="W75" s="2565"/>
      <c r="X75" s="2565"/>
      <c r="Y75" s="2565"/>
      <c r="Z75" s="2565"/>
      <c r="AA75" s="2565"/>
      <c r="AB75" s="2565"/>
      <c r="AC75" s="2565"/>
      <c r="AD75" s="2565"/>
      <c r="AE75" s="2565"/>
      <c r="AF75" s="2565"/>
      <c r="AG75" s="2565"/>
      <c r="AH75" s="2565"/>
      <c r="AI75" s="2565"/>
      <c r="AJ75" s="2566"/>
      <c r="AK75" s="1214"/>
      <c r="AL75" s="1211"/>
      <c r="AM75" s="1211"/>
      <c r="AN75" s="1206"/>
    </row>
    <row r="76" spans="1:42" s="1207" customFormat="1" ht="12.75" customHeight="1">
      <c r="A76" s="1209"/>
      <c r="B76" s="1211"/>
      <c r="C76" s="1211"/>
      <c r="D76" s="1222"/>
      <c r="E76" s="2571"/>
      <c r="F76" s="2572"/>
      <c r="G76" s="2572"/>
      <c r="H76" s="2572"/>
      <c r="I76" s="2572"/>
      <c r="J76" s="2572"/>
      <c r="K76" s="2572"/>
      <c r="L76" s="2572"/>
      <c r="M76" s="2572"/>
      <c r="N76" s="2572"/>
      <c r="O76" s="2572"/>
      <c r="P76" s="2572"/>
      <c r="Q76" s="2572"/>
      <c r="R76" s="2572"/>
      <c r="S76" s="2572"/>
      <c r="T76" s="2572"/>
      <c r="U76" s="2572"/>
      <c r="V76" s="2572"/>
      <c r="W76" s="2572"/>
      <c r="X76" s="2572"/>
      <c r="Y76" s="2572"/>
      <c r="Z76" s="2572"/>
      <c r="AA76" s="2572"/>
      <c r="AB76" s="2572"/>
      <c r="AC76" s="2572"/>
      <c r="AD76" s="2572"/>
      <c r="AE76" s="2572"/>
      <c r="AF76" s="2572"/>
      <c r="AG76" s="2572"/>
      <c r="AH76" s="2572"/>
      <c r="AI76" s="2572"/>
      <c r="AJ76" s="2573"/>
      <c r="AK76" s="1214"/>
      <c r="AL76" s="1211"/>
      <c r="AM76" s="1211"/>
      <c r="AN76" s="1206"/>
    </row>
    <row r="77" spans="1:42" s="1207" customFormat="1" ht="12.75" customHeight="1">
      <c r="A77" s="1209"/>
      <c r="B77" s="1211"/>
      <c r="C77" s="1211"/>
      <c r="D77" s="1222"/>
      <c r="E77" s="1211"/>
      <c r="F77" s="1211"/>
      <c r="G77" s="1211"/>
      <c r="H77" s="1211"/>
      <c r="I77" s="1211"/>
      <c r="J77" s="1211"/>
      <c r="K77" s="1211"/>
      <c r="L77" s="1211"/>
      <c r="M77" s="1211"/>
      <c r="N77" s="1211"/>
      <c r="O77" s="1211"/>
      <c r="P77" s="1211"/>
      <c r="Q77" s="1211"/>
      <c r="R77" s="1211"/>
      <c r="S77" s="1211"/>
      <c r="T77" s="1211"/>
      <c r="U77" s="1211"/>
      <c r="V77" s="1211"/>
      <c r="W77" s="1211"/>
      <c r="X77" s="1211"/>
      <c r="Y77" s="1211"/>
      <c r="Z77" s="1211"/>
      <c r="AA77" s="1211"/>
      <c r="AB77" s="1211"/>
      <c r="AC77" s="1211"/>
      <c r="AD77" s="1211"/>
      <c r="AE77" s="1211"/>
      <c r="AF77" s="1211"/>
      <c r="AG77" s="1211"/>
      <c r="AH77" s="1211"/>
      <c r="AI77" s="1211"/>
      <c r="AJ77" s="1211"/>
      <c r="AK77" s="1214"/>
      <c r="AL77" s="1211"/>
      <c r="AM77" s="1211"/>
      <c r="AN77" s="1206"/>
    </row>
    <row r="78" spans="1:42" s="1207" customFormat="1" ht="12.75" customHeight="1">
      <c r="A78" s="1235"/>
      <c r="B78" s="1236"/>
      <c r="C78" s="1236"/>
      <c r="D78" s="1236"/>
      <c r="E78" s="1236"/>
      <c r="F78" s="1236"/>
      <c r="G78" s="1237"/>
      <c r="H78" s="1238"/>
      <c r="I78" s="1238"/>
      <c r="J78" s="1238"/>
      <c r="K78" s="1238"/>
      <c r="L78" s="1238"/>
      <c r="M78" s="1238"/>
      <c r="N78" s="1238"/>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9"/>
      <c r="AJ78" s="1239" t="s">
        <v>1512</v>
      </c>
      <c r="AK78" s="2631">
        <f>IF(AK56&gt;0,0,AO65)</f>
        <v>10</v>
      </c>
      <c r="AL78" s="2632"/>
      <c r="AM78" s="2633"/>
      <c r="AN78" s="1206"/>
    </row>
    <row r="79" spans="1:42" s="1207" customFormat="1" ht="12.75" customHeight="1" thickBot="1">
      <c r="A79" s="1240"/>
      <c r="B79" s="1241"/>
      <c r="C79" s="1242"/>
      <c r="D79" s="1242"/>
      <c r="E79" s="1242"/>
      <c r="F79" s="1242"/>
      <c r="G79" s="1242"/>
      <c r="H79" s="1242"/>
      <c r="I79" s="1242"/>
      <c r="J79" s="1242"/>
      <c r="K79" s="1242"/>
      <c r="L79" s="1242"/>
      <c r="M79" s="1242"/>
      <c r="N79" s="1242"/>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3"/>
      <c r="AN79" s="1206"/>
    </row>
    <row r="80" spans="1:42" s="1207" customFormat="1" ht="12.75" customHeight="1" thickTop="1">
      <c r="B80" s="914"/>
      <c r="C80" s="915"/>
      <c r="D80" s="915"/>
      <c r="E80" s="915"/>
      <c r="F80" s="915"/>
      <c r="G80" s="915"/>
      <c r="H80" s="915"/>
      <c r="I80" s="1244"/>
      <c r="J80" s="1244"/>
      <c r="K80" s="1244"/>
      <c r="L80" s="1244"/>
      <c r="M80" s="1244"/>
      <c r="N80" s="1244"/>
      <c r="O80" s="1244"/>
      <c r="P80" s="1244"/>
      <c r="Q80" s="1244"/>
      <c r="S80" s="1210"/>
      <c r="T80" s="1210"/>
      <c r="U80" s="1210"/>
      <c r="V80" s="1210"/>
      <c r="W80" s="1210"/>
      <c r="X80" s="1210"/>
      <c r="Y80" s="1210"/>
      <c r="Z80" s="1210"/>
      <c r="AA80" s="1210"/>
      <c r="AB80" s="1210"/>
      <c r="AC80" s="1210"/>
      <c r="AD80" s="1210"/>
      <c r="AE80" s="1210"/>
      <c r="AG80" s="1210"/>
      <c r="AH80" s="1210"/>
      <c r="AI80" s="1210"/>
      <c r="AJ80" s="1210"/>
      <c r="AK80" s="1222"/>
      <c r="AL80" s="1222"/>
      <c r="AM80" s="1222"/>
      <c r="AN80" s="1206"/>
    </row>
    <row r="81" spans="1:43" s="1207" customFormat="1" ht="12.75" customHeight="1">
      <c r="A81" s="1209" t="s">
        <v>1513</v>
      </c>
      <c r="B81" s="1210" t="s">
        <v>1514</v>
      </c>
      <c r="C81" s="1210"/>
      <c r="D81" s="1210"/>
      <c r="E81" s="1210"/>
      <c r="F81" s="1210"/>
      <c r="G81" s="1210"/>
      <c r="H81" s="1210"/>
      <c r="I81" s="1210"/>
      <c r="J81" s="1210"/>
      <c r="K81" s="1210"/>
      <c r="L81" s="1210"/>
      <c r="M81" s="1210"/>
      <c r="N81" s="1210"/>
      <c r="O81" s="1210"/>
      <c r="P81" s="1210"/>
      <c r="Q81" s="1210"/>
      <c r="R81" s="1210"/>
      <c r="S81" s="1210"/>
      <c r="T81" s="1210"/>
      <c r="U81" s="1210"/>
      <c r="V81" s="1210"/>
      <c r="W81" s="1210"/>
      <c r="X81" s="1210"/>
      <c r="Y81" s="1210"/>
      <c r="Z81" s="1210"/>
      <c r="AA81" s="1210"/>
      <c r="AB81" s="1210"/>
      <c r="AC81" s="1210"/>
      <c r="AD81" s="1210"/>
      <c r="AE81" s="2491" t="s">
        <v>1496</v>
      </c>
      <c r="AF81" s="2491"/>
      <c r="AG81" s="2491"/>
      <c r="AH81" s="2491"/>
      <c r="AI81" s="2491"/>
      <c r="AJ81" s="2491"/>
      <c r="AK81" s="2491"/>
      <c r="AL81" s="1211"/>
      <c r="AM81" s="1211"/>
      <c r="AN81" s="1206"/>
    </row>
    <row r="82" spans="1:43" s="1207" customFormat="1" ht="12.75" customHeight="1">
      <c r="A82" s="1209"/>
      <c r="B82" s="1210" t="s">
        <v>1515</v>
      </c>
      <c r="C82" s="1210"/>
      <c r="D82" s="1210"/>
      <c r="E82" s="1210"/>
      <c r="F82" s="1210"/>
      <c r="G82" s="1210"/>
      <c r="H82" s="1210"/>
      <c r="I82" s="1210"/>
      <c r="J82" s="1210"/>
      <c r="K82" s="1210"/>
      <c r="L82" s="1210"/>
      <c r="M82" s="1210"/>
      <c r="N82" s="1210"/>
      <c r="O82" s="1210"/>
      <c r="P82" s="1210"/>
      <c r="Q82" s="1210"/>
      <c r="R82" s="1210"/>
      <c r="S82" s="1210"/>
      <c r="T82" s="1210"/>
      <c r="U82" s="1210"/>
      <c r="V82" s="1210"/>
      <c r="W82" s="1210"/>
      <c r="X82" s="1210"/>
      <c r="Y82" s="1210"/>
      <c r="Z82" s="1210"/>
      <c r="AA82" s="1210"/>
      <c r="AB82" s="1210"/>
      <c r="AC82" s="1210"/>
      <c r="AD82" s="1210"/>
      <c r="AE82" s="1214"/>
      <c r="AF82" s="1214"/>
      <c r="AG82" s="1214"/>
      <c r="AH82" s="1214"/>
      <c r="AI82" s="1214"/>
      <c r="AJ82" s="1214"/>
      <c r="AK82" s="1214"/>
      <c r="AL82" s="1211"/>
      <c r="AM82" s="1211"/>
      <c r="AN82" s="1206"/>
    </row>
    <row r="83" spans="1:43" s="1207" customFormat="1" ht="12.75" customHeight="1">
      <c r="A83" s="1209"/>
      <c r="B83" s="1210"/>
      <c r="C83" s="1210"/>
      <c r="D83" s="1210"/>
      <c r="E83" s="1210"/>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4"/>
      <c r="AF83" s="1214"/>
      <c r="AG83" s="1214"/>
      <c r="AH83" s="1214"/>
      <c r="AI83" s="1214"/>
      <c r="AJ83" s="1214"/>
      <c r="AK83" s="1214"/>
      <c r="AL83" s="1211"/>
      <c r="AM83" s="1211"/>
      <c r="AN83" s="1206"/>
    </row>
    <row r="84" spans="1:43" s="1207" customFormat="1" ht="12.75" customHeight="1">
      <c r="A84" s="1209"/>
      <c r="B84" s="2648" t="s">
        <v>616</v>
      </c>
      <c r="C84" s="2648"/>
      <c r="D84" s="1219" t="s">
        <v>1506</v>
      </c>
      <c r="E84" s="2649" t="s">
        <v>1516</v>
      </c>
      <c r="F84" s="2650"/>
      <c r="G84" s="2650"/>
      <c r="H84" s="2650"/>
      <c r="I84" s="2650"/>
      <c r="J84" s="2650"/>
      <c r="K84" s="2650"/>
      <c r="L84" s="2650"/>
      <c r="M84" s="2650"/>
      <c r="N84" s="2650"/>
      <c r="O84" s="2650"/>
      <c r="P84" s="2650"/>
      <c r="Q84" s="2650"/>
      <c r="R84" s="2650"/>
      <c r="S84" s="2650"/>
      <c r="T84" s="2650"/>
      <c r="U84" s="2650"/>
      <c r="V84" s="2650"/>
      <c r="W84" s="2650"/>
      <c r="X84" s="2650"/>
      <c r="Y84" s="2650"/>
      <c r="Z84" s="2650"/>
      <c r="AA84" s="2650"/>
      <c r="AB84" s="2650"/>
      <c r="AC84" s="2650"/>
      <c r="AD84" s="2650"/>
      <c r="AE84" s="2650"/>
      <c r="AF84" s="2650"/>
      <c r="AG84" s="2650"/>
      <c r="AH84" s="2650"/>
      <c r="AI84" s="2650"/>
      <c r="AJ84" s="2651"/>
      <c r="AK84" s="1214"/>
      <c r="AL84" s="1211"/>
      <c r="AM84" s="1211"/>
      <c r="AN84" s="1206"/>
    </row>
    <row r="85" spans="1:43" s="1207" customFormat="1" ht="12.75" customHeight="1">
      <c r="A85" s="1209"/>
      <c r="B85" s="1210"/>
      <c r="C85" s="1210"/>
      <c r="D85" s="1210"/>
      <c r="E85" s="2652"/>
      <c r="F85" s="2653"/>
      <c r="G85" s="2653"/>
      <c r="H85" s="2653"/>
      <c r="I85" s="2653"/>
      <c r="J85" s="2653"/>
      <c r="K85" s="2653"/>
      <c r="L85" s="2653"/>
      <c r="M85" s="2653"/>
      <c r="N85" s="2653"/>
      <c r="O85" s="2653"/>
      <c r="P85" s="2653"/>
      <c r="Q85" s="2653"/>
      <c r="R85" s="2653"/>
      <c r="S85" s="2653"/>
      <c r="T85" s="2653"/>
      <c r="U85" s="2653"/>
      <c r="V85" s="2653"/>
      <c r="W85" s="2653"/>
      <c r="X85" s="2653"/>
      <c r="Y85" s="2653"/>
      <c r="Z85" s="2653"/>
      <c r="AA85" s="2653"/>
      <c r="AB85" s="2653"/>
      <c r="AC85" s="2653"/>
      <c r="AD85" s="2653"/>
      <c r="AE85" s="2653"/>
      <c r="AF85" s="2653"/>
      <c r="AG85" s="2653"/>
      <c r="AH85" s="2653"/>
      <c r="AI85" s="2653"/>
      <c r="AJ85" s="2654"/>
      <c r="AK85" s="1214"/>
      <c r="AL85" s="1211"/>
      <c r="AM85" s="1211"/>
      <c r="AN85" s="1206"/>
    </row>
    <row r="86" spans="1:43" s="1207" customFormat="1" ht="12.75" customHeight="1">
      <c r="A86" s="1209"/>
      <c r="B86" s="1210"/>
      <c r="C86" s="1210"/>
      <c r="D86" s="1210"/>
      <c r="E86" s="1254"/>
      <c r="F86" s="1255"/>
      <c r="G86" s="1255"/>
      <c r="H86" s="1255"/>
      <c r="I86" s="1255"/>
      <c r="J86" s="1255"/>
      <c r="K86" s="1255"/>
      <c r="L86" s="1255"/>
      <c r="M86" s="1255"/>
      <c r="N86" s="1255"/>
      <c r="O86" s="1255"/>
      <c r="P86" s="1255"/>
      <c r="Q86" s="1255"/>
      <c r="R86" s="1255"/>
      <c r="S86" s="1255"/>
      <c r="T86" s="1255"/>
      <c r="U86" s="1255"/>
      <c r="V86" s="1255"/>
      <c r="W86" s="1255"/>
      <c r="X86" s="1255"/>
      <c r="Y86" s="1255"/>
      <c r="Z86" s="1256"/>
      <c r="AA86" s="1256"/>
      <c r="AB86" s="1256"/>
      <c r="AC86" s="1255"/>
      <c r="AD86" s="1255"/>
      <c r="AE86" s="1255"/>
      <c r="AF86" s="1255"/>
      <c r="AG86" s="1255"/>
      <c r="AH86" s="1255"/>
      <c r="AI86" s="1255"/>
      <c r="AJ86" s="1257"/>
      <c r="AK86" s="1214"/>
      <c r="AL86" s="1211"/>
      <c r="AM86" s="1211"/>
      <c r="AN86" s="1206"/>
    </row>
    <row r="87" spans="1:43" s="1207" customFormat="1" ht="12.75" customHeight="1">
      <c r="A87" s="1209"/>
      <c r="B87" s="1210"/>
      <c r="C87" s="1210"/>
      <c r="D87" s="1210"/>
      <c r="E87" s="2644">
        <f>Application!AC753</f>
        <v>0.47454545454545444</v>
      </c>
      <c r="F87" s="2645"/>
      <c r="G87" s="2645"/>
      <c r="H87" s="2645"/>
      <c r="I87" s="1255"/>
      <c r="J87" s="1258" t="s">
        <v>1517</v>
      </c>
      <c r="K87" s="1255"/>
      <c r="L87" s="1255"/>
      <c r="M87" s="1255"/>
      <c r="N87" s="1255"/>
      <c r="O87" s="1255"/>
      <c r="P87" s="1255"/>
      <c r="Q87" s="1255"/>
      <c r="R87" s="1255"/>
      <c r="S87" s="1255"/>
      <c r="T87" s="1255"/>
      <c r="U87" s="1255"/>
      <c r="V87" s="1255"/>
      <c r="W87" s="1255"/>
      <c r="X87" s="1255"/>
      <c r="Y87" s="1255"/>
      <c r="Z87" s="1259"/>
      <c r="AA87" s="1259"/>
      <c r="AB87" s="1259"/>
      <c r="AC87" s="1255"/>
      <c r="AD87" s="1255"/>
      <c r="AE87" s="1255"/>
      <c r="AF87" s="1255"/>
      <c r="AG87" s="1255"/>
      <c r="AH87" s="1255"/>
      <c r="AI87" s="1255"/>
      <c r="AJ87" s="1257"/>
      <c r="AK87" s="1214"/>
      <c r="AL87" s="1211"/>
      <c r="AM87" s="1211"/>
      <c r="AN87" s="1206"/>
    </row>
    <row r="88" spans="1:43" s="1207" customFormat="1" ht="12.75" customHeight="1">
      <c r="A88" s="1209"/>
      <c r="B88" s="1210"/>
      <c r="C88" s="1210"/>
      <c r="D88" s="1210"/>
      <c r="E88" s="2655">
        <f>0.6-ROUNDUP(E87,2)</f>
        <v>0.12</v>
      </c>
      <c r="F88" s="2635"/>
      <c r="G88" s="2635"/>
      <c r="H88" s="2635"/>
      <c r="I88" s="1255"/>
      <c r="J88" s="1258" t="s">
        <v>1518</v>
      </c>
      <c r="K88" s="1255"/>
      <c r="L88" s="1255"/>
      <c r="M88" s="1255"/>
      <c r="N88" s="1255"/>
      <c r="O88" s="1255"/>
      <c r="P88" s="1255"/>
      <c r="Q88" s="1255"/>
      <c r="R88" s="1255"/>
      <c r="S88" s="1255"/>
      <c r="T88" s="1255"/>
      <c r="U88" s="1255"/>
      <c r="V88" s="1255"/>
      <c r="W88" s="1255"/>
      <c r="X88" s="1255"/>
      <c r="Y88" s="1255"/>
      <c r="Z88" s="1255"/>
      <c r="AA88" s="1255"/>
      <c r="AB88" s="1255"/>
      <c r="AC88" s="1255"/>
      <c r="AD88" s="1255"/>
      <c r="AE88" s="1255"/>
      <c r="AF88" s="1255"/>
      <c r="AG88" s="1255"/>
      <c r="AH88" s="1255"/>
      <c r="AI88" s="1255"/>
      <c r="AJ88" s="1257"/>
      <c r="AK88" s="1214"/>
      <c r="AL88" s="1211"/>
      <c r="AM88" s="1211"/>
      <c r="AN88" s="1206"/>
    </row>
    <row r="89" spans="1:43" s="1207" customFormat="1" ht="12.75" customHeight="1">
      <c r="A89" s="1209"/>
      <c r="B89" s="1210"/>
      <c r="C89" s="1210"/>
      <c r="D89" s="1210"/>
      <c r="E89" s="2656">
        <f>IF(E88*200&gt;20,20,E88*200)</f>
        <v>20</v>
      </c>
      <c r="F89" s="2657"/>
      <c r="G89" s="2657"/>
      <c r="H89" s="2657"/>
      <c r="I89" s="1255"/>
      <c r="J89" s="1258" t="s">
        <v>1519</v>
      </c>
      <c r="K89" s="1255"/>
      <c r="L89" s="1255"/>
      <c r="M89" s="1255"/>
      <c r="N89" s="1255"/>
      <c r="O89" s="1255"/>
      <c r="P89" s="1255"/>
      <c r="Q89" s="1255"/>
      <c r="R89" s="1255"/>
      <c r="S89" s="1255"/>
      <c r="T89" s="1255"/>
      <c r="U89" s="1255"/>
      <c r="V89" s="1255"/>
      <c r="W89" s="1255"/>
      <c r="X89" s="1255"/>
      <c r="Y89" s="1255"/>
      <c r="Z89" s="1255"/>
      <c r="AA89" s="1255"/>
      <c r="AB89" s="1255"/>
      <c r="AC89" s="1255"/>
      <c r="AD89" s="1255"/>
      <c r="AE89" s="1255"/>
      <c r="AF89" s="1255"/>
      <c r="AG89" s="1255"/>
      <c r="AH89" s="1255"/>
      <c r="AI89" s="1255"/>
      <c r="AJ89" s="1257"/>
      <c r="AK89" s="1214"/>
      <c r="AL89" s="1211"/>
      <c r="AM89" s="1211"/>
      <c r="AN89" s="1206"/>
      <c r="AP89" s="1207">
        <f>IF(B84="yes",E89,0)</f>
        <v>0</v>
      </c>
      <c r="AQ89" s="1207" t="s">
        <v>1499</v>
      </c>
    </row>
    <row r="90" spans="1:43" s="1207" customFormat="1" ht="12.75" customHeight="1">
      <c r="A90" s="1209"/>
      <c r="B90" s="1210"/>
      <c r="C90" s="1210"/>
      <c r="D90" s="1210"/>
      <c r="E90" s="1260"/>
      <c r="F90" s="1261"/>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C90" s="1261"/>
      <c r="AD90" s="1261"/>
      <c r="AE90" s="1262"/>
      <c r="AF90" s="1262"/>
      <c r="AG90" s="1262"/>
      <c r="AH90" s="1262"/>
      <c r="AI90" s="1262"/>
      <c r="AJ90" s="1263"/>
      <c r="AK90" s="1214"/>
      <c r="AL90" s="1211"/>
      <c r="AM90" s="1211"/>
      <c r="AN90" s="1206"/>
    </row>
    <row r="91" spans="1:43" s="1207" customFormat="1" ht="12.75" customHeight="1">
      <c r="A91" s="1209"/>
      <c r="B91" s="1210"/>
      <c r="C91" s="1210"/>
      <c r="D91" s="1210"/>
      <c r="E91" s="1210"/>
      <c r="F91" s="1210"/>
      <c r="G91" s="1210"/>
      <c r="H91" s="1210"/>
      <c r="I91" s="1210"/>
      <c r="J91" s="1210"/>
      <c r="K91" s="1210"/>
      <c r="L91" s="1210"/>
      <c r="M91" s="1210"/>
      <c r="N91" s="1210"/>
      <c r="O91" s="1210"/>
      <c r="P91" s="1210"/>
      <c r="Q91" s="1210"/>
      <c r="R91" s="1210"/>
      <c r="S91" s="1210"/>
      <c r="T91" s="1210"/>
      <c r="U91" s="1210"/>
      <c r="V91" s="1210"/>
      <c r="W91" s="1210"/>
      <c r="X91" s="1210"/>
      <c r="Y91" s="1210"/>
      <c r="Z91" s="1210"/>
      <c r="AA91" s="1210"/>
      <c r="AB91" s="1210"/>
      <c r="AC91" s="1210"/>
      <c r="AD91" s="1210"/>
      <c r="AE91" s="1214"/>
      <c r="AF91" s="1214"/>
      <c r="AG91" s="1214"/>
      <c r="AH91" s="1214"/>
      <c r="AI91" s="1214"/>
      <c r="AJ91" s="1214"/>
      <c r="AK91" s="1214"/>
      <c r="AL91" s="1211"/>
      <c r="AM91" s="1211"/>
      <c r="AN91" s="1206"/>
    </row>
    <row r="92" spans="1:43" s="1207" customFormat="1" ht="12.75" customHeight="1">
      <c r="A92" s="1209"/>
      <c r="B92" s="2648" t="s">
        <v>569</v>
      </c>
      <c r="C92" s="2648"/>
      <c r="D92" s="1219" t="s">
        <v>1508</v>
      </c>
      <c r="E92" s="2649" t="s">
        <v>2035</v>
      </c>
      <c r="F92" s="2650"/>
      <c r="G92" s="2650"/>
      <c r="H92" s="2650"/>
      <c r="I92" s="2650"/>
      <c r="J92" s="2650"/>
      <c r="K92" s="2650"/>
      <c r="L92" s="2650"/>
      <c r="M92" s="2650"/>
      <c r="N92" s="2650"/>
      <c r="O92" s="2650"/>
      <c r="P92" s="2650"/>
      <c r="Q92" s="2650"/>
      <c r="R92" s="2650"/>
      <c r="S92" s="2650"/>
      <c r="T92" s="2650"/>
      <c r="U92" s="2650"/>
      <c r="V92" s="2650"/>
      <c r="W92" s="2650"/>
      <c r="X92" s="2650"/>
      <c r="Y92" s="2650"/>
      <c r="Z92" s="2650"/>
      <c r="AA92" s="2650"/>
      <c r="AB92" s="2650"/>
      <c r="AC92" s="2650"/>
      <c r="AD92" s="2650"/>
      <c r="AE92" s="2650"/>
      <c r="AF92" s="2650"/>
      <c r="AG92" s="2650"/>
      <c r="AH92" s="2650"/>
      <c r="AI92" s="2650"/>
      <c r="AJ92" s="2651"/>
      <c r="AK92" s="1214"/>
      <c r="AL92" s="1211"/>
      <c r="AM92" s="1211"/>
      <c r="AN92" s="1206"/>
    </row>
    <row r="93" spans="1:43" s="1207" customFormat="1" ht="12.75" customHeight="1">
      <c r="A93" s="1209"/>
      <c r="B93" s="1210"/>
      <c r="C93" s="1210"/>
      <c r="D93" s="1210"/>
      <c r="E93" s="2652"/>
      <c r="F93" s="2653"/>
      <c r="G93" s="2653"/>
      <c r="H93" s="2653"/>
      <c r="I93" s="2653"/>
      <c r="J93" s="2653"/>
      <c r="K93" s="2653"/>
      <c r="L93" s="2653"/>
      <c r="M93" s="2653"/>
      <c r="N93" s="2653"/>
      <c r="O93" s="2653"/>
      <c r="P93" s="2653"/>
      <c r="Q93" s="2653"/>
      <c r="R93" s="2653"/>
      <c r="S93" s="2653"/>
      <c r="T93" s="2653"/>
      <c r="U93" s="2653"/>
      <c r="V93" s="2653"/>
      <c r="W93" s="2653"/>
      <c r="X93" s="2653"/>
      <c r="Y93" s="2653"/>
      <c r="Z93" s="2653"/>
      <c r="AA93" s="2653"/>
      <c r="AB93" s="2653"/>
      <c r="AC93" s="2653"/>
      <c r="AD93" s="2653"/>
      <c r="AE93" s="2653"/>
      <c r="AF93" s="2653"/>
      <c r="AG93" s="2653"/>
      <c r="AH93" s="2653"/>
      <c r="AI93" s="2653"/>
      <c r="AJ93" s="2654"/>
      <c r="AK93" s="1214"/>
      <c r="AL93" s="1211"/>
      <c r="AM93" s="1211"/>
      <c r="AN93" s="1206"/>
    </row>
    <row r="94" spans="1:43" s="1207" customFormat="1" ht="12.75" customHeight="1">
      <c r="A94" s="1209"/>
      <c r="B94" s="1210"/>
      <c r="C94" s="1210"/>
      <c r="D94" s="1210"/>
      <c r="E94" s="2652"/>
      <c r="F94" s="2653"/>
      <c r="G94" s="2653"/>
      <c r="H94" s="2653"/>
      <c r="I94" s="2653"/>
      <c r="J94" s="2653"/>
      <c r="K94" s="2653"/>
      <c r="L94" s="2653"/>
      <c r="M94" s="2653"/>
      <c r="N94" s="2653"/>
      <c r="O94" s="2653"/>
      <c r="P94" s="2653"/>
      <c r="Q94" s="2653"/>
      <c r="R94" s="2653"/>
      <c r="S94" s="2653"/>
      <c r="T94" s="2653"/>
      <c r="U94" s="2653"/>
      <c r="V94" s="2653"/>
      <c r="W94" s="2653"/>
      <c r="X94" s="2653"/>
      <c r="Y94" s="2653"/>
      <c r="Z94" s="2653"/>
      <c r="AA94" s="2653"/>
      <c r="AB94" s="2653"/>
      <c r="AC94" s="2653"/>
      <c r="AD94" s="2653"/>
      <c r="AE94" s="2653"/>
      <c r="AF94" s="2653"/>
      <c r="AG94" s="2653"/>
      <c r="AH94" s="2653"/>
      <c r="AI94" s="2653"/>
      <c r="AJ94" s="2654"/>
      <c r="AK94" s="1214"/>
      <c r="AL94" s="1211"/>
      <c r="AM94" s="1211"/>
      <c r="AN94" s="1206"/>
    </row>
    <row r="95" spans="1:43" s="1207" customFormat="1" ht="12.75" customHeight="1">
      <c r="A95" s="1209"/>
      <c r="B95" s="1210"/>
      <c r="C95" s="1210"/>
      <c r="D95" s="1210"/>
      <c r="E95" s="2652"/>
      <c r="F95" s="2653"/>
      <c r="G95" s="2653"/>
      <c r="H95" s="2653"/>
      <c r="I95" s="2653"/>
      <c r="J95" s="2653"/>
      <c r="K95" s="2653"/>
      <c r="L95" s="2653"/>
      <c r="M95" s="2653"/>
      <c r="N95" s="2653"/>
      <c r="O95" s="2653"/>
      <c r="P95" s="2653"/>
      <c r="Q95" s="2653"/>
      <c r="R95" s="2653"/>
      <c r="S95" s="2653"/>
      <c r="T95" s="2653"/>
      <c r="U95" s="2653"/>
      <c r="V95" s="2653"/>
      <c r="W95" s="2653"/>
      <c r="X95" s="2653"/>
      <c r="Y95" s="2653"/>
      <c r="Z95" s="2653"/>
      <c r="AA95" s="2653"/>
      <c r="AB95" s="2653"/>
      <c r="AC95" s="2653"/>
      <c r="AD95" s="2653"/>
      <c r="AE95" s="2653"/>
      <c r="AF95" s="2653"/>
      <c r="AG95" s="2653"/>
      <c r="AH95" s="2653"/>
      <c r="AI95" s="2653"/>
      <c r="AJ95" s="2654"/>
      <c r="AK95" s="1214"/>
      <c r="AL95" s="1211"/>
      <c r="AM95" s="1211"/>
      <c r="AN95" s="1206"/>
    </row>
    <row r="96" spans="1:43" s="1207" customFormat="1" ht="12.75" customHeight="1">
      <c r="A96" s="1209"/>
      <c r="B96" s="1210"/>
      <c r="C96" s="1210"/>
      <c r="D96" s="1210"/>
      <c r="E96" s="1264"/>
      <c r="F96" s="1225"/>
      <c r="G96" s="1225"/>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6"/>
      <c r="AK96" s="1214"/>
      <c r="AL96" s="1211"/>
      <c r="AM96" s="1211"/>
      <c r="AN96" s="1206"/>
    </row>
    <row r="97" spans="1:49" s="1207" customFormat="1" ht="12.75" customHeight="1">
      <c r="A97" s="1209"/>
      <c r="B97" s="1210"/>
      <c r="C97" s="1210"/>
      <c r="D97" s="1210"/>
      <c r="E97" s="2644">
        <f>Application!AC753</f>
        <v>0.47454545454545444</v>
      </c>
      <c r="F97" s="2645"/>
      <c r="G97" s="2645"/>
      <c r="H97" s="2645"/>
      <c r="I97" s="1255"/>
      <c r="J97" s="1258" t="s">
        <v>1517</v>
      </c>
      <c r="K97" s="1255"/>
      <c r="L97" s="1255"/>
      <c r="M97" s="1255"/>
      <c r="N97" s="1255"/>
      <c r="O97" s="1255"/>
      <c r="P97" s="1255"/>
      <c r="Q97" s="1255"/>
      <c r="R97" s="1225"/>
      <c r="S97" s="1225"/>
      <c r="T97" s="1225"/>
      <c r="U97" s="1225"/>
      <c r="V97" s="1225"/>
      <c r="W97" s="1225"/>
      <c r="X97" s="1225"/>
      <c r="Y97" s="1225"/>
      <c r="Z97" s="1225"/>
      <c r="AA97" s="1225"/>
      <c r="AB97" s="1225"/>
      <c r="AC97" s="1225"/>
      <c r="AD97" s="1225"/>
      <c r="AE97" s="1225"/>
      <c r="AF97" s="1225"/>
      <c r="AG97" s="1225"/>
      <c r="AH97" s="1225"/>
      <c r="AI97" s="1225"/>
      <c r="AJ97" s="1226"/>
      <c r="AK97" s="1214"/>
      <c r="AL97" s="1211"/>
      <c r="AM97" s="1211"/>
      <c r="AN97" s="1206"/>
    </row>
    <row r="98" spans="1:49" s="1207" customFormat="1" ht="12.75" customHeight="1">
      <c r="A98" s="1209"/>
      <c r="B98" s="1210"/>
      <c r="C98" s="1210"/>
      <c r="D98" s="1210"/>
      <c r="E98" s="2644">
        <f ca="1">SUMIF(Application!AC728:AG752,0.2,Application!G728:J752)/Application!G753+SUMIF(Application!AC728:AG752,0.25,Application!G728:J752)/Application!G753+SUMIF(Application!AC728:AG752,0.3,Application!G728:J752)/Application!G753</f>
        <v>0.27272727272727271</v>
      </c>
      <c r="F98" s="2645"/>
      <c r="G98" s="2645"/>
      <c r="H98" s="2645"/>
      <c r="I98" s="1255"/>
      <c r="J98" s="1258" t="s">
        <v>1520</v>
      </c>
      <c r="K98" s="1255"/>
      <c r="L98" s="1255"/>
      <c r="M98" s="1255"/>
      <c r="N98" s="1255"/>
      <c r="O98" s="1255"/>
      <c r="P98" s="1255"/>
      <c r="Q98" s="1255"/>
      <c r="R98" s="1225"/>
      <c r="S98" s="1225"/>
      <c r="T98" s="1225"/>
      <c r="U98" s="1225"/>
      <c r="V98" s="1225"/>
      <c r="W98" s="1225"/>
      <c r="X98" s="1225"/>
      <c r="Y98" s="1225"/>
      <c r="Z98" s="1225"/>
      <c r="AA98" s="1225"/>
      <c r="AB98" s="1225"/>
      <c r="AC98" s="1225"/>
      <c r="AD98" s="1225"/>
      <c r="AE98" s="1225"/>
      <c r="AF98" s="1225"/>
      <c r="AG98" s="1225"/>
      <c r="AH98" s="1225"/>
      <c r="AI98" s="1225"/>
      <c r="AJ98" s="1226"/>
      <c r="AK98" s="1214"/>
      <c r="AL98" s="1211"/>
      <c r="AM98" s="1211"/>
      <c r="AN98" s="1206"/>
      <c r="AU98" s="1265"/>
    </row>
    <row r="99" spans="1:49" s="1207" customFormat="1" ht="12.75" customHeight="1">
      <c r="A99" s="1209"/>
      <c r="B99" s="1210"/>
      <c r="C99" s="1210"/>
      <c r="D99" s="1210"/>
      <c r="E99" s="2644">
        <f ca="1">SUMIF(Application!AC728:AG752,0.35,Application!G728:J752)/Application!G753+SUMIF(Application!AC728:AG752,0.4,Application!G728:J752)/Application!G753+SUMIF(Application!AC728:AG752,0.45,Application!G728:J752)/Application!G753+SUMIF(Application!AC728:AG752,0.5,Application!G728:J752)/Application!G753</f>
        <v>0.21818181818181817</v>
      </c>
      <c r="F99" s="2645"/>
      <c r="G99" s="2645"/>
      <c r="H99" s="2645"/>
      <c r="I99" s="1255"/>
      <c r="J99" s="1258" t="s">
        <v>1521</v>
      </c>
      <c r="K99" s="1255"/>
      <c r="L99" s="1255"/>
      <c r="M99" s="1255"/>
      <c r="N99" s="1255"/>
      <c r="O99" s="1255"/>
      <c r="P99" s="1255"/>
      <c r="Q99" s="1255"/>
      <c r="R99" s="1225"/>
      <c r="S99" s="1225"/>
      <c r="T99" s="1225"/>
      <c r="U99" s="1225"/>
      <c r="V99" s="1225"/>
      <c r="W99" s="1225"/>
      <c r="X99" s="1225"/>
      <c r="Y99" s="1225"/>
      <c r="Z99" s="1225"/>
      <c r="AA99" s="1225"/>
      <c r="AB99" s="1225"/>
      <c r="AC99" s="1225"/>
      <c r="AD99" s="1225"/>
      <c r="AE99" s="1225"/>
      <c r="AF99" s="1225"/>
      <c r="AG99" s="1225"/>
      <c r="AH99" s="1225"/>
      <c r="AI99" s="1225"/>
      <c r="AJ99" s="1226"/>
      <c r="AK99" s="1214"/>
      <c r="AL99" s="1211"/>
      <c r="AM99" s="1211"/>
      <c r="AN99" s="1206"/>
      <c r="AU99" s="1265"/>
    </row>
    <row r="100" spans="1:49" s="1207" customFormat="1" ht="12.75" customHeight="1">
      <c r="A100" s="1209"/>
      <c r="B100" s="1210"/>
      <c r="C100" s="1210"/>
      <c r="D100" s="1210"/>
      <c r="E100" s="2646">
        <f ca="1">IF(AND(E97&lt;=0.6,E98&gt;=0.1,OR(E99&gt;=0.1,E98&gt;=0.2)),20,0)</f>
        <v>20</v>
      </c>
      <c r="F100" s="2647"/>
      <c r="G100" s="2647"/>
      <c r="H100" s="2647"/>
      <c r="I100" s="1225"/>
      <c r="J100" s="1266" t="s">
        <v>1519</v>
      </c>
      <c r="K100" s="1225"/>
      <c r="L100" s="1225"/>
      <c r="M100" s="1225"/>
      <c r="N100" s="1225"/>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6"/>
      <c r="AK100" s="1214"/>
      <c r="AL100" s="1211"/>
      <c r="AM100" s="1211"/>
      <c r="AN100" s="1206"/>
      <c r="AP100" s="1207">
        <f ca="1">IF(B92="yes",E100,0)</f>
        <v>20</v>
      </c>
      <c r="AQ100" s="1207" t="s">
        <v>1499</v>
      </c>
    </row>
    <row r="101" spans="1:49" s="1207" customFormat="1" ht="12.75" customHeight="1">
      <c r="A101" s="1209"/>
      <c r="B101" s="1210"/>
      <c r="C101" s="1210"/>
      <c r="D101" s="1210"/>
      <c r="E101" s="1260"/>
      <c r="F101" s="1261"/>
      <c r="G101" s="1261"/>
      <c r="H101" s="1261"/>
      <c r="I101" s="1261"/>
      <c r="J101" s="1261"/>
      <c r="K101" s="1261"/>
      <c r="L101" s="1261"/>
      <c r="M101" s="1261"/>
      <c r="N101" s="1261"/>
      <c r="O101" s="1261"/>
      <c r="P101" s="1261"/>
      <c r="Q101" s="1261"/>
      <c r="R101" s="1261"/>
      <c r="S101" s="1261"/>
      <c r="T101" s="1261"/>
      <c r="U101" s="1261"/>
      <c r="V101" s="1261"/>
      <c r="W101" s="1261"/>
      <c r="X101" s="1261"/>
      <c r="Y101" s="1261"/>
      <c r="Z101" s="1261"/>
      <c r="AA101" s="1261"/>
      <c r="AB101" s="1261"/>
      <c r="AC101" s="1261"/>
      <c r="AD101" s="1261"/>
      <c r="AE101" s="1262"/>
      <c r="AF101" s="1262"/>
      <c r="AG101" s="1262"/>
      <c r="AH101" s="1262"/>
      <c r="AI101" s="1262"/>
      <c r="AJ101" s="1263"/>
      <c r="AK101" s="1214"/>
      <c r="AL101" s="1211"/>
      <c r="AM101" s="1211"/>
      <c r="AN101" s="1206"/>
    </row>
    <row r="102" spans="1:49" s="1207" customFormat="1" ht="12.75" customHeight="1">
      <c r="A102" s="1209"/>
      <c r="B102" s="1210"/>
      <c r="C102" s="1210"/>
      <c r="D102" s="1210"/>
      <c r="E102" s="1210"/>
      <c r="F102" s="1210"/>
      <c r="G102" s="1210"/>
      <c r="H102" s="1210"/>
      <c r="I102" s="1210"/>
      <c r="J102" s="1210"/>
      <c r="K102" s="1210"/>
      <c r="L102" s="1210"/>
      <c r="M102" s="1210"/>
      <c r="N102" s="1210"/>
      <c r="O102" s="1210"/>
      <c r="P102" s="1210"/>
      <c r="Q102" s="1210"/>
      <c r="R102" s="1210"/>
      <c r="S102" s="1210"/>
      <c r="T102" s="1210"/>
      <c r="U102" s="1210"/>
      <c r="V102" s="1210"/>
      <c r="W102" s="1210"/>
      <c r="X102" s="1210"/>
      <c r="Y102" s="1210"/>
      <c r="Z102" s="1210"/>
      <c r="AA102" s="1210"/>
      <c r="AB102" s="1210"/>
      <c r="AC102" s="1210"/>
      <c r="AD102" s="1210"/>
      <c r="AE102" s="1214"/>
      <c r="AF102" s="1214"/>
      <c r="AG102" s="1214"/>
      <c r="AH102" s="1214"/>
      <c r="AI102" s="1214"/>
      <c r="AJ102" s="1214"/>
      <c r="AK102" s="1214"/>
      <c r="AL102" s="1211"/>
      <c r="AM102" s="1211"/>
      <c r="AN102" s="1206"/>
    </row>
    <row r="103" spans="1:49" s="1207" customFormat="1" ht="12.75" customHeight="1">
      <c r="A103" s="1235"/>
      <c r="B103" s="1236"/>
      <c r="C103" s="1236"/>
      <c r="D103" s="1236"/>
      <c r="E103" s="1236"/>
      <c r="F103" s="1236"/>
      <c r="G103" s="1237"/>
      <c r="H103" s="1238"/>
      <c r="I103" s="1238"/>
      <c r="J103" s="1238"/>
      <c r="K103" s="1238"/>
      <c r="L103" s="1238"/>
      <c r="M103" s="1238"/>
      <c r="N103" s="1238"/>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9"/>
      <c r="AJ103" s="1239" t="s">
        <v>1522</v>
      </c>
      <c r="AK103" s="2631">
        <f ca="1">MAX(AP89,AP100)</f>
        <v>20</v>
      </c>
      <c r="AL103" s="2632"/>
      <c r="AM103" s="2633"/>
      <c r="AN103" s="1206"/>
    </row>
    <row r="104" spans="1:49" s="1207" customFormat="1" ht="12.75" customHeight="1" thickBot="1">
      <c r="A104" s="1240"/>
      <c r="B104" s="1241"/>
      <c r="C104" s="1242"/>
      <c r="D104" s="1242"/>
      <c r="E104" s="1242"/>
      <c r="F104" s="1242"/>
      <c r="G104" s="1242"/>
      <c r="H104" s="1242"/>
      <c r="I104" s="1242"/>
      <c r="J104" s="1242"/>
      <c r="K104" s="1242"/>
      <c r="L104" s="1242"/>
      <c r="M104" s="1242"/>
      <c r="N104" s="1242"/>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3"/>
      <c r="AN104" s="1206"/>
    </row>
    <row r="105" spans="1:49" s="1207" customFormat="1" ht="12.75" customHeight="1" thickTop="1">
      <c r="B105" s="914"/>
      <c r="C105" s="915"/>
      <c r="D105" s="915"/>
      <c r="E105" s="915"/>
      <c r="F105" s="915"/>
      <c r="G105" s="915"/>
      <c r="H105" s="915"/>
      <c r="I105" s="1244"/>
      <c r="J105" s="1244"/>
      <c r="K105" s="1244"/>
      <c r="L105" s="1244"/>
      <c r="M105" s="1244"/>
      <c r="N105" s="1244"/>
      <c r="O105" s="1244"/>
      <c r="P105" s="1244"/>
      <c r="Q105" s="1244"/>
      <c r="S105" s="1210"/>
      <c r="T105" s="1210"/>
      <c r="U105" s="1210"/>
      <c r="V105" s="1210"/>
      <c r="W105" s="1210"/>
      <c r="X105" s="1210"/>
      <c r="Y105" s="1210"/>
      <c r="Z105" s="1210"/>
      <c r="AA105" s="1210"/>
      <c r="AB105" s="1210"/>
      <c r="AC105" s="1210"/>
      <c r="AD105" s="1210"/>
      <c r="AE105" s="1210"/>
      <c r="AG105" s="1210"/>
      <c r="AH105" s="1210"/>
      <c r="AI105" s="1210"/>
      <c r="AJ105" s="1210"/>
      <c r="AK105" s="1222"/>
      <c r="AL105" s="1222"/>
      <c r="AM105" s="1222"/>
      <c r="AN105" s="1206"/>
    </row>
    <row r="106" spans="1:49" s="1207" customFormat="1" ht="12.75" customHeight="1">
      <c r="A106" s="1209" t="s">
        <v>1523</v>
      </c>
      <c r="B106" s="1210" t="s">
        <v>1524</v>
      </c>
      <c r="C106" s="1210"/>
      <c r="D106" s="1210"/>
      <c r="E106" s="1210"/>
      <c r="F106" s="1210"/>
      <c r="G106" s="1210"/>
      <c r="H106" s="1210"/>
      <c r="I106" s="1210"/>
      <c r="J106" s="1210"/>
      <c r="K106" s="1210"/>
      <c r="L106" s="1210"/>
      <c r="M106" s="1210"/>
      <c r="N106" s="1210"/>
      <c r="O106" s="1210"/>
      <c r="P106" s="1210"/>
      <c r="Q106" s="1210"/>
      <c r="R106" s="1210"/>
      <c r="S106" s="1210"/>
      <c r="T106" s="1210"/>
      <c r="U106" s="1210"/>
      <c r="V106" s="1210"/>
      <c r="W106" s="1210"/>
      <c r="X106" s="1210"/>
      <c r="Y106" s="1210"/>
      <c r="Z106" s="1210"/>
      <c r="AA106" s="1210"/>
      <c r="AB106" s="1210"/>
      <c r="AC106" s="1210"/>
      <c r="AD106" s="1210"/>
      <c r="AE106" s="2491" t="s">
        <v>1505</v>
      </c>
      <c r="AF106" s="2491"/>
      <c r="AG106" s="2491"/>
      <c r="AH106" s="2491"/>
      <c r="AI106" s="2491"/>
      <c r="AJ106" s="2491"/>
      <c r="AK106" s="2491"/>
      <c r="AL106" s="1211"/>
      <c r="AM106" s="1211"/>
      <c r="AN106" s="1206"/>
      <c r="AO106" s="1207" t="str">
        <f>Application!B728</f>
        <v>SRO/Studio</v>
      </c>
      <c r="AQ106" s="1207">
        <f>Application!O728</f>
        <v>443</v>
      </c>
    </row>
    <row r="107" spans="1:49" s="1207" customFormat="1" ht="12.75" customHeight="1">
      <c r="A107" s="1211"/>
      <c r="B107" s="1210" t="s">
        <v>1515</v>
      </c>
      <c r="C107" s="1210"/>
      <c r="D107" s="1210"/>
      <c r="E107" s="1210"/>
      <c r="F107" s="1210"/>
      <c r="G107" s="1210"/>
      <c r="H107" s="1210"/>
      <c r="I107" s="1210"/>
      <c r="J107" s="1210"/>
      <c r="K107" s="1210"/>
      <c r="L107" s="1210"/>
      <c r="M107" s="1210"/>
      <c r="N107" s="1210"/>
      <c r="O107" s="1210"/>
      <c r="P107" s="1210"/>
      <c r="Q107" s="1210"/>
      <c r="R107" s="1210"/>
      <c r="S107" s="1210"/>
      <c r="T107" s="1210"/>
      <c r="U107" s="1210"/>
      <c r="V107" s="1210"/>
      <c r="W107" s="1210"/>
      <c r="X107" s="1210"/>
      <c r="Y107" s="1210"/>
      <c r="Z107" s="1210"/>
      <c r="AA107" s="1210"/>
      <c r="AB107" s="1210"/>
      <c r="AC107" s="1210"/>
      <c r="AD107" s="1210"/>
      <c r="AE107" s="1214"/>
      <c r="AF107" s="1214"/>
      <c r="AG107" s="1214"/>
      <c r="AH107" s="1214"/>
      <c r="AI107" s="1214"/>
      <c r="AJ107" s="1214"/>
      <c r="AK107" s="1211"/>
      <c r="AL107" s="1211"/>
      <c r="AM107" s="1211"/>
      <c r="AN107" s="1206"/>
      <c r="AO107" s="1207" t="str">
        <f>Application!B729</f>
        <v>SRO/Studio</v>
      </c>
      <c r="AQ107" s="1207">
        <f>Application!O729</f>
        <v>443</v>
      </c>
    </row>
    <row r="108" spans="1:49" s="1207" customFormat="1" ht="12.75" customHeight="1">
      <c r="A108" s="1211"/>
      <c r="B108" s="1210"/>
      <c r="C108" s="1210"/>
      <c r="D108" s="1210"/>
      <c r="E108" s="1255"/>
      <c r="F108" s="1255"/>
      <c r="G108" s="1255"/>
      <c r="H108" s="1255"/>
      <c r="I108" s="1255"/>
      <c r="J108" s="1255"/>
      <c r="K108" s="1255"/>
      <c r="L108" s="1255"/>
      <c r="M108" s="1255"/>
      <c r="N108" s="1255"/>
      <c r="O108" s="1255"/>
      <c r="P108" s="1255"/>
      <c r="Q108" s="1255"/>
      <c r="R108" s="1255"/>
      <c r="S108" s="1255"/>
      <c r="T108" s="1255"/>
      <c r="U108" s="1255"/>
      <c r="V108" s="1255"/>
      <c r="W108" s="1255"/>
      <c r="X108" s="1255"/>
      <c r="Y108" s="1255"/>
      <c r="Z108" s="1255"/>
      <c r="AA108" s="1255"/>
      <c r="AB108" s="1255"/>
      <c r="AC108" s="1255"/>
      <c r="AD108" s="1255"/>
      <c r="AE108" s="1255"/>
      <c r="AF108" s="1255"/>
      <c r="AG108" s="1255"/>
      <c r="AH108" s="1255"/>
      <c r="AI108" s="1255"/>
      <c r="AJ108" s="1255"/>
      <c r="AK108" s="1211"/>
      <c r="AL108" s="1211"/>
      <c r="AM108" s="1211"/>
      <c r="AN108" s="1206"/>
      <c r="AO108" s="1207" t="str">
        <f>Application!B730</f>
        <v>SRO/Studio</v>
      </c>
      <c r="AQ108" s="1207">
        <f>Application!O730</f>
        <v>686</v>
      </c>
    </row>
    <row r="109" spans="1:49" s="1207" customFormat="1" ht="12.75" customHeight="1">
      <c r="A109" s="1211"/>
      <c r="B109" s="2648" t="s">
        <v>616</v>
      </c>
      <c r="C109" s="2648"/>
      <c r="D109" s="1219" t="s">
        <v>1506</v>
      </c>
      <c r="E109" s="2649" t="s">
        <v>2170</v>
      </c>
      <c r="F109" s="2650"/>
      <c r="G109" s="2650"/>
      <c r="H109" s="2650"/>
      <c r="I109" s="2650"/>
      <c r="J109" s="2650"/>
      <c r="K109" s="2650"/>
      <c r="L109" s="2650"/>
      <c r="M109" s="2650"/>
      <c r="N109" s="2650"/>
      <c r="O109" s="2650"/>
      <c r="P109" s="2650"/>
      <c r="Q109" s="2650"/>
      <c r="R109" s="2650"/>
      <c r="S109" s="2650"/>
      <c r="T109" s="2650"/>
      <c r="U109" s="2650"/>
      <c r="V109" s="2650"/>
      <c r="W109" s="2650"/>
      <c r="X109" s="2650"/>
      <c r="Y109" s="2650"/>
      <c r="Z109" s="2650"/>
      <c r="AA109" s="2650"/>
      <c r="AB109" s="2650"/>
      <c r="AC109" s="2650"/>
      <c r="AD109" s="2650"/>
      <c r="AE109" s="2650"/>
      <c r="AF109" s="2650"/>
      <c r="AG109" s="2650"/>
      <c r="AH109" s="2650"/>
      <c r="AI109" s="2650"/>
      <c r="AJ109" s="2651"/>
      <c r="AK109" s="1211"/>
      <c r="AL109" s="1211"/>
      <c r="AM109" s="1211"/>
      <c r="AN109" s="1206"/>
      <c r="AO109" s="1207" t="str">
        <f>Application!B731</f>
        <v>SRO/Studio</v>
      </c>
      <c r="AQ109" s="1207">
        <f>Application!O731</f>
        <v>1413</v>
      </c>
      <c r="AU109" s="1207" t="s">
        <v>2152</v>
      </c>
      <c r="AV109" s="1267" t="s">
        <v>2153</v>
      </c>
      <c r="AW109" s="1207" t="s">
        <v>2154</v>
      </c>
    </row>
    <row r="110" spans="1:49" s="1207" customFormat="1" ht="12.75" customHeight="1">
      <c r="A110" s="1211"/>
      <c r="B110" s="1210"/>
      <c r="C110" s="1210"/>
      <c r="D110" s="1210"/>
      <c r="E110" s="2652"/>
      <c r="F110" s="2653"/>
      <c r="G110" s="2653"/>
      <c r="H110" s="2653"/>
      <c r="I110" s="2653"/>
      <c r="J110" s="2653"/>
      <c r="K110" s="2653"/>
      <c r="L110" s="2653"/>
      <c r="M110" s="2653"/>
      <c r="N110" s="2653"/>
      <c r="O110" s="2653"/>
      <c r="P110" s="2653"/>
      <c r="Q110" s="2653"/>
      <c r="R110" s="2653"/>
      <c r="S110" s="2653"/>
      <c r="T110" s="2653"/>
      <c r="U110" s="2653"/>
      <c r="V110" s="2653"/>
      <c r="W110" s="2653"/>
      <c r="X110" s="2653"/>
      <c r="Y110" s="2653"/>
      <c r="Z110" s="2653"/>
      <c r="AA110" s="2653"/>
      <c r="AB110" s="2653"/>
      <c r="AC110" s="2653"/>
      <c r="AD110" s="2653"/>
      <c r="AE110" s="2653"/>
      <c r="AF110" s="2653"/>
      <c r="AG110" s="2653"/>
      <c r="AH110" s="2653"/>
      <c r="AI110" s="2653"/>
      <c r="AJ110" s="2654"/>
      <c r="AK110" s="1211"/>
      <c r="AL110" s="1211"/>
      <c r="AM110" s="1211"/>
      <c r="AN110" s="1206"/>
      <c r="AO110" s="1207" t="str">
        <f>Application!B732</f>
        <v>SRO/Studio</v>
      </c>
      <c r="AQ110" s="1207">
        <f>Application!O732</f>
        <v>1656</v>
      </c>
      <c r="AU110" s="1268" t="str">
        <f>E118</f>
        <v>Studio/SRO</v>
      </c>
      <c r="AV110" s="1207">
        <f t="array" ref="AV110">SUM(IF(Application!B728:F752="SRO/Studio",Application!G728:J752))</f>
        <v>79</v>
      </c>
      <c r="AW110" s="1269">
        <f>AV110/AV116</f>
        <v>0.71818181818181814</v>
      </c>
    </row>
    <row r="111" spans="1:49" s="1207" customFormat="1" ht="12.75" customHeight="1">
      <c r="A111" s="1211"/>
      <c r="B111" s="1210"/>
      <c r="C111" s="1210"/>
      <c r="D111" s="1210"/>
      <c r="E111" s="2652"/>
      <c r="F111" s="2653"/>
      <c r="G111" s="2653"/>
      <c r="H111" s="2653"/>
      <c r="I111" s="2653"/>
      <c r="J111" s="2653"/>
      <c r="K111" s="2653"/>
      <c r="L111" s="2653"/>
      <c r="M111" s="2653"/>
      <c r="N111" s="2653"/>
      <c r="O111" s="2653"/>
      <c r="P111" s="2653"/>
      <c r="Q111" s="2653"/>
      <c r="R111" s="2653"/>
      <c r="S111" s="2653"/>
      <c r="T111" s="2653"/>
      <c r="U111" s="2653"/>
      <c r="V111" s="2653"/>
      <c r="W111" s="2653"/>
      <c r="X111" s="2653"/>
      <c r="Y111" s="2653"/>
      <c r="Z111" s="2653"/>
      <c r="AA111" s="2653"/>
      <c r="AB111" s="2653"/>
      <c r="AC111" s="2653"/>
      <c r="AD111" s="2653"/>
      <c r="AE111" s="2653"/>
      <c r="AF111" s="2653"/>
      <c r="AG111" s="2653"/>
      <c r="AH111" s="2653"/>
      <c r="AI111" s="2653"/>
      <c r="AJ111" s="2654"/>
      <c r="AK111" s="1211"/>
      <c r="AL111" s="1211"/>
      <c r="AM111" s="1211"/>
      <c r="AN111" s="1206"/>
      <c r="AO111" s="1207" t="str">
        <f>Application!B733</f>
        <v>SRO/Studio</v>
      </c>
      <c r="AQ111" s="1207">
        <f>Application!O733</f>
        <v>1668</v>
      </c>
      <c r="AU111" s="1268" t="str">
        <f>J118</f>
        <v>1-bedroom</v>
      </c>
      <c r="AV111" s="1207">
        <f t="array" ref="AV111">SUM(IF(Application!B728:F752="1 Bedroom",Application!G728:J752))</f>
        <v>0</v>
      </c>
      <c r="AW111" s="1269">
        <f>AV111/AV116</f>
        <v>0</v>
      </c>
    </row>
    <row r="112" spans="1:49" s="1207" customFormat="1" ht="12.75" customHeight="1">
      <c r="A112" s="1211"/>
      <c r="B112" s="1210"/>
      <c r="C112" s="1210"/>
      <c r="D112" s="1210"/>
      <c r="E112" s="2652"/>
      <c r="F112" s="2653"/>
      <c r="G112" s="2653"/>
      <c r="H112" s="2653"/>
      <c r="I112" s="2653"/>
      <c r="J112" s="2653"/>
      <c r="K112" s="2653"/>
      <c r="L112" s="2653"/>
      <c r="M112" s="2653"/>
      <c r="N112" s="2653"/>
      <c r="O112" s="2653"/>
      <c r="P112" s="2653"/>
      <c r="Q112" s="2653"/>
      <c r="R112" s="2653"/>
      <c r="S112" s="2653"/>
      <c r="T112" s="2653"/>
      <c r="U112" s="2653"/>
      <c r="V112" s="2653"/>
      <c r="W112" s="2653"/>
      <c r="X112" s="2653"/>
      <c r="Y112" s="2653"/>
      <c r="Z112" s="2653"/>
      <c r="AA112" s="2653"/>
      <c r="AB112" s="2653"/>
      <c r="AC112" s="2653"/>
      <c r="AD112" s="2653"/>
      <c r="AE112" s="2653"/>
      <c r="AF112" s="2653"/>
      <c r="AG112" s="2653"/>
      <c r="AH112" s="2653"/>
      <c r="AI112" s="2653"/>
      <c r="AJ112" s="2654"/>
      <c r="AK112" s="1211"/>
      <c r="AL112" s="1211"/>
      <c r="AM112" s="1211"/>
      <c r="AN112" s="1206"/>
      <c r="AO112" s="1207" t="str">
        <f>Application!B734</f>
        <v>2 Bedrooms</v>
      </c>
      <c r="AQ112" s="1207">
        <f>Application!O734</f>
        <v>873</v>
      </c>
      <c r="AU112" s="1268" t="str">
        <f>O118</f>
        <v>2-bedroom</v>
      </c>
      <c r="AV112" s="1207">
        <f t="array" ref="AV112">SUM(IF(Application!B728:F752="2 Bedrooms",Application!G728:J752))</f>
        <v>31</v>
      </c>
      <c r="AW112" s="1269">
        <f>AV112/AV116</f>
        <v>0.2818181818181818</v>
      </c>
    </row>
    <row r="113" spans="1:52" s="1207" customFormat="1" ht="12.75" customHeight="1">
      <c r="A113" s="1211"/>
      <c r="B113" s="1210"/>
      <c r="C113" s="1210"/>
      <c r="D113" s="1210"/>
      <c r="E113" s="2652"/>
      <c r="F113" s="2653"/>
      <c r="G113" s="2653"/>
      <c r="H113" s="2653"/>
      <c r="I113" s="2653"/>
      <c r="J113" s="2653"/>
      <c r="K113" s="2653"/>
      <c r="L113" s="2653"/>
      <c r="M113" s="2653"/>
      <c r="N113" s="2653"/>
      <c r="O113" s="2653"/>
      <c r="P113" s="2653"/>
      <c r="Q113" s="2653"/>
      <c r="R113" s="2653"/>
      <c r="S113" s="2653"/>
      <c r="T113" s="2653"/>
      <c r="U113" s="2653"/>
      <c r="V113" s="2653"/>
      <c r="W113" s="2653"/>
      <c r="X113" s="2653"/>
      <c r="Y113" s="2653"/>
      <c r="Z113" s="2653"/>
      <c r="AA113" s="2653"/>
      <c r="AB113" s="2653"/>
      <c r="AC113" s="2653"/>
      <c r="AD113" s="2653"/>
      <c r="AE113" s="2653"/>
      <c r="AF113" s="2653"/>
      <c r="AG113" s="2653"/>
      <c r="AH113" s="2653"/>
      <c r="AI113" s="2653"/>
      <c r="AJ113" s="2654"/>
      <c r="AK113" s="1211"/>
      <c r="AL113" s="1211"/>
      <c r="AM113" s="1211"/>
      <c r="AN113" s="1206"/>
      <c r="AO113" s="1207" t="str">
        <f>Application!B735</f>
        <v>2 Bedrooms</v>
      </c>
      <c r="AQ113" s="1207">
        <f>Application!O735</f>
        <v>873</v>
      </c>
      <c r="AU113" s="1268" t="str">
        <f>T118</f>
        <v>3-bedroom</v>
      </c>
      <c r="AV113" s="1207">
        <f t="array" ref="AV113">SUM(IF(Application!B728:F752="3 Bedrooms",Application!G728:J752))</f>
        <v>0</v>
      </c>
      <c r="AW113" s="1269">
        <f>AV113/AV116</f>
        <v>0</v>
      </c>
    </row>
    <row r="114" spans="1:52" s="1207" customFormat="1" ht="12.75" customHeight="1">
      <c r="A114" s="1211"/>
      <c r="B114" s="1210"/>
      <c r="C114" s="1210"/>
      <c r="D114" s="1210"/>
      <c r="E114" s="2652"/>
      <c r="F114" s="2653"/>
      <c r="G114" s="2653"/>
      <c r="H114" s="2653"/>
      <c r="I114" s="2653"/>
      <c r="J114" s="2653"/>
      <c r="K114" s="2653"/>
      <c r="L114" s="2653"/>
      <c r="M114" s="2653"/>
      <c r="N114" s="2653"/>
      <c r="O114" s="2653"/>
      <c r="P114" s="2653"/>
      <c r="Q114" s="2653"/>
      <c r="R114" s="2653"/>
      <c r="S114" s="2653"/>
      <c r="T114" s="2653"/>
      <c r="U114" s="2653"/>
      <c r="V114" s="2653"/>
      <c r="W114" s="2653"/>
      <c r="X114" s="2653"/>
      <c r="Y114" s="2653"/>
      <c r="Z114" s="2653"/>
      <c r="AA114" s="2653"/>
      <c r="AB114" s="2653"/>
      <c r="AC114" s="2653"/>
      <c r="AD114" s="2653"/>
      <c r="AE114" s="2653"/>
      <c r="AF114" s="2653"/>
      <c r="AG114" s="2653"/>
      <c r="AH114" s="2653"/>
      <c r="AI114" s="2653"/>
      <c r="AJ114" s="2654"/>
      <c r="AK114" s="1211"/>
      <c r="AL114" s="1211"/>
      <c r="AM114" s="1211"/>
      <c r="AN114" s="1206"/>
      <c r="AO114" s="1207" t="str">
        <f>Application!B736</f>
        <v>2 Bedrooms</v>
      </c>
      <c r="AQ114" s="1207">
        <f>Application!O736</f>
        <v>1497</v>
      </c>
      <c r="AU114" s="1268" t="str">
        <f>Y118</f>
        <v>4-bedroom</v>
      </c>
      <c r="AV114" s="1207">
        <f t="array" ref="AV114">SUM(IF(Application!B728:F752="4 Bedrooms",Application!G728:J752))</f>
        <v>0</v>
      </c>
      <c r="AW114" s="1269">
        <f>AV114/AV116</f>
        <v>0</v>
      </c>
    </row>
    <row r="115" spans="1:52" s="1207" customFormat="1" ht="12.75" customHeight="1">
      <c r="A115" s="1211"/>
      <c r="B115" s="1210"/>
      <c r="C115" s="1210"/>
      <c r="D115" s="1210"/>
      <c r="E115" s="2652"/>
      <c r="F115" s="2653"/>
      <c r="G115" s="2653"/>
      <c r="H115" s="2653"/>
      <c r="I115" s="2653"/>
      <c r="J115" s="2653"/>
      <c r="K115" s="2653"/>
      <c r="L115" s="2653"/>
      <c r="M115" s="2653"/>
      <c r="N115" s="2653"/>
      <c r="O115" s="2653"/>
      <c r="P115" s="2653"/>
      <c r="Q115" s="2653"/>
      <c r="R115" s="2653"/>
      <c r="S115" s="2653"/>
      <c r="T115" s="2653"/>
      <c r="U115" s="2653"/>
      <c r="V115" s="2653"/>
      <c r="W115" s="2653"/>
      <c r="X115" s="2653"/>
      <c r="Y115" s="2653"/>
      <c r="Z115" s="2653"/>
      <c r="AA115" s="2653"/>
      <c r="AB115" s="2653"/>
      <c r="AC115" s="2653"/>
      <c r="AD115" s="2653"/>
      <c r="AE115" s="2653"/>
      <c r="AF115" s="2653"/>
      <c r="AG115" s="2653"/>
      <c r="AH115" s="2653"/>
      <c r="AI115" s="2653"/>
      <c r="AJ115" s="2654"/>
      <c r="AK115" s="1211"/>
      <c r="AL115" s="1211"/>
      <c r="AM115" s="1211"/>
      <c r="AN115" s="1206"/>
      <c r="AO115" s="1207" t="str">
        <f>Application!B737</f>
        <v>2 Bedrooms</v>
      </c>
      <c r="AQ115" s="1207">
        <f>Application!O737</f>
        <v>1808</v>
      </c>
      <c r="AU115" s="1268" t="str">
        <f>AD118</f>
        <v>5-bedroom</v>
      </c>
      <c r="AV115" s="1207">
        <f t="array" ref="AV115">SUM(IF(Application!B728:F752="5 Bedrooms",Application!G728:J752))</f>
        <v>0</v>
      </c>
      <c r="AW115" s="1269">
        <f>AV115/AV116</f>
        <v>0</v>
      </c>
    </row>
    <row r="116" spans="1:52" s="1207" customFormat="1" ht="12.75" customHeight="1">
      <c r="A116" s="1211"/>
      <c r="B116" s="1210"/>
      <c r="C116" s="1210"/>
      <c r="D116" s="1210"/>
      <c r="E116" s="2652"/>
      <c r="F116" s="2653"/>
      <c r="G116" s="2653"/>
      <c r="H116" s="2653"/>
      <c r="I116" s="2653"/>
      <c r="J116" s="2653"/>
      <c r="K116" s="2653"/>
      <c r="L116" s="2653"/>
      <c r="M116" s="2653"/>
      <c r="N116" s="2653"/>
      <c r="O116" s="2653"/>
      <c r="P116" s="2653"/>
      <c r="Q116" s="2653"/>
      <c r="R116" s="2653"/>
      <c r="S116" s="2653"/>
      <c r="T116" s="2653"/>
      <c r="U116" s="2653"/>
      <c r="V116" s="2653"/>
      <c r="W116" s="2653"/>
      <c r="X116" s="2653"/>
      <c r="Y116" s="2653"/>
      <c r="Z116" s="2653"/>
      <c r="AA116" s="2653"/>
      <c r="AB116" s="2653"/>
      <c r="AC116" s="2653"/>
      <c r="AD116" s="2653"/>
      <c r="AE116" s="2653"/>
      <c r="AF116" s="2653"/>
      <c r="AG116" s="2653"/>
      <c r="AH116" s="2653"/>
      <c r="AI116" s="2653"/>
      <c r="AJ116" s="2654"/>
      <c r="AK116" s="1211"/>
      <c r="AL116" s="1211"/>
      <c r="AM116" s="1211"/>
      <c r="AN116" s="1206"/>
      <c r="AO116" s="1207" t="str">
        <f>Application!B738</f>
        <v>2 Bedrooms</v>
      </c>
      <c r="AQ116" s="1207">
        <f>Application!O738</f>
        <v>2121</v>
      </c>
      <c r="AV116" s="1207">
        <f>SUM(AV110:AV115)</f>
        <v>110</v>
      </c>
      <c r="AW116" s="1269">
        <f>SUM(AW110:AW115)</f>
        <v>1</v>
      </c>
    </row>
    <row r="117" spans="1:52" s="1207" customFormat="1" ht="12.75" customHeight="1">
      <c r="A117" s="1211"/>
      <c r="B117" s="1210"/>
      <c r="C117" s="1210"/>
      <c r="D117" s="1210"/>
      <c r="E117" s="1264"/>
      <c r="F117" s="1225"/>
      <c r="G117" s="1225"/>
      <c r="H117" s="1225"/>
      <c r="I117" s="1225"/>
      <c r="J117" s="1225"/>
      <c r="K117" s="1225"/>
      <c r="L117" s="1225"/>
      <c r="M117" s="1225"/>
      <c r="N117" s="1225"/>
      <c r="O117" s="1225"/>
      <c r="P117" s="1225"/>
      <c r="Q117" s="1225"/>
      <c r="R117" s="1225"/>
      <c r="S117" s="1225"/>
      <c r="T117" s="1225"/>
      <c r="U117" s="1225"/>
      <c r="V117" s="1225"/>
      <c r="W117" s="1225"/>
      <c r="X117" s="1225"/>
      <c r="Y117" s="1225"/>
      <c r="Z117" s="1225"/>
      <c r="AA117" s="1225"/>
      <c r="AB117" s="1225"/>
      <c r="AC117" s="1225"/>
      <c r="AD117" s="1225"/>
      <c r="AE117" s="1225"/>
      <c r="AF117" s="1225"/>
      <c r="AG117" s="1225"/>
      <c r="AH117" s="1225"/>
      <c r="AI117" s="1225"/>
      <c r="AJ117" s="1226"/>
      <c r="AK117" s="1211"/>
      <c r="AL117" s="1211"/>
      <c r="AM117" s="1211"/>
      <c r="AN117" s="1206"/>
      <c r="AO117" s="1207">
        <f>Application!B739</f>
        <v>0</v>
      </c>
      <c r="AQ117" s="1207">
        <f>Application!O739</f>
        <v>0</v>
      </c>
    </row>
    <row r="118" spans="1:52" s="1207" customFormat="1" ht="12.75" customHeight="1">
      <c r="A118" s="1211"/>
      <c r="B118" s="1210"/>
      <c r="C118" s="1211"/>
      <c r="D118" s="1211"/>
      <c r="E118" s="2644" t="s">
        <v>1788</v>
      </c>
      <c r="F118" s="2645"/>
      <c r="G118" s="2645"/>
      <c r="H118" s="2645"/>
      <c r="I118" s="1255"/>
      <c r="J118" s="2645" t="s">
        <v>1833</v>
      </c>
      <c r="K118" s="2645"/>
      <c r="L118" s="2645"/>
      <c r="M118" s="2645"/>
      <c r="N118" s="1255"/>
      <c r="O118" s="2645" t="s">
        <v>1834</v>
      </c>
      <c r="P118" s="2645"/>
      <c r="Q118" s="2645"/>
      <c r="R118" s="2645"/>
      <c r="S118" s="1255"/>
      <c r="T118" s="2645" t="s">
        <v>1525</v>
      </c>
      <c r="U118" s="2645"/>
      <c r="V118" s="2645"/>
      <c r="W118" s="2645"/>
      <c r="X118" s="1255"/>
      <c r="Y118" s="2645" t="s">
        <v>1835</v>
      </c>
      <c r="Z118" s="2645"/>
      <c r="AA118" s="2645"/>
      <c r="AB118" s="2645"/>
      <c r="AC118" s="1255"/>
      <c r="AD118" s="2645" t="s">
        <v>1836</v>
      </c>
      <c r="AE118" s="2645"/>
      <c r="AF118" s="2645"/>
      <c r="AG118" s="2645"/>
      <c r="AH118" s="1255"/>
      <c r="AI118" s="1255"/>
      <c r="AJ118" s="1257"/>
      <c r="AK118" s="1211"/>
      <c r="AL118" s="1211"/>
      <c r="AM118" s="1211"/>
      <c r="AN118" s="1206"/>
      <c r="AO118" s="1207">
        <f>Application!B740</f>
        <v>0</v>
      </c>
      <c r="AQ118" s="1207">
        <f>Application!O740</f>
        <v>0</v>
      </c>
    </row>
    <row r="119" spans="1:52" s="1207" customFormat="1" ht="12.75" customHeight="1">
      <c r="A119" s="1211"/>
      <c r="B119" s="1210"/>
      <c r="C119" s="1211"/>
      <c r="D119" s="1211"/>
      <c r="E119" s="1270"/>
      <c r="F119" s="1271"/>
      <c r="G119" s="1271"/>
      <c r="H119" s="1271"/>
      <c r="I119" s="1255"/>
      <c r="J119" s="1271"/>
      <c r="K119" s="1271"/>
      <c r="L119" s="1271"/>
      <c r="M119" s="1271"/>
      <c r="N119" s="1255"/>
      <c r="O119" s="1271"/>
      <c r="P119" s="1271"/>
      <c r="Q119" s="1271"/>
      <c r="R119" s="1271"/>
      <c r="S119" s="1255"/>
      <c r="T119" s="1271"/>
      <c r="U119" s="1271"/>
      <c r="V119" s="1271"/>
      <c r="W119" s="1271"/>
      <c r="X119" s="1255"/>
      <c r="Y119" s="1271"/>
      <c r="Z119" s="1271"/>
      <c r="AA119" s="1271"/>
      <c r="AB119" s="1271"/>
      <c r="AC119" s="1255"/>
      <c r="AD119" s="1271"/>
      <c r="AE119" s="1271"/>
      <c r="AF119" s="1271"/>
      <c r="AG119" s="1271"/>
      <c r="AH119" s="1255"/>
      <c r="AI119" s="1255"/>
      <c r="AJ119" s="1257"/>
      <c r="AK119" s="1211"/>
      <c r="AL119" s="1211"/>
      <c r="AM119" s="1211"/>
      <c r="AN119" s="1206"/>
      <c r="AO119" s="1207">
        <f>Application!B741</f>
        <v>0</v>
      </c>
      <c r="AQ119" s="1207">
        <f>Application!O741</f>
        <v>0</v>
      </c>
    </row>
    <row r="120" spans="1:52" s="1207" customFormat="1" ht="12.75" customHeight="1">
      <c r="A120" s="1211"/>
      <c r="B120" s="1210"/>
      <c r="C120" s="1211"/>
      <c r="D120" s="1211"/>
      <c r="E120" s="1272" t="s">
        <v>1837</v>
      </c>
      <c r="F120" s="1271"/>
      <c r="G120" s="1271"/>
      <c r="H120" s="1271"/>
      <c r="I120" s="1255"/>
      <c r="J120" s="1271"/>
      <c r="K120" s="1271"/>
      <c r="L120" s="1271"/>
      <c r="M120" s="1271"/>
      <c r="N120" s="1255"/>
      <c r="O120" s="1271"/>
      <c r="P120" s="1271"/>
      <c r="Q120" s="1271"/>
      <c r="R120" s="1271"/>
      <c r="S120" s="1255"/>
      <c r="T120" s="1271"/>
      <c r="U120" s="1271"/>
      <c r="V120" s="1271"/>
      <c r="W120" s="1271"/>
      <c r="X120" s="1255"/>
      <c r="Y120" s="1271"/>
      <c r="Z120" s="1271"/>
      <c r="AA120" s="1271"/>
      <c r="AB120" s="1271"/>
      <c r="AC120" s="1255"/>
      <c r="AD120" s="1271"/>
      <c r="AE120" s="1271"/>
      <c r="AF120" s="1271"/>
      <c r="AG120" s="1271"/>
      <c r="AH120" s="1255"/>
      <c r="AI120" s="1255"/>
      <c r="AJ120" s="1257"/>
      <c r="AK120" s="1211"/>
      <c r="AL120" s="1211"/>
      <c r="AM120" s="1211"/>
      <c r="AN120" s="1206"/>
      <c r="AO120" s="1207">
        <f>Application!B742</f>
        <v>0</v>
      </c>
      <c r="AQ120" s="1207">
        <f>Application!O742</f>
        <v>0</v>
      </c>
    </row>
    <row r="121" spans="1:52" s="1207" customFormat="1" ht="12.75" customHeight="1">
      <c r="A121" s="1211"/>
      <c r="B121" s="1210"/>
      <c r="C121" s="1211"/>
      <c r="D121" s="1211"/>
      <c r="E121" s="2642">
        <v>2236</v>
      </c>
      <c r="F121" s="2643"/>
      <c r="G121" s="2643"/>
      <c r="H121" s="2643"/>
      <c r="I121" s="1273"/>
      <c r="J121" s="2643"/>
      <c r="K121" s="2643"/>
      <c r="L121" s="2643"/>
      <c r="M121" s="2643"/>
      <c r="N121" s="1273"/>
      <c r="O121" s="2643">
        <v>3515</v>
      </c>
      <c r="P121" s="2643"/>
      <c r="Q121" s="2643"/>
      <c r="R121" s="2643"/>
      <c r="S121" s="1273"/>
      <c r="T121" s="2643"/>
      <c r="U121" s="2643"/>
      <c r="V121" s="2643"/>
      <c r="W121" s="2643"/>
      <c r="X121" s="1273"/>
      <c r="Y121" s="2643"/>
      <c r="Z121" s="2643"/>
      <c r="AA121" s="2643"/>
      <c r="AB121" s="2643"/>
      <c r="AC121" s="1273"/>
      <c r="AD121" s="2643"/>
      <c r="AE121" s="2643"/>
      <c r="AF121" s="2643"/>
      <c r="AG121" s="2643"/>
      <c r="AH121" s="1255"/>
      <c r="AI121" s="1255"/>
      <c r="AJ121" s="1257"/>
      <c r="AK121" s="1211"/>
      <c r="AL121" s="1211"/>
      <c r="AM121" s="1211"/>
      <c r="AN121" s="1206"/>
      <c r="AO121" s="1207">
        <f>Application!B743</f>
        <v>0</v>
      </c>
      <c r="AQ121" s="1207">
        <f>Application!O743</f>
        <v>0</v>
      </c>
    </row>
    <row r="122" spans="1:52" s="1207" customFormat="1" ht="12.75" customHeight="1">
      <c r="A122" s="1211"/>
      <c r="B122" s="1210"/>
      <c r="C122" s="1211"/>
      <c r="D122" s="1211"/>
      <c r="E122" s="1270"/>
      <c r="F122" s="1271"/>
      <c r="G122" s="1271"/>
      <c r="H122" s="1271"/>
      <c r="I122" s="1255"/>
      <c r="J122" s="1271"/>
      <c r="K122" s="1271"/>
      <c r="L122" s="1271"/>
      <c r="M122" s="1271"/>
      <c r="N122" s="1255"/>
      <c r="O122" s="1271"/>
      <c r="P122" s="1271"/>
      <c r="Q122" s="1271"/>
      <c r="R122" s="1271"/>
      <c r="S122" s="1255"/>
      <c r="T122" s="1271"/>
      <c r="U122" s="1271"/>
      <c r="V122" s="1271"/>
      <c r="W122" s="1271"/>
      <c r="X122" s="1255"/>
      <c r="Y122" s="1271"/>
      <c r="Z122" s="1271"/>
      <c r="AA122" s="1271"/>
      <c r="AB122" s="1271"/>
      <c r="AC122" s="1255"/>
      <c r="AD122" s="1271"/>
      <c r="AE122" s="1271"/>
      <c r="AF122" s="1271"/>
      <c r="AG122" s="1271"/>
      <c r="AH122" s="1255"/>
      <c r="AI122" s="1255"/>
      <c r="AJ122" s="1257"/>
      <c r="AK122" s="1211"/>
      <c r="AL122" s="1211"/>
      <c r="AM122" s="1211"/>
      <c r="AN122" s="1206"/>
      <c r="AO122" s="1207">
        <f>Application!B744</f>
        <v>0</v>
      </c>
      <c r="AQ122" s="1207">
        <f>Application!O744</f>
        <v>0</v>
      </c>
      <c r="AU122" s="1274"/>
      <c r="AV122" s="1274"/>
      <c r="AW122" s="1274"/>
      <c r="AX122" s="1274"/>
      <c r="AY122" s="1274"/>
      <c r="AZ122" s="1274"/>
    </row>
    <row r="123" spans="1:52" s="1207" customFormat="1" ht="12.75" customHeight="1">
      <c r="A123" s="1211"/>
      <c r="B123" s="1210"/>
      <c r="C123" s="1211"/>
      <c r="D123" s="1211"/>
      <c r="E123" s="1272" t="s">
        <v>2156</v>
      </c>
      <c r="F123" s="1271"/>
      <c r="G123" s="1271"/>
      <c r="H123" s="1271"/>
      <c r="I123" s="1255"/>
      <c r="J123" s="1271"/>
      <c r="K123" s="1271"/>
      <c r="L123" s="1271"/>
      <c r="M123" s="1271"/>
      <c r="N123" s="1255"/>
      <c r="O123" s="1271"/>
      <c r="P123" s="1271"/>
      <c r="Q123" s="1271"/>
      <c r="R123" s="1271"/>
      <c r="S123" s="1255"/>
      <c r="T123" s="1271"/>
      <c r="U123" s="1271"/>
      <c r="V123" s="1271"/>
      <c r="W123" s="1271"/>
      <c r="X123" s="1255"/>
      <c r="Y123" s="1271"/>
      <c r="Z123" s="1271"/>
      <c r="AA123" s="1271"/>
      <c r="AB123" s="1271"/>
      <c r="AC123" s="1255"/>
      <c r="AD123" s="1271"/>
      <c r="AE123" s="1271"/>
      <c r="AF123" s="1271"/>
      <c r="AG123" s="1271"/>
      <c r="AH123" s="1255"/>
      <c r="AI123" s="1255"/>
      <c r="AJ123" s="1257"/>
      <c r="AK123" s="1211"/>
      <c r="AL123" s="1211"/>
      <c r="AM123" s="1211"/>
      <c r="AN123" s="1206"/>
      <c r="AO123" s="1207">
        <f>Application!B745</f>
        <v>0</v>
      </c>
      <c r="AQ123" s="1207">
        <f>Application!O745</f>
        <v>0</v>
      </c>
      <c r="AU123" s="1274"/>
      <c r="AV123" s="1274"/>
      <c r="AW123" s="1274"/>
      <c r="AX123" s="1274"/>
      <c r="AY123" s="1274"/>
      <c r="AZ123" s="1274"/>
    </row>
    <row r="124" spans="1:52" s="1207" customFormat="1" ht="12.75" customHeight="1">
      <c r="A124" s="1211"/>
      <c r="B124" s="1210"/>
      <c r="C124" s="1211"/>
      <c r="D124" s="1211"/>
      <c r="E124" s="2640">
        <f>Application!DX663</f>
        <v>1233.9620253164558</v>
      </c>
      <c r="F124" s="2641"/>
      <c r="G124" s="2641"/>
      <c r="H124" s="2641"/>
      <c r="I124" s="1273"/>
      <c r="J124" s="2641">
        <f>Application!EC663</f>
        <v>0</v>
      </c>
      <c r="K124" s="2641"/>
      <c r="L124" s="2641"/>
      <c r="M124" s="2641"/>
      <c r="N124" s="1273"/>
      <c r="O124" s="2641">
        <f>Application!EH663</f>
        <v>1788.5806451612902</v>
      </c>
      <c r="P124" s="2641"/>
      <c r="Q124" s="2641"/>
      <c r="R124" s="2641"/>
      <c r="S124" s="1275"/>
      <c r="T124" s="2641">
        <f>Application!EM663</f>
        <v>0</v>
      </c>
      <c r="U124" s="2641"/>
      <c r="V124" s="2641"/>
      <c r="W124" s="2641"/>
      <c r="X124" s="1275"/>
      <c r="Y124" s="2641">
        <f>Application!ER663</f>
        <v>0</v>
      </c>
      <c r="Z124" s="2641"/>
      <c r="AA124" s="2641"/>
      <c r="AB124" s="2641"/>
      <c r="AC124" s="1275"/>
      <c r="AD124" s="2641">
        <f>Application!EW663</f>
        <v>0</v>
      </c>
      <c r="AE124" s="2641"/>
      <c r="AF124" s="2641"/>
      <c r="AG124" s="2641"/>
      <c r="AH124" s="1255"/>
      <c r="AI124" s="1255"/>
      <c r="AJ124" s="1257"/>
      <c r="AK124" s="1211"/>
      <c r="AL124" s="1211"/>
      <c r="AM124" s="1211"/>
      <c r="AN124" s="1206"/>
      <c r="AO124" s="1207">
        <f>Application!B746</f>
        <v>0</v>
      </c>
      <c r="AQ124" s="1207">
        <f>Application!O746</f>
        <v>0</v>
      </c>
      <c r="AU124" s="1274"/>
      <c r="AV124" s="1274"/>
      <c r="AW124" s="1276"/>
      <c r="AX124" s="1276"/>
      <c r="AY124" s="1274"/>
      <c r="AZ124" s="1274"/>
    </row>
    <row r="125" spans="1:52" s="1207" customFormat="1" ht="12.75" customHeight="1">
      <c r="A125" s="1211"/>
      <c r="B125" s="1210"/>
      <c r="C125" s="1211"/>
      <c r="D125" s="1211"/>
      <c r="E125" s="1277"/>
      <c r="F125" s="1271"/>
      <c r="G125" s="1271"/>
      <c r="H125" s="1271"/>
      <c r="I125" s="1255"/>
      <c r="J125" s="1258"/>
      <c r="K125" s="1255"/>
      <c r="L125" s="1255"/>
      <c r="M125" s="1255"/>
      <c r="N125" s="1255"/>
      <c r="O125" s="1255"/>
      <c r="P125" s="1255"/>
      <c r="Q125" s="1255"/>
      <c r="R125" s="1255"/>
      <c r="S125" s="1255"/>
      <c r="T125" s="1255"/>
      <c r="U125" s="1255"/>
      <c r="V125" s="1255"/>
      <c r="W125" s="1255"/>
      <c r="X125" s="1255"/>
      <c r="Y125" s="1255"/>
      <c r="Z125" s="1255"/>
      <c r="AA125" s="1255"/>
      <c r="AB125" s="1255"/>
      <c r="AC125" s="1255"/>
      <c r="AD125" s="1255"/>
      <c r="AE125" s="1255"/>
      <c r="AF125" s="1255"/>
      <c r="AG125" s="1255"/>
      <c r="AH125" s="1255"/>
      <c r="AI125" s="1255"/>
      <c r="AJ125" s="1257"/>
      <c r="AK125" s="1211"/>
      <c r="AL125" s="1211"/>
      <c r="AM125" s="1211"/>
      <c r="AN125" s="1206"/>
      <c r="AO125" s="1207">
        <f>Application!B747</f>
        <v>0</v>
      </c>
      <c r="AQ125" s="1207">
        <f>Application!O747</f>
        <v>0</v>
      </c>
      <c r="AU125" s="1274"/>
      <c r="AV125" s="1274"/>
      <c r="AW125" s="1276"/>
      <c r="AX125" s="1276"/>
      <c r="AY125" s="1274"/>
      <c r="AZ125" s="1274"/>
    </row>
    <row r="126" spans="1:52" s="1207" customFormat="1" ht="12.75" customHeight="1">
      <c r="A126" s="1211"/>
      <c r="B126" s="1210"/>
      <c r="C126" s="1211"/>
      <c r="D126" s="1211"/>
      <c r="E126" s="1272" t="s">
        <v>2157</v>
      </c>
      <c r="F126" s="1271"/>
      <c r="G126" s="1271"/>
      <c r="H126" s="1271"/>
      <c r="I126" s="1255"/>
      <c r="J126" s="1258"/>
      <c r="K126" s="1255"/>
      <c r="L126" s="1255"/>
      <c r="M126" s="1255"/>
      <c r="N126" s="1255"/>
      <c r="O126" s="1255"/>
      <c r="P126" s="1255"/>
      <c r="Q126" s="1255"/>
      <c r="R126" s="1255"/>
      <c r="S126" s="1255"/>
      <c r="T126" s="1255"/>
      <c r="U126" s="1255"/>
      <c r="V126" s="1255"/>
      <c r="W126" s="1255"/>
      <c r="X126" s="1255"/>
      <c r="Y126" s="1255"/>
      <c r="Z126" s="1255"/>
      <c r="AA126" s="1255"/>
      <c r="AB126" s="1255"/>
      <c r="AC126" s="1255"/>
      <c r="AD126" s="1255"/>
      <c r="AE126" s="1255"/>
      <c r="AF126" s="1255"/>
      <c r="AG126" s="1255"/>
      <c r="AH126" s="1255"/>
      <c r="AI126" s="1255"/>
      <c r="AJ126" s="1257"/>
      <c r="AK126" s="1211"/>
      <c r="AL126" s="1211"/>
      <c r="AM126" s="1211"/>
      <c r="AN126" s="1206"/>
      <c r="AO126" s="1207">
        <f>Application!B748</f>
        <v>0</v>
      </c>
      <c r="AQ126" s="1207">
        <f>Application!O748</f>
        <v>0</v>
      </c>
      <c r="AU126" s="1274"/>
      <c r="AV126" s="1274"/>
      <c r="AW126" s="1276"/>
      <c r="AX126" s="1276"/>
      <c r="AY126" s="1274"/>
      <c r="AZ126" s="1274"/>
    </row>
    <row r="127" spans="1:52" s="1207" customFormat="1" ht="12.75" customHeight="1">
      <c r="A127" s="1211"/>
      <c r="B127" s="1210"/>
      <c r="C127" s="1211"/>
      <c r="D127" s="1211"/>
      <c r="E127" s="2634">
        <f>(E121-E124)/E121</f>
        <v>0.4481386291071307</v>
      </c>
      <c r="F127" s="2635"/>
      <c r="G127" s="2635"/>
      <c r="H127" s="2636"/>
      <c r="I127" s="1255"/>
      <c r="J127" s="2634" t="e">
        <f>(J121-J124)/J121</f>
        <v>#DIV/0!</v>
      </c>
      <c r="K127" s="2635"/>
      <c r="L127" s="2635"/>
      <c r="M127" s="2636"/>
      <c r="N127" s="1255"/>
      <c r="O127" s="2634">
        <f>(O121-O124)/O121</f>
        <v>0.49115771119166707</v>
      </c>
      <c r="P127" s="2635"/>
      <c r="Q127" s="2635"/>
      <c r="R127" s="2636"/>
      <c r="S127" s="1255"/>
      <c r="T127" s="2634" t="e">
        <f>(T121-T124)/T121</f>
        <v>#DIV/0!</v>
      </c>
      <c r="U127" s="2635"/>
      <c r="V127" s="2635"/>
      <c r="W127" s="2636"/>
      <c r="X127" s="1255"/>
      <c r="Y127" s="2634" t="e">
        <f>(Y121-Y124)/Y121</f>
        <v>#DIV/0!</v>
      </c>
      <c r="Z127" s="2635"/>
      <c r="AA127" s="2635"/>
      <c r="AB127" s="2636"/>
      <c r="AC127" s="1255"/>
      <c r="AD127" s="2634" t="e">
        <f>(AD121-AD124)/AD121</f>
        <v>#DIV/0!</v>
      </c>
      <c r="AE127" s="2635"/>
      <c r="AF127" s="2635"/>
      <c r="AG127" s="2636"/>
      <c r="AH127" s="1255"/>
      <c r="AI127" s="1255"/>
      <c r="AJ127" s="1257"/>
      <c r="AK127" s="1211"/>
      <c r="AL127" s="1211"/>
      <c r="AM127" s="1211"/>
      <c r="AN127" s="1206"/>
      <c r="AO127" s="1207">
        <f>Application!B749</f>
        <v>0</v>
      </c>
      <c r="AQ127" s="1207">
        <f>Application!O749</f>
        <v>0</v>
      </c>
      <c r="AU127" s="1274"/>
      <c r="AV127" s="1274"/>
      <c r="AW127" s="1276"/>
      <c r="AX127" s="1276"/>
      <c r="AY127" s="1274"/>
      <c r="AZ127" s="1274"/>
    </row>
    <row r="128" spans="1:52" s="1207" customFormat="1" ht="12.75" customHeight="1">
      <c r="A128" s="1211"/>
      <c r="B128" s="1210"/>
      <c r="C128" s="1211"/>
      <c r="D128" s="1211"/>
      <c r="E128" s="1278"/>
      <c r="F128" s="1279"/>
      <c r="G128" s="1279"/>
      <c r="H128" s="1279"/>
      <c r="I128" s="1255"/>
      <c r="J128" s="1279"/>
      <c r="K128" s="1279"/>
      <c r="L128" s="1279"/>
      <c r="M128" s="1279"/>
      <c r="N128" s="1255"/>
      <c r="O128" s="1279"/>
      <c r="P128" s="1279"/>
      <c r="Q128" s="1279"/>
      <c r="R128" s="1279"/>
      <c r="S128" s="1255"/>
      <c r="T128" s="1279"/>
      <c r="U128" s="1279"/>
      <c r="V128" s="1279"/>
      <c r="W128" s="1279"/>
      <c r="X128" s="1255"/>
      <c r="Y128" s="1279"/>
      <c r="Z128" s="1279"/>
      <c r="AA128" s="1279"/>
      <c r="AB128" s="1279"/>
      <c r="AC128" s="1255"/>
      <c r="AD128" s="1279"/>
      <c r="AE128" s="1279"/>
      <c r="AF128" s="1279"/>
      <c r="AG128" s="1279"/>
      <c r="AH128" s="1255"/>
      <c r="AI128" s="1255"/>
      <c r="AJ128" s="1257"/>
      <c r="AK128" s="1211"/>
      <c r="AL128" s="1211"/>
      <c r="AM128" s="1211"/>
      <c r="AN128" s="1206"/>
      <c r="AO128" s="1207">
        <f>Application!B750</f>
        <v>0</v>
      </c>
      <c r="AQ128" s="1207">
        <f>Application!O750</f>
        <v>0</v>
      </c>
      <c r="AU128" s="1274"/>
      <c r="AV128" s="1274"/>
      <c r="AW128" s="1276"/>
      <c r="AX128" s="1276"/>
      <c r="AY128" s="1274"/>
      <c r="AZ128" s="1274"/>
    </row>
    <row r="129" spans="1:52" s="1207" customFormat="1" ht="12.75" customHeight="1">
      <c r="A129" s="1211"/>
      <c r="B129" s="1210"/>
      <c r="C129" s="1211"/>
      <c r="D129" s="1211"/>
      <c r="E129" s="1280" t="s">
        <v>2158</v>
      </c>
      <c r="F129" s="1279"/>
      <c r="G129" s="1279"/>
      <c r="H129" s="1279"/>
      <c r="I129" s="1255"/>
      <c r="J129" s="1279"/>
      <c r="K129" s="1279"/>
      <c r="L129" s="1279"/>
      <c r="M129" s="1279"/>
      <c r="N129" s="1255"/>
      <c r="O129" s="1279"/>
      <c r="P129" s="1279"/>
      <c r="Q129" s="1279"/>
      <c r="R129" s="1279"/>
      <c r="S129" s="1255"/>
      <c r="T129" s="1279"/>
      <c r="U129" s="1279"/>
      <c r="V129" s="1279"/>
      <c r="W129" s="1279"/>
      <c r="X129" s="1255"/>
      <c r="Y129" s="1279"/>
      <c r="Z129" s="1279"/>
      <c r="AA129" s="1279"/>
      <c r="AB129" s="1279"/>
      <c r="AC129" s="1255"/>
      <c r="AD129" s="1279"/>
      <c r="AE129" s="1279"/>
      <c r="AF129" s="1279"/>
      <c r="AG129" s="1279"/>
      <c r="AH129" s="1255"/>
      <c r="AI129" s="1255"/>
      <c r="AJ129" s="1257"/>
      <c r="AK129" s="1211"/>
      <c r="AL129" s="1211"/>
      <c r="AM129" s="1211"/>
      <c r="AN129" s="1206"/>
      <c r="AO129" s="1207">
        <f>Application!B751</f>
        <v>0</v>
      </c>
      <c r="AQ129" s="1207">
        <f>Application!O751</f>
        <v>0</v>
      </c>
      <c r="AU129" s="1276"/>
      <c r="AV129" s="1274"/>
      <c r="AW129" s="1276"/>
      <c r="AX129" s="1276"/>
      <c r="AY129" s="1274"/>
      <c r="AZ129" s="1274"/>
    </row>
    <row r="130" spans="1:52" s="1207" customFormat="1" ht="12.75" customHeight="1">
      <c r="A130" s="1211"/>
      <c r="B130" s="1210"/>
      <c r="C130" s="1211"/>
      <c r="D130" s="1211"/>
      <c r="E130" s="2637">
        <f>IF(((E127-0.1)*AW110)&gt;0,((E127-0.1)*AW110),0)</f>
        <v>0.25002683363148476</v>
      </c>
      <c r="F130" s="2638"/>
      <c r="G130" s="2638"/>
      <c r="H130" s="2639"/>
      <c r="I130" s="1255"/>
      <c r="J130" s="2637" t="e">
        <f>IF(((J127-0.1)*AW111)&gt;0,((J127-0.1)*AW111),0)</f>
        <v>#DIV/0!</v>
      </c>
      <c r="K130" s="2638"/>
      <c r="L130" s="2638"/>
      <c r="M130" s="2639"/>
      <c r="N130" s="1255"/>
      <c r="O130" s="2637">
        <f>IF(((O127-0.1)*AW112)&gt;0,((O127-0.1)*AW112),0)</f>
        <v>0.11023535497219708</v>
      </c>
      <c r="P130" s="2638"/>
      <c r="Q130" s="2638"/>
      <c r="R130" s="2639"/>
      <c r="S130" s="1255"/>
      <c r="T130" s="2637" t="e">
        <f>IF(((T127-0.1)*AW113)&gt;0,((T127-0.1)*AW113),0)</f>
        <v>#DIV/0!</v>
      </c>
      <c r="U130" s="2638"/>
      <c r="V130" s="2638"/>
      <c r="W130" s="2639"/>
      <c r="X130" s="1255"/>
      <c r="Y130" s="2637" t="e">
        <f>IF(((Y127-0.1)*AW114)&gt;0,((Y127-0.1)*AW114),0)</f>
        <v>#DIV/0!</v>
      </c>
      <c r="Z130" s="2638"/>
      <c r="AA130" s="2638"/>
      <c r="AB130" s="2639"/>
      <c r="AC130" s="1255"/>
      <c r="AD130" s="2637" t="e">
        <f>IF(((AD127-0.1)*AW115)&gt;0,((AD127-0.1)*AW115),0)</f>
        <v>#DIV/0!</v>
      </c>
      <c r="AE130" s="2638"/>
      <c r="AF130" s="2638"/>
      <c r="AG130" s="2639"/>
      <c r="AH130" s="1255"/>
      <c r="AI130" s="1255"/>
      <c r="AJ130" s="1257"/>
      <c r="AK130" s="1211"/>
      <c r="AL130" s="1211"/>
      <c r="AM130" s="1211"/>
      <c r="AN130" s="1206"/>
      <c r="AO130" s="1207">
        <f>Application!B752</f>
        <v>0</v>
      </c>
      <c r="AQ130" s="1207">
        <f>Application!O752</f>
        <v>0</v>
      </c>
      <c r="AU130" s="1274"/>
      <c r="AV130" s="1274"/>
      <c r="AW130" s="1274"/>
      <c r="AX130" s="1276"/>
      <c r="AY130" s="1274"/>
      <c r="AZ130" s="1274"/>
    </row>
    <row r="131" spans="1:52" s="1207" customFormat="1" ht="12.75" customHeight="1">
      <c r="A131" s="1211"/>
      <c r="B131" s="1210"/>
      <c r="C131" s="1211"/>
      <c r="D131" s="1211"/>
      <c r="E131" s="1277"/>
      <c r="F131" s="1271"/>
      <c r="G131" s="1271"/>
      <c r="H131" s="1271"/>
      <c r="I131" s="1255"/>
      <c r="J131" s="1258"/>
      <c r="K131" s="1255"/>
      <c r="L131" s="1255"/>
      <c r="M131" s="1255"/>
      <c r="N131" s="1255"/>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7"/>
      <c r="AK131" s="1211"/>
      <c r="AL131" s="1211"/>
      <c r="AM131" s="1211"/>
      <c r="AN131" s="1206"/>
      <c r="AU131" s="1274"/>
      <c r="AV131" s="1274"/>
      <c r="AW131" s="1274"/>
      <c r="AX131" s="1274"/>
      <c r="AY131" s="1274"/>
      <c r="AZ131" s="1274"/>
    </row>
    <row r="132" spans="1:52" s="1207" customFormat="1" ht="12.75" customHeight="1">
      <c r="A132" s="1211"/>
      <c r="B132" s="1210"/>
      <c r="C132" s="1211"/>
      <c r="D132" s="1211"/>
      <c r="E132" s="2634">
        <f>ROUNDDOWN(SUMIF(E130:AG130,"&gt;0"),2)</f>
        <v>0.36</v>
      </c>
      <c r="F132" s="2635"/>
      <c r="G132" s="2635"/>
      <c r="H132" s="2636"/>
      <c r="I132" s="1255"/>
      <c r="J132" s="1258" t="s">
        <v>2159</v>
      </c>
      <c r="K132" s="1255"/>
      <c r="L132" s="1255"/>
      <c r="M132" s="1255"/>
      <c r="N132" s="1255"/>
      <c r="O132" s="1255"/>
      <c r="P132" s="1255"/>
      <c r="Q132" s="1255"/>
      <c r="R132" s="1255"/>
      <c r="S132" s="1255"/>
      <c r="T132" s="1255"/>
      <c r="U132" s="1255"/>
      <c r="V132" s="1255"/>
      <c r="W132" s="1255"/>
      <c r="X132" s="1255"/>
      <c r="Y132" s="1255"/>
      <c r="Z132" s="1255"/>
      <c r="AA132" s="1255"/>
      <c r="AB132" s="1255"/>
      <c r="AC132" s="1255"/>
      <c r="AD132" s="1281"/>
      <c r="AE132" s="1281"/>
      <c r="AF132" s="1281"/>
      <c r="AG132" s="1281"/>
      <c r="AH132" s="1255"/>
      <c r="AI132" s="1255"/>
      <c r="AJ132" s="1257"/>
      <c r="AK132" s="1211"/>
      <c r="AL132" s="1211"/>
      <c r="AM132" s="1211"/>
      <c r="AN132" s="1206"/>
      <c r="AU132" s="1274"/>
      <c r="AV132" s="1274"/>
      <c r="AW132" s="1274"/>
      <c r="AX132" s="1276"/>
      <c r="AY132" s="1274"/>
      <c r="AZ132" s="1274"/>
    </row>
    <row r="133" spans="1:52" s="1207" customFormat="1" ht="12.75" customHeight="1">
      <c r="A133" s="1211"/>
      <c r="B133" s="1210"/>
      <c r="C133" s="1211"/>
      <c r="D133" s="1211"/>
      <c r="E133" s="2631">
        <f>IF((E132*100)&gt;10,10,E132*100)</f>
        <v>10</v>
      </c>
      <c r="F133" s="2632"/>
      <c r="G133" s="2632"/>
      <c r="H133" s="2633"/>
      <c r="I133" s="1255"/>
      <c r="J133" s="1258" t="s">
        <v>1519</v>
      </c>
      <c r="K133" s="1255"/>
      <c r="L133" s="1255"/>
      <c r="M133" s="1255"/>
      <c r="N133" s="1255"/>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7"/>
      <c r="AK133" s="1211"/>
      <c r="AL133" s="1211"/>
      <c r="AM133" s="1211"/>
      <c r="AN133" s="1206"/>
      <c r="AU133" s="1274"/>
      <c r="AV133" s="1274"/>
      <c r="AW133" s="1274"/>
      <c r="AX133" s="1274"/>
      <c r="AY133" s="1274"/>
      <c r="AZ133" s="1274"/>
    </row>
    <row r="134" spans="1:52" s="1207" customFormat="1" ht="12.75" customHeight="1">
      <c r="A134" s="1211"/>
      <c r="B134" s="1211"/>
      <c r="C134" s="1211"/>
      <c r="D134" s="1211"/>
      <c r="E134" s="1282"/>
      <c r="F134" s="1283"/>
      <c r="G134" s="1283"/>
      <c r="H134" s="1283"/>
      <c r="I134" s="1283"/>
      <c r="J134" s="1283"/>
      <c r="K134" s="1283"/>
      <c r="L134" s="1283"/>
      <c r="M134" s="1283"/>
      <c r="N134" s="1283"/>
      <c r="O134" s="1283"/>
      <c r="P134" s="1283"/>
      <c r="Q134" s="1283"/>
      <c r="R134" s="1283"/>
      <c r="S134" s="1283"/>
      <c r="T134" s="1283"/>
      <c r="U134" s="1283"/>
      <c r="V134" s="1283"/>
      <c r="W134" s="1283"/>
      <c r="X134" s="1283"/>
      <c r="Y134" s="1283"/>
      <c r="Z134" s="1283"/>
      <c r="AA134" s="1283"/>
      <c r="AB134" s="1283"/>
      <c r="AC134" s="1283"/>
      <c r="AD134" s="1283"/>
      <c r="AE134" s="1283"/>
      <c r="AF134" s="1283"/>
      <c r="AG134" s="1283"/>
      <c r="AH134" s="1283"/>
      <c r="AI134" s="1283"/>
      <c r="AJ134" s="1284"/>
      <c r="AK134" s="1211"/>
      <c r="AL134" s="1211"/>
      <c r="AM134" s="1211"/>
      <c r="AN134" s="1206"/>
      <c r="AT134" s="1285"/>
      <c r="AU134" s="1274"/>
      <c r="AV134" s="1274"/>
      <c r="AW134" s="1276"/>
      <c r="AX134" s="1274"/>
      <c r="AY134" s="1274"/>
      <c r="AZ134" s="1274"/>
    </row>
    <row r="135" spans="1:52" s="1207" customFormat="1" ht="12.75" customHeight="1">
      <c r="A135" s="1211"/>
      <c r="B135" s="1211"/>
      <c r="C135" s="1211"/>
      <c r="D135" s="1211"/>
      <c r="E135" s="1211"/>
      <c r="F135" s="1211"/>
      <c r="G135" s="1211"/>
      <c r="H135" s="1211"/>
      <c r="I135" s="1211"/>
      <c r="J135" s="1211"/>
      <c r="K135" s="1211"/>
      <c r="L135" s="1211"/>
      <c r="M135" s="1211"/>
      <c r="N135" s="1211"/>
      <c r="O135" s="1211"/>
      <c r="P135" s="1211"/>
      <c r="Q135" s="1211"/>
      <c r="R135" s="1211"/>
      <c r="S135" s="1211"/>
      <c r="T135" s="1211"/>
      <c r="U135" s="1211"/>
      <c r="V135" s="1211"/>
      <c r="W135" s="1211"/>
      <c r="X135" s="1211"/>
      <c r="Y135" s="1211"/>
      <c r="Z135" s="1211"/>
      <c r="AA135" s="1211"/>
      <c r="AB135" s="1211"/>
      <c r="AC135" s="1211"/>
      <c r="AD135" s="1211"/>
      <c r="AE135" s="1211"/>
      <c r="AF135" s="1211"/>
      <c r="AG135" s="1211"/>
      <c r="AH135" s="1211"/>
      <c r="AI135" s="1211"/>
      <c r="AJ135" s="1211"/>
      <c r="AK135" s="1211"/>
      <c r="AL135" s="1211"/>
      <c r="AM135" s="1211"/>
      <c r="AN135" s="1206"/>
      <c r="AU135" s="1274"/>
      <c r="AV135" s="1274"/>
      <c r="AW135" s="1274"/>
      <c r="AX135" s="1274"/>
      <c r="AY135" s="1274"/>
      <c r="AZ135" s="1274"/>
    </row>
    <row r="136" spans="1:52" s="1207" customFormat="1" ht="12.75" customHeight="1">
      <c r="A136" s="1211"/>
      <c r="B136" s="1211"/>
      <c r="C136" s="1211"/>
      <c r="D136" s="1211"/>
      <c r="E136" s="1211"/>
      <c r="F136" s="1211"/>
      <c r="G136" s="1211"/>
      <c r="H136" s="1211"/>
      <c r="I136" s="1211"/>
      <c r="J136" s="1211"/>
      <c r="K136" s="1211"/>
      <c r="L136" s="1211"/>
      <c r="M136" s="1211"/>
      <c r="N136" s="1211"/>
      <c r="O136" s="1211"/>
      <c r="P136" s="1211"/>
      <c r="Q136" s="1211"/>
      <c r="R136" s="1211"/>
      <c r="S136" s="1211"/>
      <c r="T136" s="1211"/>
      <c r="U136" s="1211"/>
      <c r="V136" s="1211"/>
      <c r="W136" s="1211"/>
      <c r="X136" s="1211"/>
      <c r="Y136" s="1211"/>
      <c r="Z136" s="1211"/>
      <c r="AA136" s="1211"/>
      <c r="AB136" s="1211"/>
      <c r="AC136" s="1211"/>
      <c r="AD136" s="1211"/>
      <c r="AE136" s="1211"/>
      <c r="AF136" s="1211"/>
      <c r="AG136" s="1211"/>
      <c r="AH136" s="1211"/>
      <c r="AI136" s="1211"/>
      <c r="AJ136" s="1211"/>
      <c r="AK136" s="1211"/>
      <c r="AL136" s="1211"/>
      <c r="AM136" s="1211"/>
      <c r="AN136" s="1206"/>
    </row>
    <row r="137" spans="1:52" s="1207" customFormat="1" ht="12.75" customHeight="1">
      <c r="A137" s="1235"/>
      <c r="B137" s="1236"/>
      <c r="C137" s="1236"/>
      <c r="D137" s="1236"/>
      <c r="E137" s="1236"/>
      <c r="F137" s="1236"/>
      <c r="G137" s="1237"/>
      <c r="H137" s="1238"/>
      <c r="I137" s="1238"/>
      <c r="J137" s="1238"/>
      <c r="K137" s="1238"/>
      <c r="L137" s="1238"/>
      <c r="M137" s="1238"/>
      <c r="N137" s="1238"/>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9"/>
      <c r="AJ137" s="1239" t="s">
        <v>1526</v>
      </c>
      <c r="AK137" s="2631">
        <f>E133</f>
        <v>10</v>
      </c>
      <c r="AL137" s="2632"/>
      <c r="AM137" s="2633"/>
      <c r="AN137" s="1206"/>
    </row>
    <row r="138" spans="1:52" s="1207" customFormat="1" ht="12.75" customHeight="1" thickBot="1">
      <c r="A138" s="1240"/>
      <c r="B138" s="1241"/>
      <c r="C138" s="1242"/>
      <c r="D138" s="1242"/>
      <c r="E138" s="1242"/>
      <c r="F138" s="1242"/>
      <c r="G138" s="1242"/>
      <c r="H138" s="1242"/>
      <c r="I138" s="1242"/>
      <c r="J138" s="1242"/>
      <c r="K138" s="1242"/>
      <c r="L138" s="1242"/>
      <c r="M138" s="1242"/>
      <c r="N138" s="1242"/>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3"/>
      <c r="AN138" s="1206"/>
    </row>
    <row r="139" spans="1:52" s="1207" customFormat="1" ht="12.75" customHeight="1" thickTop="1">
      <c r="B139" s="914"/>
      <c r="C139" s="915"/>
      <c r="D139" s="915"/>
      <c r="E139" s="915"/>
      <c r="F139" s="915"/>
      <c r="G139" s="915"/>
      <c r="H139" s="915"/>
      <c r="I139" s="1244"/>
      <c r="J139" s="1244"/>
      <c r="K139" s="1244"/>
      <c r="L139" s="1244"/>
      <c r="M139" s="1244"/>
      <c r="N139" s="1244"/>
      <c r="O139" s="1244"/>
      <c r="P139" s="1244"/>
      <c r="Q139" s="1244"/>
      <c r="S139" s="1210"/>
      <c r="T139" s="1210"/>
      <c r="U139" s="1210"/>
      <c r="V139" s="1210"/>
      <c r="W139" s="1210"/>
      <c r="X139" s="1210"/>
      <c r="Y139" s="1210"/>
      <c r="Z139" s="1210"/>
      <c r="AA139" s="1210"/>
      <c r="AB139" s="1210"/>
      <c r="AC139" s="1210"/>
      <c r="AD139" s="1210"/>
      <c r="AE139" s="1210"/>
      <c r="AG139" s="1210"/>
      <c r="AH139" s="1210"/>
      <c r="AI139" s="1210"/>
      <c r="AJ139" s="1210"/>
      <c r="AK139" s="1222"/>
      <c r="AL139" s="1222"/>
      <c r="AM139" s="1222"/>
      <c r="AN139" s="1206"/>
    </row>
    <row r="140" spans="1:52" s="1210" customFormat="1" ht="12.75" customHeight="1">
      <c r="A140" s="1209" t="s">
        <v>1527</v>
      </c>
      <c r="AE140" s="2491" t="s">
        <v>1505</v>
      </c>
      <c r="AF140" s="2491"/>
      <c r="AG140" s="2491"/>
      <c r="AH140" s="2491"/>
      <c r="AI140" s="2491"/>
      <c r="AJ140" s="2491"/>
      <c r="AK140" s="2491"/>
      <c r="AL140" s="1286"/>
      <c r="AN140" s="1287"/>
      <c r="AO140" s="1207"/>
    </row>
    <row r="141" spans="1:52" s="1210" customFormat="1" ht="12.9" customHeight="1">
      <c r="A141" s="1209"/>
      <c r="AE141" s="1286"/>
      <c r="AF141" s="1286"/>
      <c r="AG141" s="1286"/>
      <c r="AH141" s="1286"/>
      <c r="AI141" s="1286"/>
      <c r="AJ141" s="1286"/>
      <c r="AK141" s="1286"/>
      <c r="AL141" s="1286"/>
      <c r="AN141" s="1287"/>
    </row>
    <row r="142" spans="1:52" s="1207" customFormat="1" ht="12.75" customHeight="1">
      <c r="A142" s="1209"/>
      <c r="B142" s="1209" t="s">
        <v>1528</v>
      </c>
      <c r="C142" s="1210"/>
      <c r="D142" s="1210"/>
      <c r="E142" s="1210"/>
      <c r="F142" s="1210"/>
      <c r="G142" s="1210"/>
      <c r="H142" s="1210"/>
      <c r="I142" s="1210"/>
      <c r="J142" s="1210"/>
      <c r="K142" s="1210"/>
      <c r="L142" s="1210"/>
      <c r="M142" s="1210"/>
      <c r="N142" s="1210"/>
      <c r="O142" s="1210"/>
      <c r="P142" s="1210"/>
      <c r="Q142" s="1210"/>
      <c r="R142" s="1210"/>
      <c r="S142" s="1210"/>
      <c r="T142" s="1210"/>
      <c r="U142" s="1210"/>
      <c r="V142" s="1210"/>
      <c r="W142" s="1210"/>
      <c r="X142" s="1210"/>
      <c r="Y142" s="1210"/>
      <c r="Z142" s="1210"/>
      <c r="AA142" s="1210"/>
      <c r="AB142" s="1210"/>
      <c r="AC142" s="1210"/>
      <c r="AD142" s="1210"/>
      <c r="AF142" s="2476" t="s">
        <v>1529</v>
      </c>
      <c r="AG142" s="2476"/>
      <c r="AH142" s="2476"/>
      <c r="AI142" s="2476"/>
      <c r="AJ142" s="2476"/>
      <c r="AK142" s="2476"/>
      <c r="AL142" s="2476"/>
      <c r="AM142" s="1210"/>
      <c r="AN142" s="1206"/>
    </row>
    <row r="143" spans="1:52" s="1207" customFormat="1" ht="12.75" customHeight="1">
      <c r="A143" s="1209"/>
      <c r="B143" s="1209" t="s">
        <v>556</v>
      </c>
      <c r="C143" s="1288"/>
      <c r="D143" s="1288"/>
      <c r="E143" s="1288"/>
      <c r="F143" s="1288"/>
      <c r="G143" s="1288"/>
      <c r="H143" s="1288"/>
      <c r="I143" s="1288"/>
      <c r="J143" s="1288"/>
      <c r="K143" s="1288"/>
      <c r="L143" s="1288"/>
      <c r="M143" s="1288"/>
      <c r="N143" s="1288"/>
      <c r="O143" s="1288"/>
      <c r="P143" s="1288"/>
      <c r="Q143" s="1288"/>
      <c r="R143" s="1288"/>
      <c r="S143" s="1288"/>
      <c r="T143" s="1288"/>
      <c r="U143" s="1288"/>
      <c r="V143" s="1288"/>
      <c r="W143" s="1288"/>
      <c r="X143" s="1288"/>
      <c r="Y143" s="1288"/>
      <c r="Z143" s="1288"/>
      <c r="AA143" s="1288"/>
      <c r="AB143" s="1288"/>
      <c r="AC143" s="1288"/>
      <c r="AD143" s="1210"/>
      <c r="AL143" s="1289"/>
      <c r="AM143" s="1210"/>
      <c r="AN143" s="1206"/>
    </row>
    <row r="144" spans="1:52" s="1207" customFormat="1" ht="15" customHeight="1">
      <c r="A144" s="1209"/>
      <c r="B144" s="2629" t="s">
        <v>2483</v>
      </c>
      <c r="C144" s="2629"/>
      <c r="D144" s="2629"/>
      <c r="E144" s="2629"/>
      <c r="F144" s="2629"/>
      <c r="G144" s="2629"/>
      <c r="H144" s="2629"/>
      <c r="I144" s="2629"/>
      <c r="J144" s="2629"/>
      <c r="K144" s="2629"/>
      <c r="L144" s="2629"/>
      <c r="M144" s="2629"/>
      <c r="N144" s="2629"/>
      <c r="O144" s="2629"/>
      <c r="P144" s="2629"/>
      <c r="Q144" s="2629"/>
      <c r="R144" s="2629"/>
      <c r="S144" s="2629"/>
      <c r="T144" s="2629"/>
      <c r="U144" s="2629"/>
      <c r="V144" s="2629"/>
      <c r="W144" s="2629"/>
      <c r="X144" s="2629"/>
      <c r="Y144" s="2629"/>
      <c r="Z144" s="2629"/>
      <c r="AA144" s="2629"/>
      <c r="AB144" s="2629"/>
      <c r="AC144" s="2629"/>
      <c r="AD144" s="1210"/>
      <c r="AE144" s="1289"/>
      <c r="AF144" s="1289"/>
      <c r="AG144" s="1289"/>
      <c r="AH144" s="1289"/>
      <c r="AI144" s="1289"/>
      <c r="AJ144" s="1289"/>
      <c r="AK144" s="1289"/>
      <c r="AL144" s="1289"/>
      <c r="AM144" s="1210"/>
      <c r="AN144" s="1206"/>
      <c r="AP144" s="1267"/>
    </row>
    <row r="145" spans="1:42" s="1207" customFormat="1" ht="12.75" customHeight="1">
      <c r="A145" s="1209"/>
      <c r="B145" s="1209"/>
      <c r="C145" s="1210"/>
      <c r="D145" s="1210"/>
      <c r="E145" s="1210"/>
      <c r="F145" s="1210"/>
      <c r="G145" s="1210"/>
      <c r="H145" s="1210"/>
      <c r="I145" s="1210"/>
      <c r="J145" s="1210"/>
      <c r="K145" s="1210"/>
      <c r="L145" s="1210"/>
      <c r="M145" s="1210"/>
      <c r="N145" s="1210"/>
      <c r="O145" s="1210"/>
      <c r="P145" s="1210"/>
      <c r="Q145" s="1210"/>
      <c r="R145" s="1210"/>
      <c r="S145" s="1210"/>
      <c r="T145" s="1210"/>
      <c r="U145" s="1210"/>
      <c r="V145" s="1210"/>
      <c r="W145" s="1210"/>
      <c r="X145" s="1210"/>
      <c r="Y145" s="1210"/>
      <c r="Z145" s="1210"/>
      <c r="AA145" s="1210"/>
      <c r="AB145" s="1210"/>
      <c r="AC145" s="1210"/>
      <c r="AD145" s="1210"/>
      <c r="AE145" s="1289"/>
      <c r="AF145" s="1289"/>
      <c r="AG145" s="1289"/>
      <c r="AH145" s="1289"/>
      <c r="AI145" s="1289"/>
      <c r="AJ145" s="1289"/>
      <c r="AK145" s="1289"/>
      <c r="AL145" s="1289"/>
      <c r="AM145" s="1210"/>
      <c r="AN145" s="1206"/>
      <c r="AO145" s="1216" t="s">
        <v>312</v>
      </c>
      <c r="AP145" s="1217"/>
    </row>
    <row r="146" spans="1:42" s="1207" customFormat="1" ht="12.75" customHeight="1">
      <c r="A146" s="1209"/>
      <c r="B146" s="1210" t="s">
        <v>1530</v>
      </c>
      <c r="C146" s="1210"/>
      <c r="D146" s="1210"/>
      <c r="E146" s="1210"/>
      <c r="F146" s="1210"/>
      <c r="G146" s="1210"/>
      <c r="H146" s="1210"/>
      <c r="I146" s="1210"/>
      <c r="J146" s="1210"/>
      <c r="K146" s="1210"/>
      <c r="L146" s="1210"/>
      <c r="M146" s="1210"/>
      <c r="N146" s="1210"/>
      <c r="O146" s="1210"/>
      <c r="P146" s="1210"/>
      <c r="Q146" s="1210"/>
      <c r="R146" s="1210"/>
      <c r="S146" s="1210"/>
      <c r="T146" s="1210"/>
      <c r="U146" s="1210"/>
      <c r="V146" s="1210"/>
      <c r="W146" s="1210"/>
      <c r="X146" s="1210"/>
      <c r="Y146" s="1210"/>
      <c r="Z146" s="1210"/>
      <c r="AA146" s="1210"/>
      <c r="AB146" s="1210"/>
      <c r="AC146" s="1210"/>
      <c r="AD146" s="1210"/>
      <c r="AE146" s="1210"/>
      <c r="AF146" s="1210"/>
      <c r="AG146" s="1210"/>
      <c r="AH146" s="1210"/>
      <c r="AI146" s="1210"/>
      <c r="AJ146" s="1210"/>
      <c r="AK146" s="1210"/>
      <c r="AL146" s="1210"/>
      <c r="AM146" s="1210"/>
      <c r="AN146" s="1206"/>
      <c r="AO146" s="1085" t="s">
        <v>1531</v>
      </c>
      <c r="AP146" s="1290">
        <v>5</v>
      </c>
    </row>
    <row r="147" spans="1:42" s="1207" customFormat="1" ht="12.75" customHeight="1">
      <c r="A147" s="1209"/>
      <c r="B147" s="2630" t="s">
        <v>1532</v>
      </c>
      <c r="C147" s="2630"/>
      <c r="D147" s="2630"/>
      <c r="E147" s="2630"/>
      <c r="F147" s="2630"/>
      <c r="G147" s="2630"/>
      <c r="H147" s="2630"/>
      <c r="I147" s="2630"/>
      <c r="J147" s="2630"/>
      <c r="K147" s="2630"/>
      <c r="L147" s="2630"/>
      <c r="M147" s="2630"/>
      <c r="N147" s="2630"/>
      <c r="O147" s="2630"/>
      <c r="P147" s="2630"/>
      <c r="Q147" s="2630"/>
      <c r="R147" s="2630"/>
      <c r="S147" s="2630"/>
      <c r="T147" s="2630"/>
      <c r="U147" s="2630"/>
      <c r="V147" s="2630"/>
      <c r="W147" s="2630"/>
      <c r="X147" s="2630"/>
      <c r="Y147" s="2630"/>
      <c r="Z147" s="2630"/>
      <c r="AA147" s="2630"/>
      <c r="AB147" s="2630"/>
      <c r="AC147" s="2630"/>
      <c r="AD147" s="2630"/>
      <c r="AE147" s="2630"/>
      <c r="AF147" s="2630"/>
      <c r="AG147" s="2630"/>
      <c r="AH147" s="2630"/>
      <c r="AI147" s="2630"/>
      <c r="AM147" s="1210"/>
      <c r="AN147" s="1206"/>
      <c r="AO147" s="1085" t="s">
        <v>1532</v>
      </c>
      <c r="AP147" s="1290">
        <v>7</v>
      </c>
    </row>
    <row r="148" spans="1:42" s="1207" customFormat="1" ht="12.9" customHeight="1">
      <c r="A148" s="1209"/>
      <c r="B148" s="1288"/>
      <c r="C148" s="1288"/>
      <c r="D148" s="1288"/>
      <c r="E148" s="1288"/>
      <c r="F148" s="1288"/>
      <c r="G148" s="1288"/>
      <c r="H148" s="1288"/>
      <c r="I148" s="1288"/>
      <c r="J148" s="1288"/>
      <c r="K148" s="1288"/>
      <c r="L148" s="1288"/>
      <c r="M148" s="1288"/>
      <c r="N148" s="1288"/>
      <c r="O148" s="1288"/>
      <c r="P148" s="1288"/>
      <c r="Q148" s="1288"/>
      <c r="R148" s="1288"/>
      <c r="S148" s="1288"/>
      <c r="T148" s="1288"/>
      <c r="U148" s="1288"/>
      <c r="V148" s="1288"/>
      <c r="W148" s="1288"/>
      <c r="X148" s="1288"/>
      <c r="Y148" s="1288"/>
      <c r="Z148" s="1288"/>
      <c r="AA148" s="1288"/>
      <c r="AB148" s="1288"/>
      <c r="AC148" s="1288"/>
      <c r="AD148" s="1286"/>
      <c r="AM148" s="1210"/>
      <c r="AN148" s="1206"/>
      <c r="AO148" s="1085" t="s">
        <v>2707</v>
      </c>
      <c r="AP148" s="1290">
        <v>7</v>
      </c>
    </row>
    <row r="149" spans="1:42" s="1207" customFormat="1" ht="12.75" customHeight="1">
      <c r="A149" s="1209"/>
      <c r="B149" s="1210" t="s">
        <v>1533</v>
      </c>
      <c r="AB149" s="2482" t="s">
        <v>616</v>
      </c>
      <c r="AC149" s="2482"/>
      <c r="AD149" s="1286"/>
      <c r="AM149" s="1210"/>
      <c r="AN149" s="1206"/>
      <c r="AO149" s="1085"/>
      <c r="AP149" s="1085"/>
    </row>
    <row r="150" spans="1:42" s="1207" customFormat="1" ht="9" customHeight="1">
      <c r="A150" s="1209"/>
      <c r="B150" s="1288"/>
      <c r="C150" s="1288"/>
      <c r="D150" s="1288"/>
      <c r="E150" s="1288"/>
      <c r="F150" s="1288"/>
      <c r="G150" s="1288"/>
      <c r="H150" s="1288"/>
      <c r="I150" s="1288"/>
      <c r="J150" s="1288"/>
      <c r="K150" s="1288"/>
      <c r="L150" s="1288"/>
      <c r="M150" s="1288"/>
      <c r="N150" s="1288"/>
      <c r="O150" s="1288"/>
      <c r="P150" s="1288"/>
      <c r="Q150" s="1288"/>
      <c r="R150" s="1288"/>
      <c r="S150" s="1288"/>
      <c r="T150" s="1288"/>
      <c r="U150" s="1288"/>
      <c r="V150" s="1288"/>
      <c r="W150" s="1288"/>
      <c r="X150" s="1288"/>
      <c r="Y150" s="1288"/>
      <c r="Z150" s="1288"/>
      <c r="AA150" s="1288"/>
      <c r="AB150" s="1288"/>
      <c r="AC150" s="1288"/>
      <c r="AD150" s="1286"/>
      <c r="AM150" s="1210"/>
      <c r="AN150" s="1206"/>
      <c r="AO150" s="1216" t="s">
        <v>1534</v>
      </c>
      <c r="AP150" s="1290"/>
    </row>
    <row r="151" spans="1:42" s="1207" customFormat="1" ht="12.75" customHeight="1">
      <c r="A151" s="1209"/>
      <c r="B151" s="1209" t="s">
        <v>1535</v>
      </c>
      <c r="C151" s="1288"/>
      <c r="D151" s="1288"/>
      <c r="E151" s="1288"/>
      <c r="F151" s="1288"/>
      <c r="G151" s="1288"/>
      <c r="H151" s="1288"/>
      <c r="I151" s="1288"/>
      <c r="J151" s="1288"/>
      <c r="K151" s="1288"/>
      <c r="L151" s="1288"/>
      <c r="M151" s="1288"/>
      <c r="N151" s="1288"/>
      <c r="O151" s="1288"/>
      <c r="P151" s="1288"/>
      <c r="Q151" s="1288"/>
      <c r="R151" s="1288"/>
      <c r="S151" s="1288"/>
      <c r="T151" s="1288"/>
      <c r="U151" s="1288"/>
      <c r="V151" s="1288"/>
      <c r="W151" s="1288"/>
      <c r="X151" s="1288"/>
      <c r="Y151" s="1288"/>
      <c r="Z151" s="1288"/>
      <c r="AA151" s="1288"/>
      <c r="AB151" s="1288"/>
      <c r="AC151" s="1288"/>
      <c r="AD151" s="1286"/>
      <c r="AM151" s="1210"/>
      <c r="AN151" s="1206"/>
      <c r="AO151" s="1085" t="s">
        <v>1536</v>
      </c>
      <c r="AP151" s="1290">
        <v>5</v>
      </c>
    </row>
    <row r="152" spans="1:42" s="1207" customFormat="1" ht="12.75" customHeight="1">
      <c r="A152" s="1209"/>
      <c r="B152" s="2630" t="s">
        <v>1534</v>
      </c>
      <c r="C152" s="2630"/>
      <c r="D152" s="2630"/>
      <c r="E152" s="2630"/>
      <c r="F152" s="2630"/>
      <c r="G152" s="2630"/>
      <c r="H152" s="2630"/>
      <c r="I152" s="2630"/>
      <c r="J152" s="2630"/>
      <c r="K152" s="2630"/>
      <c r="L152" s="2630"/>
      <c r="M152" s="2630"/>
      <c r="N152" s="2630"/>
      <c r="O152" s="2630"/>
      <c r="P152" s="2630"/>
      <c r="Q152" s="2630"/>
      <c r="R152" s="2630"/>
      <c r="S152" s="2630"/>
      <c r="T152" s="2630"/>
      <c r="U152" s="2630"/>
      <c r="V152" s="2630"/>
      <c r="W152" s="2630"/>
      <c r="X152" s="2630"/>
      <c r="Y152" s="2630"/>
      <c r="Z152" s="2630"/>
      <c r="AA152" s="2630"/>
      <c r="AB152" s="2630"/>
      <c r="AC152" s="2630"/>
      <c r="AD152" s="2630"/>
      <c r="AE152" s="2630"/>
      <c r="AF152" s="2630"/>
      <c r="AG152" s="2630"/>
      <c r="AH152" s="2630"/>
      <c r="AI152" s="2630"/>
      <c r="AJ152" s="2630"/>
      <c r="AN152" s="1206"/>
      <c r="AO152" s="1085" t="s">
        <v>1537</v>
      </c>
      <c r="AP152" s="1290">
        <v>7</v>
      </c>
    </row>
    <row r="153" spans="1:42" s="1207" customFormat="1" ht="12.75" customHeight="1">
      <c r="B153" s="1210" t="s">
        <v>1538</v>
      </c>
      <c r="C153" s="1288"/>
      <c r="D153" s="1288"/>
      <c r="E153" s="1288"/>
      <c r="F153" s="1288"/>
      <c r="G153" s="1288"/>
      <c r="H153" s="1288"/>
      <c r="I153" s="1288"/>
      <c r="J153" s="1288"/>
      <c r="K153" s="1288"/>
      <c r="L153" s="1288"/>
      <c r="M153" s="1288"/>
      <c r="N153" s="1288"/>
      <c r="O153" s="1288"/>
      <c r="P153" s="1288"/>
      <c r="Q153" s="1288"/>
      <c r="R153" s="1288"/>
      <c r="S153" s="1288"/>
      <c r="T153" s="1288"/>
      <c r="U153" s="1288"/>
      <c r="AM153" s="1210"/>
      <c r="AN153" s="1206"/>
      <c r="AO153" s="1085"/>
      <c r="AP153" s="1290"/>
    </row>
    <row r="154" spans="1:42" s="1207" customFormat="1" ht="12.75" customHeight="1">
      <c r="AM154" s="1210"/>
      <c r="AN154" s="1206"/>
    </row>
    <row r="155" spans="1:42" s="1222" customFormat="1" ht="12.75" customHeight="1">
      <c r="A155" s="1291"/>
      <c r="B155" s="1292"/>
      <c r="C155" s="1292"/>
      <c r="D155" s="1292"/>
      <c r="E155" s="1292"/>
      <c r="F155" s="1292"/>
      <c r="G155" s="1292"/>
      <c r="H155" s="1292"/>
      <c r="I155" s="1292"/>
      <c r="J155" s="1292"/>
      <c r="K155" s="1292"/>
      <c r="L155" s="1292"/>
      <c r="M155" s="1292"/>
      <c r="N155" s="1292"/>
      <c r="O155" s="1292"/>
      <c r="P155" s="1292"/>
      <c r="Q155" s="1292"/>
      <c r="R155" s="1292"/>
      <c r="S155" s="1292"/>
      <c r="T155" s="1292"/>
      <c r="U155" s="1292"/>
      <c r="V155" s="1292"/>
      <c r="W155" s="1292"/>
      <c r="X155" s="1292"/>
      <c r="Y155" s="1292"/>
      <c r="Z155" s="1292"/>
      <c r="AA155" s="1292"/>
      <c r="AB155" s="1292"/>
      <c r="AC155" s="1292"/>
      <c r="AD155" s="1292"/>
      <c r="AE155" s="1292"/>
      <c r="AF155" s="1292"/>
      <c r="AG155" s="1292"/>
      <c r="AH155" s="1292"/>
      <c r="AI155" s="1239" t="s">
        <v>1540</v>
      </c>
      <c r="AJ155" s="2436">
        <f>IF($AB$149="N/A",VLOOKUP($B$147,$AO$145:$AP$148,2,FALSE),VLOOKUP($B$152,$AO$150:$AP$153,2,FALSE))</f>
        <v>7</v>
      </c>
      <c r="AK155" s="2436"/>
      <c r="AL155" s="1267"/>
      <c r="AM155" s="1207"/>
      <c r="AN155" s="1293"/>
    </row>
    <row r="156" spans="1:42" s="1222" customFormat="1" ht="12.75" customHeight="1">
      <c r="A156" s="1267"/>
      <c r="B156" s="1267"/>
      <c r="C156" s="1207"/>
      <c r="D156" s="1207"/>
      <c r="E156" s="1207"/>
      <c r="F156" s="1207"/>
      <c r="G156" s="1207"/>
      <c r="H156" s="1207"/>
      <c r="I156" s="1207"/>
      <c r="J156" s="1207"/>
      <c r="K156" s="1207"/>
      <c r="L156" s="1207"/>
      <c r="M156" s="1207"/>
      <c r="N156" s="1207"/>
      <c r="O156" s="1207"/>
      <c r="P156" s="1207"/>
      <c r="Q156" s="1207"/>
      <c r="R156" s="1207"/>
      <c r="S156" s="1207"/>
      <c r="T156" s="1207"/>
      <c r="U156" s="1207"/>
      <c r="V156" s="1207"/>
      <c r="W156" s="1207"/>
      <c r="X156" s="1207"/>
      <c r="Y156" s="1207"/>
      <c r="Z156" s="1207"/>
      <c r="AA156" s="1207"/>
      <c r="AB156" s="1207"/>
      <c r="AC156" s="1207"/>
      <c r="AD156" s="1207"/>
      <c r="AE156" s="1207"/>
      <c r="AF156" s="1207"/>
      <c r="AG156" s="1207"/>
      <c r="AH156" s="1207"/>
      <c r="AI156" s="1207"/>
      <c r="AJ156" s="1207"/>
      <c r="AK156" s="1207"/>
      <c r="AL156" s="1207"/>
      <c r="AM156" s="1207"/>
      <c r="AN156" s="1293"/>
    </row>
    <row r="157" spans="1:42" s="1222" customFormat="1" ht="12.75" customHeight="1">
      <c r="A157" s="1207"/>
      <c r="B157" s="1209" t="s">
        <v>1542</v>
      </c>
      <c r="C157" s="1210"/>
      <c r="D157" s="1207"/>
      <c r="E157" s="1294"/>
      <c r="F157" s="1294"/>
      <c r="G157" s="1294"/>
      <c r="H157" s="1294"/>
      <c r="I157" s="1294"/>
      <c r="J157" s="1294"/>
      <c r="K157" s="1294"/>
      <c r="L157" s="1294"/>
      <c r="M157" s="1294"/>
      <c r="N157" s="1294"/>
      <c r="O157" s="1294"/>
      <c r="P157" s="1294"/>
      <c r="Q157" s="1294"/>
      <c r="R157" s="1294"/>
      <c r="S157" s="1294"/>
      <c r="T157" s="1294"/>
      <c r="U157" s="1294"/>
      <c r="V157" s="1294"/>
      <c r="W157" s="1294"/>
      <c r="X157" s="1294"/>
      <c r="Y157" s="1294"/>
      <c r="Z157" s="1294"/>
      <c r="AA157" s="1294"/>
      <c r="AB157" s="1294"/>
      <c r="AC157" s="1294"/>
      <c r="AD157" s="1294"/>
      <c r="AE157" s="1207"/>
      <c r="AF157" s="2476" t="s">
        <v>1543</v>
      </c>
      <c r="AG157" s="2476"/>
      <c r="AH157" s="2476"/>
      <c r="AI157" s="2476"/>
      <c r="AJ157" s="2476"/>
      <c r="AK157" s="2476"/>
      <c r="AL157" s="2476"/>
      <c r="AM157" s="1295"/>
      <c r="AN157" s="1293"/>
    </row>
    <row r="158" spans="1:42" s="1222" customFormat="1" ht="12.75" customHeight="1">
      <c r="A158" s="1207"/>
      <c r="B158" s="1210" t="s">
        <v>1544</v>
      </c>
      <c r="C158" s="1207"/>
      <c r="D158" s="1207"/>
      <c r="E158" s="1207"/>
      <c r="F158" s="1207"/>
      <c r="G158" s="1207"/>
      <c r="H158" s="1207"/>
      <c r="I158" s="1207"/>
      <c r="J158" s="1207"/>
      <c r="K158" s="1207"/>
      <c r="L158" s="1207"/>
      <c r="M158" s="1207"/>
      <c r="N158" s="1207"/>
      <c r="O158" s="1207"/>
      <c r="P158" s="1207"/>
      <c r="Q158" s="1207"/>
      <c r="R158" s="1207"/>
      <c r="S158" s="1207"/>
      <c r="T158" s="1207"/>
      <c r="U158" s="1207"/>
      <c r="V158" s="1207"/>
      <c r="W158" s="1207"/>
      <c r="X158" s="1207"/>
      <c r="Y158" s="1207"/>
      <c r="Z158" s="1207"/>
      <c r="AA158" s="1210"/>
      <c r="AB158" s="1210"/>
      <c r="AC158" s="1210"/>
      <c r="AD158" s="1210"/>
      <c r="AE158" s="1207"/>
      <c r="AF158" s="1207"/>
      <c r="AG158" s="1207"/>
      <c r="AH158" s="1207"/>
      <c r="AI158" s="1207"/>
      <c r="AJ158" s="1207"/>
      <c r="AK158" s="1207"/>
      <c r="AL158" s="1207"/>
      <c r="AM158" s="1295"/>
      <c r="AN158" s="1293"/>
    </row>
    <row r="159" spans="1:42" s="1222" customFormat="1" ht="12.75" customHeight="1">
      <c r="A159" s="1207"/>
      <c r="B159" s="1207"/>
      <c r="C159" s="2630" t="s">
        <v>1541</v>
      </c>
      <c r="D159" s="2630"/>
      <c r="E159" s="2630"/>
      <c r="F159" s="2630"/>
      <c r="G159" s="2630"/>
      <c r="H159" s="2630"/>
      <c r="I159" s="2630"/>
      <c r="J159" s="2630"/>
      <c r="K159" s="2630"/>
      <c r="L159" s="2630"/>
      <c r="M159" s="2630"/>
      <c r="N159" s="2630"/>
      <c r="O159" s="2630"/>
      <c r="P159" s="2630"/>
      <c r="Q159" s="2630"/>
      <c r="R159" s="2630"/>
      <c r="S159" s="2630"/>
      <c r="T159" s="2630"/>
      <c r="U159" s="2630"/>
      <c r="V159" s="2630"/>
      <c r="W159" s="2630"/>
      <c r="X159" s="2630"/>
      <c r="Y159" s="2630"/>
      <c r="Z159" s="2630"/>
      <c r="AA159" s="2630"/>
      <c r="AB159" s="2630"/>
      <c r="AC159" s="2630"/>
      <c r="AD159" s="2630"/>
      <c r="AE159" s="2630"/>
      <c r="AF159" s="2630"/>
      <c r="AG159" s="2630"/>
      <c r="AH159" s="2630"/>
      <c r="AI159" s="2630"/>
      <c r="AJ159" s="1207"/>
      <c r="AK159" s="1207"/>
      <c r="AL159" s="1207"/>
      <c r="AM159" s="1295"/>
      <c r="AN159" s="1296"/>
      <c r="AO159" s="1085" t="s">
        <v>312</v>
      </c>
      <c r="AP159" s="1085"/>
    </row>
    <row r="160" spans="1:42" s="1222" customFormat="1" ht="12.9" customHeight="1">
      <c r="A160" s="1207"/>
      <c r="B160" s="1207"/>
      <c r="C160" s="1288"/>
      <c r="D160" s="1288"/>
      <c r="E160" s="1288"/>
      <c r="F160" s="1288"/>
      <c r="G160" s="1288"/>
      <c r="H160" s="1288"/>
      <c r="I160" s="1288"/>
      <c r="J160" s="1288"/>
      <c r="K160" s="1288"/>
      <c r="L160" s="1288"/>
      <c r="M160" s="1288"/>
      <c r="N160" s="1288"/>
      <c r="O160" s="1288"/>
      <c r="P160" s="1288"/>
      <c r="Q160" s="1288"/>
      <c r="R160" s="1288"/>
      <c r="S160" s="1288"/>
      <c r="T160" s="1288"/>
      <c r="U160" s="1288"/>
      <c r="V160" s="1288"/>
      <c r="W160" s="1288"/>
      <c r="X160" s="1288"/>
      <c r="Y160" s="1288"/>
      <c r="Z160" s="1288"/>
      <c r="AA160" s="1288"/>
      <c r="AB160" s="1288"/>
      <c r="AC160" s="1288"/>
      <c r="AD160" s="1288"/>
      <c r="AE160" s="1207"/>
      <c r="AF160" s="1207"/>
      <c r="AG160" s="1207"/>
      <c r="AH160" s="1207"/>
      <c r="AI160" s="1207"/>
      <c r="AJ160" s="1207"/>
      <c r="AK160" s="1207"/>
      <c r="AL160" s="1207"/>
      <c r="AM160" s="1295"/>
      <c r="AN160" s="1296"/>
      <c r="AO160" s="1085" t="s">
        <v>1539</v>
      </c>
      <c r="AP160" s="1297">
        <v>2</v>
      </c>
    </row>
    <row r="161" spans="1:73" s="1222" customFormat="1" ht="12.75" customHeight="1">
      <c r="A161" s="1207"/>
      <c r="B161" s="1207"/>
      <c r="C161" s="1210" t="s">
        <v>1546</v>
      </c>
      <c r="D161" s="1207"/>
      <c r="E161" s="1207"/>
      <c r="F161" s="1207"/>
      <c r="G161" s="1207"/>
      <c r="H161" s="1207"/>
      <c r="I161" s="1207"/>
      <c r="J161" s="1207"/>
      <c r="K161" s="1207"/>
      <c r="L161" s="1207"/>
      <c r="M161" s="1207"/>
      <c r="N161" s="1207"/>
      <c r="O161" s="1207"/>
      <c r="P161" s="1207"/>
      <c r="Q161" s="1207"/>
      <c r="R161" s="1207"/>
      <c r="S161" s="1207"/>
      <c r="T161" s="1207"/>
      <c r="U161" s="1207"/>
      <c r="V161" s="1207"/>
      <c r="W161" s="1207"/>
      <c r="X161" s="1207"/>
      <c r="Y161" s="1207"/>
      <c r="Z161" s="1207"/>
      <c r="AA161" s="1207"/>
      <c r="AB161" s="1207"/>
      <c r="AC161" s="2482" t="s">
        <v>616</v>
      </c>
      <c r="AD161" s="2482"/>
      <c r="AE161" s="1207"/>
      <c r="AF161" s="1207"/>
      <c r="AG161" s="1207"/>
      <c r="AH161" s="1207"/>
      <c r="AI161" s="1207"/>
      <c r="AJ161" s="1207"/>
      <c r="AK161" s="1207"/>
      <c r="AL161" s="1207"/>
      <c r="AM161" s="1295"/>
      <c r="AN161" s="1296"/>
      <c r="AO161" s="1085" t="s">
        <v>1541</v>
      </c>
      <c r="AP161" s="1297">
        <v>3</v>
      </c>
    </row>
    <row r="162" spans="1:73" s="1222" customFormat="1" ht="9" customHeight="1">
      <c r="A162" s="1207"/>
      <c r="B162" s="1207"/>
      <c r="C162" s="1288"/>
      <c r="D162" s="1288"/>
      <c r="E162" s="1288"/>
      <c r="F162" s="1288"/>
      <c r="G162" s="1288"/>
      <c r="H162" s="1288"/>
      <c r="I162" s="1288"/>
      <c r="J162" s="1288"/>
      <c r="K162" s="1288"/>
      <c r="L162" s="1288"/>
      <c r="M162" s="1288"/>
      <c r="N162" s="1288"/>
      <c r="O162" s="1288"/>
      <c r="P162" s="1288"/>
      <c r="Q162" s="1288"/>
      <c r="R162" s="1288"/>
      <c r="S162" s="1288"/>
      <c r="T162" s="1288"/>
      <c r="U162" s="1288"/>
      <c r="V162" s="1288"/>
      <c r="W162" s="1288"/>
      <c r="X162" s="1288"/>
      <c r="Y162" s="1288"/>
      <c r="Z162" s="1288"/>
      <c r="AA162" s="1288"/>
      <c r="AB162" s="1288"/>
      <c r="AC162" s="1288"/>
      <c r="AD162" s="1288"/>
      <c r="AE162" s="1207"/>
      <c r="AF162" s="1207"/>
      <c r="AG162" s="1207"/>
      <c r="AH162" s="1207"/>
      <c r="AI162" s="1207"/>
      <c r="AJ162" s="1207"/>
      <c r="AK162" s="1207"/>
      <c r="AL162" s="1207"/>
      <c r="AM162" s="1295"/>
      <c r="AN162" s="1296"/>
      <c r="AO162" s="1298" t="s">
        <v>1839</v>
      </c>
      <c r="AP162" s="1297">
        <v>3</v>
      </c>
    </row>
    <row r="163" spans="1:73" s="1222" customFormat="1" ht="12.75" customHeight="1">
      <c r="A163" s="1207"/>
      <c r="B163" s="1207"/>
      <c r="C163" s="2630" t="s">
        <v>1534</v>
      </c>
      <c r="D163" s="2630"/>
      <c r="E163" s="2630"/>
      <c r="F163" s="2630"/>
      <c r="G163" s="2630"/>
      <c r="H163" s="2630"/>
      <c r="I163" s="2630"/>
      <c r="J163" s="2630"/>
      <c r="K163" s="2630"/>
      <c r="L163" s="2630"/>
      <c r="M163" s="2630"/>
      <c r="N163" s="2630"/>
      <c r="O163" s="2630"/>
      <c r="P163" s="2630"/>
      <c r="Q163" s="2630"/>
      <c r="R163" s="2630"/>
      <c r="S163" s="2630"/>
      <c r="T163" s="2630"/>
      <c r="U163" s="2630"/>
      <c r="V163" s="2630"/>
      <c r="W163" s="2630"/>
      <c r="X163" s="2630"/>
      <c r="Y163" s="2630"/>
      <c r="Z163" s="2630"/>
      <c r="AA163" s="2630"/>
      <c r="AB163" s="2630"/>
      <c r="AC163" s="2630"/>
      <c r="AD163" s="2630"/>
      <c r="AE163" s="1207"/>
      <c r="AF163" s="1207"/>
      <c r="AG163" s="1207"/>
      <c r="AH163" s="1207"/>
      <c r="AI163" s="1207"/>
      <c r="AJ163" s="1207"/>
      <c r="AK163" s="1207"/>
      <c r="AL163" s="1207"/>
      <c r="AM163" s="1295"/>
      <c r="AN163" s="1296"/>
      <c r="AO163" s="1298"/>
      <c r="AP163" s="1297"/>
    </row>
    <row r="164" spans="1:73" s="1222" customFormat="1" ht="12.75" customHeight="1">
      <c r="A164" s="1207"/>
      <c r="B164" s="1207"/>
      <c r="C164" s="1210" t="s">
        <v>1538</v>
      </c>
      <c r="D164" s="1210"/>
      <c r="E164" s="1210"/>
      <c r="F164" s="1210"/>
      <c r="G164" s="1210"/>
      <c r="H164" s="1210"/>
      <c r="I164" s="1210"/>
      <c r="J164" s="1210"/>
      <c r="K164" s="1210"/>
      <c r="L164" s="1210"/>
      <c r="M164" s="1210"/>
      <c r="N164" s="1210"/>
      <c r="O164" s="1210"/>
      <c r="P164" s="1210"/>
      <c r="Q164" s="1210"/>
      <c r="R164" s="1210"/>
      <c r="S164" s="1210"/>
      <c r="T164" s="1210"/>
      <c r="U164" s="1210"/>
      <c r="V164" s="1210"/>
      <c r="W164" s="1210"/>
      <c r="X164" s="1210"/>
      <c r="Y164" s="1210"/>
      <c r="Z164" s="1210"/>
      <c r="AA164" s="1210"/>
      <c r="AB164" s="1210"/>
      <c r="AC164" s="1210"/>
      <c r="AD164" s="1210"/>
      <c r="AE164" s="1210"/>
      <c r="AF164" s="1210"/>
      <c r="AG164" s="1210"/>
      <c r="AH164" s="1210"/>
      <c r="AI164" s="1210"/>
      <c r="AJ164" s="1210"/>
      <c r="AK164" s="1210"/>
      <c r="AL164" s="1207"/>
      <c r="AM164" s="1295"/>
      <c r="AN164" s="1296"/>
      <c r="AO164" s="1299"/>
      <c r="AP164" s="1299"/>
    </row>
    <row r="165" spans="1:73" s="1222" customFormat="1" ht="12.75" customHeight="1">
      <c r="A165" s="1207"/>
      <c r="B165" s="1207"/>
      <c r="C165" s="1207"/>
      <c r="D165" s="1207"/>
      <c r="E165" s="1207"/>
      <c r="F165" s="1207"/>
      <c r="G165" s="1207"/>
      <c r="H165" s="1207"/>
      <c r="I165" s="1207"/>
      <c r="J165" s="1207"/>
      <c r="K165" s="1207"/>
      <c r="L165" s="1207"/>
      <c r="M165" s="1207"/>
      <c r="N165" s="1207"/>
      <c r="O165" s="1207"/>
      <c r="P165" s="1207"/>
      <c r="Q165" s="1207"/>
      <c r="R165" s="1207"/>
      <c r="S165" s="1207"/>
      <c r="T165" s="1207"/>
      <c r="U165" s="1207"/>
      <c r="V165" s="1207"/>
      <c r="W165" s="1207"/>
      <c r="X165" s="1207"/>
      <c r="Y165" s="1207"/>
      <c r="Z165" s="1207"/>
      <c r="AA165" s="1207"/>
      <c r="AB165" s="1207"/>
      <c r="AC165" s="1207"/>
      <c r="AD165" s="1207"/>
      <c r="AE165" s="1207"/>
      <c r="AF165" s="1207"/>
      <c r="AG165" s="1207"/>
      <c r="AH165" s="1207"/>
      <c r="AI165" s="1207"/>
      <c r="AJ165" s="1207"/>
      <c r="AK165" s="1207"/>
      <c r="AL165" s="1207"/>
      <c r="AM165" s="1295"/>
      <c r="AN165" s="1296"/>
    </row>
    <row r="166" spans="1:73" s="1222" customFormat="1" ht="12.75" customHeight="1">
      <c r="A166" s="1207"/>
      <c r="B166" s="1207"/>
      <c r="C166" s="1209" t="s">
        <v>1548</v>
      </c>
      <c r="D166" s="1288"/>
      <c r="E166" s="1288"/>
      <c r="F166" s="1288"/>
      <c r="G166" s="1288"/>
      <c r="H166" s="1288"/>
      <c r="I166" s="1288"/>
      <c r="J166" s="1288"/>
      <c r="K166" s="1288"/>
      <c r="L166" s="1288"/>
      <c r="M166" s="1288"/>
      <c r="N166" s="1288"/>
      <c r="O166" s="1288"/>
      <c r="P166" s="1288"/>
      <c r="Q166" s="1288"/>
      <c r="R166" s="1288"/>
      <c r="S166" s="1288"/>
      <c r="T166" s="1288"/>
      <c r="U166" s="1288"/>
      <c r="V166" s="1288"/>
      <c r="W166" s="1288"/>
      <c r="X166" s="1288"/>
      <c r="Y166" s="1288"/>
      <c r="Z166" s="1288"/>
      <c r="AA166" s="1288"/>
      <c r="AB166" s="1288"/>
      <c r="AC166" s="1288"/>
      <c r="AD166" s="1288"/>
      <c r="AE166" s="1207"/>
      <c r="AF166" s="1207"/>
      <c r="AG166" s="1207"/>
      <c r="AH166" s="1207"/>
      <c r="AI166" s="1207"/>
      <c r="AJ166" s="1207"/>
      <c r="AK166" s="1207"/>
      <c r="AL166" s="1207"/>
      <c r="AM166" s="1295"/>
      <c r="AN166" s="1296"/>
      <c r="AO166" s="1085" t="s">
        <v>1534</v>
      </c>
      <c r="AP166" s="1085"/>
    </row>
    <row r="167" spans="1:73" s="1222" customFormat="1" ht="12.75" customHeight="1">
      <c r="A167" s="1207"/>
      <c r="B167" s="1207"/>
      <c r="C167" s="2629" t="s">
        <v>2542</v>
      </c>
      <c r="D167" s="2629"/>
      <c r="E167" s="2629"/>
      <c r="F167" s="2629"/>
      <c r="G167" s="2629"/>
      <c r="H167" s="2629"/>
      <c r="I167" s="2629"/>
      <c r="J167" s="2629"/>
      <c r="K167" s="2629"/>
      <c r="L167" s="2629"/>
      <c r="M167" s="2629"/>
      <c r="N167" s="2629"/>
      <c r="O167" s="2629"/>
      <c r="P167" s="2629"/>
      <c r="Q167" s="2629"/>
      <c r="R167" s="2629"/>
      <c r="S167" s="2629"/>
      <c r="T167" s="2629"/>
      <c r="U167" s="2629"/>
      <c r="V167" s="2629"/>
      <c r="W167" s="2629"/>
      <c r="X167" s="2629"/>
      <c r="Y167" s="2629"/>
      <c r="Z167" s="2629"/>
      <c r="AA167" s="2629"/>
      <c r="AB167" s="2629"/>
      <c r="AC167" s="2629"/>
      <c r="AD167" s="2629"/>
      <c r="AE167" s="1207"/>
      <c r="AF167" s="1207"/>
      <c r="AG167" s="1207"/>
      <c r="AH167" s="1207"/>
      <c r="AI167" s="1207"/>
      <c r="AJ167" s="1207"/>
      <c r="AK167" s="1207"/>
      <c r="AL167" s="1207"/>
      <c r="AM167" s="1295"/>
      <c r="AN167" s="1296"/>
      <c r="AO167" s="1085" t="s">
        <v>1545</v>
      </c>
      <c r="AP167" s="1297">
        <v>2</v>
      </c>
    </row>
    <row r="168" spans="1:73" s="1222" customFormat="1" ht="12.75" customHeight="1">
      <c r="A168" s="1207"/>
      <c r="B168" s="1207"/>
      <c r="C168" s="1288"/>
      <c r="D168" s="1288"/>
      <c r="E168" s="1288"/>
      <c r="F168" s="1288"/>
      <c r="G168" s="1288"/>
      <c r="H168" s="1288"/>
      <c r="I168" s="1288"/>
      <c r="J168" s="1288"/>
      <c r="K168" s="1288"/>
      <c r="L168" s="1288"/>
      <c r="M168" s="1288"/>
      <c r="N168" s="1288"/>
      <c r="O168" s="1288"/>
      <c r="P168" s="1288"/>
      <c r="Q168" s="1288"/>
      <c r="R168" s="1288"/>
      <c r="S168" s="1288"/>
      <c r="T168" s="1288"/>
      <c r="U168" s="1288"/>
      <c r="V168" s="1288"/>
      <c r="W168" s="1288"/>
      <c r="X168" s="1288"/>
      <c r="Y168" s="1288"/>
      <c r="Z168" s="1288"/>
      <c r="AA168" s="1288"/>
      <c r="AB168" s="1288"/>
      <c r="AC168" s="1288"/>
      <c r="AD168" s="1288"/>
      <c r="AE168" s="1207"/>
      <c r="AF168" s="1207"/>
      <c r="AG168" s="1207"/>
      <c r="AH168" s="1207"/>
      <c r="AI168" s="1207"/>
      <c r="AJ168" s="1207"/>
      <c r="AK168" s="1207"/>
      <c r="AL168" s="1207"/>
      <c r="AM168" s="1295"/>
      <c r="AN168" s="1296"/>
      <c r="AO168" s="1085" t="s">
        <v>1547</v>
      </c>
      <c r="AP168" s="1297">
        <v>3</v>
      </c>
    </row>
    <row r="169" spans="1:73" s="1222" customFormat="1" ht="12.75" customHeight="1">
      <c r="A169" s="1300"/>
      <c r="B169" s="1238"/>
      <c r="C169" s="1238"/>
      <c r="D169" s="1237"/>
      <c r="E169" s="1238"/>
      <c r="F169" s="1238"/>
      <c r="G169" s="1238"/>
      <c r="H169" s="1238"/>
      <c r="I169" s="1238"/>
      <c r="J169" s="1238"/>
      <c r="K169" s="1238"/>
      <c r="L169" s="1238"/>
      <c r="M169" s="1238"/>
      <c r="N169" s="1238"/>
      <c r="O169" s="1238"/>
      <c r="P169" s="1238"/>
      <c r="Q169" s="1292"/>
      <c r="R169" s="1301"/>
      <c r="S169" s="1238"/>
      <c r="T169" s="1238"/>
      <c r="U169" s="1238"/>
      <c r="V169" s="1238"/>
      <c r="W169" s="1238"/>
      <c r="X169" s="1238"/>
      <c r="Y169" s="1238"/>
      <c r="Z169" s="1238"/>
      <c r="AA169" s="1238"/>
      <c r="AB169" s="1238"/>
      <c r="AC169" s="1238"/>
      <c r="AD169" s="1238"/>
      <c r="AE169" s="1238"/>
      <c r="AF169" s="1238"/>
      <c r="AG169" s="1238"/>
      <c r="AH169" s="1238"/>
      <c r="AI169" s="1239" t="s">
        <v>1549</v>
      </c>
      <c r="AJ169" s="2454">
        <f>IF($AC$161="N/A",VLOOKUP($C$159,$AO$159:$AP$162,2,FALSE),VLOOKUP($C$163,$AO$166:$AP$168,2,FALSE))</f>
        <v>3</v>
      </c>
      <c r="AK169" s="2454"/>
      <c r="AL169" s="1302"/>
      <c r="AM169" s="1303"/>
      <c r="AN169" s="1296"/>
      <c r="AO169" s="1298"/>
      <c r="AP169" s="1297"/>
    </row>
    <row r="170" spans="1:73" s="1222" customFormat="1" ht="12.75" customHeight="1">
      <c r="A170" s="1207"/>
      <c r="B170" s="1304"/>
      <c r="R170" s="1207"/>
      <c r="S170" s="1304"/>
      <c r="AN170" s="1296"/>
    </row>
    <row r="171" spans="1:73" s="1222" customFormat="1" ht="12.75" customHeight="1">
      <c r="A171" s="1305"/>
      <c r="B171" s="1295"/>
      <c r="C171" s="1295"/>
      <c r="D171" s="1295"/>
      <c r="E171" s="1295"/>
      <c r="F171" s="1295"/>
      <c r="G171" s="1295"/>
      <c r="H171" s="1295"/>
      <c r="I171" s="1295"/>
      <c r="J171" s="1295"/>
      <c r="K171" s="1295"/>
      <c r="L171" s="1295"/>
      <c r="M171" s="1295"/>
      <c r="N171" s="1295"/>
      <c r="O171" s="1295"/>
      <c r="P171" s="1295"/>
      <c r="Q171" s="1295"/>
      <c r="R171" s="1295"/>
      <c r="S171" s="1295"/>
      <c r="T171" s="1295"/>
      <c r="U171" s="1295"/>
      <c r="V171" s="1295"/>
      <c r="W171" s="1295"/>
      <c r="X171" s="1295"/>
      <c r="Y171" s="1295"/>
      <c r="Z171" s="1295"/>
      <c r="AA171" s="1295"/>
      <c r="AB171" s="1295"/>
      <c r="AC171" s="1295"/>
      <c r="AD171" s="1295"/>
      <c r="AE171" s="1295"/>
      <c r="AF171" s="1295"/>
      <c r="AG171" s="1295"/>
      <c r="AH171" s="1295"/>
      <c r="AI171" s="1295"/>
      <c r="AJ171" s="1295"/>
      <c r="AK171" s="1295"/>
      <c r="AL171" s="1295"/>
      <c r="AM171" s="1295"/>
      <c r="AN171" s="1296"/>
    </row>
    <row r="172" spans="1:73" s="1222" customFormat="1" ht="12.75" customHeight="1">
      <c r="A172" s="1235"/>
      <c r="B172" s="1236"/>
      <c r="C172" s="1236"/>
      <c r="D172" s="1236"/>
      <c r="E172" s="1236"/>
      <c r="F172" s="1236"/>
      <c r="G172" s="1237"/>
      <c r="H172" s="1238"/>
      <c r="I172" s="1238"/>
      <c r="J172" s="1238"/>
      <c r="K172" s="1238"/>
      <c r="L172" s="1238"/>
      <c r="M172" s="1238"/>
      <c r="N172" s="1238"/>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9"/>
      <c r="AJ172" s="1239" t="s">
        <v>1550</v>
      </c>
      <c r="AK172" s="2631">
        <f>$AJ$155+$AJ$169</f>
        <v>10</v>
      </c>
      <c r="AL172" s="2632"/>
      <c r="AM172" s="2633"/>
      <c r="AN172" s="1296"/>
    </row>
    <row r="173" spans="1:73" s="1222" customFormat="1" ht="12.75" customHeight="1" thickBot="1">
      <c r="A173" s="1240"/>
      <c r="B173" s="1241"/>
      <c r="C173" s="1242"/>
      <c r="D173" s="1242"/>
      <c r="E173" s="1242"/>
      <c r="F173" s="1242"/>
      <c r="G173" s="1242"/>
      <c r="H173" s="1242"/>
      <c r="I173" s="1242"/>
      <c r="J173" s="1242"/>
      <c r="K173" s="1242"/>
      <c r="L173" s="1242"/>
      <c r="M173" s="1242"/>
      <c r="N173" s="1242"/>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3"/>
      <c r="AN173" s="1296"/>
      <c r="AO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row>
    <row r="174" spans="1:73" s="1222" customFormat="1" ht="12.75" customHeight="1" thickTop="1">
      <c r="A174" s="1207"/>
      <c r="B174" s="914"/>
      <c r="C174" s="915"/>
      <c r="D174" s="915"/>
      <c r="E174" s="915"/>
      <c r="F174" s="915"/>
      <c r="G174" s="915"/>
      <c r="H174" s="915"/>
      <c r="I174" s="1244"/>
      <c r="J174" s="1244"/>
      <c r="K174" s="1244"/>
      <c r="L174" s="1244"/>
      <c r="M174" s="1244"/>
      <c r="N174" s="1244"/>
      <c r="O174" s="1244"/>
      <c r="P174" s="1244"/>
      <c r="Q174" s="1244"/>
      <c r="R174" s="1207"/>
      <c r="S174" s="1210"/>
      <c r="T174" s="1210"/>
      <c r="U174" s="1210"/>
      <c r="V174" s="1210"/>
      <c r="W174" s="1210"/>
      <c r="X174" s="1210"/>
      <c r="Y174" s="1210"/>
      <c r="Z174" s="1210"/>
      <c r="AA174" s="1210"/>
      <c r="AB174" s="1210"/>
      <c r="AC174" s="1210"/>
      <c r="AD174" s="1210"/>
      <c r="AE174" s="1210"/>
      <c r="AF174" s="1207"/>
      <c r="AG174" s="1210"/>
      <c r="AH174" s="1210"/>
      <c r="AI174" s="1210"/>
      <c r="AJ174" s="1210"/>
      <c r="AN174" s="1296"/>
      <c r="AP174" s="1306" t="s">
        <v>1551</v>
      </c>
      <c r="AQ174" s="1306">
        <v>0</v>
      </c>
    </row>
    <row r="175" spans="1:73" s="1222" customFormat="1" ht="12.75" customHeight="1">
      <c r="A175" s="1209" t="s">
        <v>1552</v>
      </c>
      <c r="B175" s="1209" t="s">
        <v>2037</v>
      </c>
      <c r="C175" s="1307"/>
      <c r="D175" s="1308"/>
      <c r="E175" s="1308"/>
      <c r="F175" s="1308"/>
      <c r="G175" s="1308"/>
      <c r="H175" s="1308"/>
      <c r="I175" s="1308"/>
      <c r="J175" s="1308"/>
      <c r="K175" s="1207"/>
      <c r="L175" s="1207"/>
      <c r="M175" s="1207"/>
      <c r="N175" s="1207"/>
      <c r="O175" s="1207"/>
      <c r="P175" s="1207"/>
      <c r="Q175" s="1207"/>
      <c r="R175" s="1207"/>
      <c r="S175" s="1207"/>
      <c r="T175" s="1207"/>
      <c r="U175" s="1207"/>
      <c r="V175" s="1207"/>
      <c r="W175" s="1207"/>
      <c r="X175" s="1207"/>
      <c r="Y175" s="1309"/>
      <c r="Z175" s="1309"/>
      <c r="AA175" s="1309"/>
      <c r="AB175" s="1309"/>
      <c r="AC175" s="1207"/>
      <c r="AD175" s="1207"/>
      <c r="AE175" s="2491" t="s">
        <v>1505</v>
      </c>
      <c r="AF175" s="2491"/>
      <c r="AG175" s="2491"/>
      <c r="AH175" s="2491"/>
      <c r="AI175" s="2491"/>
      <c r="AJ175" s="2491"/>
      <c r="AK175" s="2491"/>
      <c r="AL175" s="1286"/>
      <c r="AN175" s="1296"/>
      <c r="AP175" s="1222" t="s">
        <v>1120</v>
      </c>
      <c r="AQ175" s="1222">
        <v>10</v>
      </c>
    </row>
    <row r="176" spans="1:73" s="1222" customFormat="1" ht="12.75" customHeight="1">
      <c r="A176" s="1209"/>
      <c r="B176" s="1310"/>
      <c r="C176" s="1311"/>
      <c r="D176" s="1308"/>
      <c r="E176" s="1308"/>
      <c r="F176" s="1308"/>
      <c r="G176" s="1308"/>
      <c r="H176" s="1207"/>
      <c r="I176" s="1207"/>
      <c r="J176" s="1207"/>
      <c r="K176" s="1207"/>
      <c r="L176" s="1207"/>
      <c r="M176" s="1207"/>
      <c r="N176" s="1207"/>
      <c r="O176" s="1207"/>
      <c r="P176" s="1207"/>
      <c r="Q176" s="1207"/>
      <c r="R176" s="1309"/>
      <c r="S176" s="1309"/>
      <c r="T176" s="1309"/>
      <c r="U176" s="1309"/>
      <c r="V176" s="1309"/>
      <c r="W176" s="1309"/>
      <c r="X176" s="1309"/>
      <c r="Y176" s="1309"/>
      <c r="Z176" s="1309"/>
      <c r="AA176" s="1309"/>
      <c r="AB176" s="1309"/>
      <c r="AC176" s="1286"/>
      <c r="AD176" s="1286"/>
      <c r="AE176" s="1207"/>
      <c r="AF176" s="1207"/>
      <c r="AG176" s="1207"/>
      <c r="AH176" s="1207"/>
      <c r="AI176" s="1207"/>
      <c r="AJ176" s="1207"/>
      <c r="AK176" s="1207"/>
      <c r="AL176" s="1207"/>
      <c r="AN176" s="1296"/>
      <c r="AP176" s="1222" t="s">
        <v>1553</v>
      </c>
      <c r="AQ176" s="1222">
        <v>10</v>
      </c>
    </row>
    <row r="177" spans="1:45" s="1222" customFormat="1" ht="12.75" customHeight="1">
      <c r="A177" s="1207"/>
      <c r="B177" s="2627" t="s">
        <v>1560</v>
      </c>
      <c r="C177" s="2627"/>
      <c r="D177" s="2627"/>
      <c r="E177" s="2627"/>
      <c r="F177" s="2627"/>
      <c r="G177" s="2627"/>
      <c r="H177" s="2627"/>
      <c r="I177" s="2627"/>
      <c r="J177" s="2627"/>
      <c r="K177" s="2627"/>
      <c r="L177" s="2627"/>
      <c r="M177" s="2627"/>
      <c r="N177" s="2627"/>
      <c r="O177" s="2627"/>
      <c r="P177" s="2627"/>
      <c r="Q177" s="2627"/>
      <c r="R177" s="2627"/>
      <c r="S177" s="2627"/>
      <c r="T177" s="2627"/>
      <c r="U177" s="2627"/>
      <c r="V177" s="2627"/>
      <c r="W177" s="2627"/>
      <c r="X177" s="2627"/>
      <c r="Y177" s="2627"/>
      <c r="Z177" s="2627"/>
      <c r="AA177" s="2627"/>
      <c r="AB177" s="2627"/>
      <c r="AC177" s="2627"/>
      <c r="AD177" s="1207"/>
      <c r="AE177" s="1207"/>
      <c r="AF177" s="2476" t="s">
        <v>1554</v>
      </c>
      <c r="AG177" s="2476"/>
      <c r="AH177" s="2476"/>
      <c r="AI177" s="2476"/>
      <c r="AJ177" s="2476"/>
      <c r="AK177" s="2476"/>
      <c r="AL177" s="2476"/>
      <c r="AN177" s="1296"/>
      <c r="AP177" s="1222" t="s">
        <v>1122</v>
      </c>
      <c r="AQ177" s="1222">
        <v>10</v>
      </c>
    </row>
    <row r="178" spans="1:45" s="1222" customFormat="1" ht="12.75" customHeight="1">
      <c r="A178" s="1207"/>
      <c r="B178" s="2628" t="s">
        <v>2036</v>
      </c>
      <c r="C178" s="2628"/>
      <c r="D178" s="2628"/>
      <c r="E178" s="2628"/>
      <c r="F178" s="2628"/>
      <c r="G178" s="2628"/>
      <c r="H178" s="2628"/>
      <c r="I178" s="2628"/>
      <c r="J178" s="2628"/>
      <c r="K178" s="2628"/>
      <c r="L178" s="2628"/>
      <c r="M178" s="2628"/>
      <c r="N178" s="2628"/>
      <c r="O178" s="2628"/>
      <c r="P178" s="2628"/>
      <c r="Q178" s="2628"/>
      <c r="R178" s="2628"/>
      <c r="S178" s="2628"/>
      <c r="T178" s="2629" t="s">
        <v>616</v>
      </c>
      <c r="U178" s="2629"/>
      <c r="V178" s="2629"/>
      <c r="W178" s="2629"/>
      <c r="X178" s="2629"/>
      <c r="Y178" s="2629"/>
      <c r="Z178" s="2629"/>
      <c r="AA178" s="2629"/>
      <c r="AB178" s="2629"/>
      <c r="AC178" s="2629"/>
      <c r="AD178" s="1207"/>
      <c r="AE178" s="1207"/>
      <c r="AF178" s="1207"/>
      <c r="AG178" s="1207"/>
      <c r="AH178" s="1207"/>
      <c r="AI178" s="1207"/>
      <c r="AJ178" s="1214"/>
      <c r="AK178" s="1267"/>
      <c r="AL178" s="1267"/>
      <c r="AM178" s="1267"/>
      <c r="AN178" s="1296"/>
      <c r="AP178" s="1222" t="s">
        <v>1121</v>
      </c>
      <c r="AQ178" s="1222">
        <v>10</v>
      </c>
      <c r="AS178" s="1222" t="s">
        <v>616</v>
      </c>
    </row>
    <row r="179" spans="1:45" s="1222" customFormat="1" ht="12.75" customHeight="1">
      <c r="A179" s="1207"/>
      <c r="B179" s="1288"/>
      <c r="C179" s="1288"/>
      <c r="D179" s="1288"/>
      <c r="E179" s="1288"/>
      <c r="F179" s="1288"/>
      <c r="G179" s="1288"/>
      <c r="H179" s="1288"/>
      <c r="I179" s="1288"/>
      <c r="J179" s="1288"/>
      <c r="K179" s="1288"/>
      <c r="L179" s="1288"/>
      <c r="M179" s="1288"/>
      <c r="N179" s="1288"/>
      <c r="O179" s="1288"/>
      <c r="P179" s="1288"/>
      <c r="Q179" s="1288"/>
      <c r="R179" s="1288"/>
      <c r="S179" s="1288"/>
      <c r="T179" s="1288"/>
      <c r="U179" s="1288"/>
      <c r="V179" s="1288"/>
      <c r="W179" s="1288"/>
      <c r="X179" s="1288"/>
      <c r="Y179" s="1288"/>
      <c r="Z179" s="1288"/>
      <c r="AA179" s="1288"/>
      <c r="AB179" s="1288"/>
      <c r="AC179" s="1288"/>
      <c r="AD179" s="1288"/>
      <c r="AE179" s="1207"/>
      <c r="AF179" s="1207"/>
      <c r="AG179" s="1207"/>
      <c r="AH179" s="1207"/>
      <c r="AI179" s="1207"/>
      <c r="AJ179" s="1214"/>
      <c r="AK179" s="1267"/>
      <c r="AL179" s="1267"/>
      <c r="AM179" s="1312"/>
      <c r="AP179" s="1222" t="s">
        <v>1555</v>
      </c>
      <c r="AQ179" s="1222">
        <v>10</v>
      </c>
      <c r="AS179" s="1222" t="s">
        <v>1556</v>
      </c>
    </row>
    <row r="180" spans="1:45" s="1222" customFormat="1" ht="12.75" customHeight="1">
      <c r="A180" s="1300"/>
      <c r="B180" s="1238"/>
      <c r="C180" s="1238"/>
      <c r="D180" s="1238"/>
      <c r="E180" s="1238"/>
      <c r="F180" s="1238"/>
      <c r="G180" s="1238"/>
      <c r="H180" s="1238"/>
      <c r="I180" s="1238"/>
      <c r="J180" s="1238"/>
      <c r="K180" s="1238"/>
      <c r="L180" s="1238"/>
      <c r="M180" s="1238"/>
      <c r="N180" s="1238"/>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9"/>
      <c r="AJ180" s="1239" t="s">
        <v>1557</v>
      </c>
      <c r="AK180" s="2455">
        <f>IF(AK78&gt;0,VLOOKUP($B$177,AP174:AQ181,2,FALSE),0)</f>
        <v>10</v>
      </c>
      <c r="AL180" s="2456"/>
      <c r="AM180" s="2457"/>
      <c r="AN180" s="1206"/>
      <c r="AP180" s="1222" t="s">
        <v>1558</v>
      </c>
      <c r="AQ180" s="1222">
        <v>10</v>
      </c>
      <c r="AS180" s="1222" t="s">
        <v>1559</v>
      </c>
    </row>
    <row r="181" spans="1:45" s="1222" customFormat="1" ht="12.75" customHeight="1" thickBot="1">
      <c r="A181" s="1313"/>
      <c r="B181" s="1313"/>
      <c r="C181" s="1314"/>
      <c r="D181" s="1315"/>
      <c r="E181" s="1315"/>
      <c r="F181" s="1315"/>
      <c r="G181" s="1315"/>
      <c r="H181" s="1315"/>
      <c r="I181" s="1315"/>
      <c r="J181" s="1315"/>
      <c r="K181" s="1315"/>
      <c r="L181" s="1315"/>
      <c r="M181" s="1315"/>
      <c r="N181" s="1315"/>
      <c r="O181" s="1315"/>
      <c r="P181" s="1315"/>
      <c r="Q181" s="1315"/>
      <c r="R181" s="1315"/>
      <c r="S181" s="1315"/>
      <c r="T181" s="1315"/>
      <c r="U181" s="1315"/>
      <c r="V181" s="1315"/>
      <c r="W181" s="1315"/>
      <c r="X181" s="1315"/>
      <c r="Y181" s="1315"/>
      <c r="Z181" s="1315"/>
      <c r="AA181" s="1315"/>
      <c r="AB181" s="1315"/>
      <c r="AC181" s="1315"/>
      <c r="AD181" s="1315"/>
      <c r="AE181" s="1315"/>
      <c r="AF181" s="1315"/>
      <c r="AG181" s="1315"/>
      <c r="AH181" s="1315"/>
      <c r="AI181" s="1315"/>
      <c r="AJ181" s="1315"/>
      <c r="AK181" s="1315"/>
      <c r="AL181" s="1315"/>
      <c r="AM181" s="1315"/>
      <c r="AN181" s="1296"/>
      <c r="AP181" s="1222" t="s">
        <v>1560</v>
      </c>
      <c r="AQ181" s="1222">
        <v>10</v>
      </c>
    </row>
    <row r="182" spans="1:45" s="1222" customFormat="1" ht="12.75" customHeight="1" thickTop="1">
      <c r="A182" s="1207"/>
      <c r="B182" s="914"/>
      <c r="C182" s="915"/>
      <c r="D182" s="915"/>
      <c r="E182" s="915"/>
      <c r="F182" s="915"/>
      <c r="G182" s="915"/>
      <c r="H182" s="915"/>
      <c r="I182" s="1244"/>
      <c r="J182" s="1244"/>
      <c r="K182" s="1244"/>
      <c r="L182" s="1244"/>
      <c r="M182" s="1244"/>
      <c r="N182" s="1244"/>
      <c r="O182" s="1244"/>
      <c r="P182" s="1244"/>
      <c r="Q182" s="1244"/>
      <c r="R182" s="1207"/>
      <c r="S182" s="1210"/>
      <c r="T182" s="1210"/>
      <c r="U182" s="1210"/>
      <c r="V182" s="1210"/>
      <c r="W182" s="1210"/>
      <c r="X182" s="1210"/>
      <c r="Y182" s="1210"/>
      <c r="Z182" s="1210"/>
      <c r="AA182" s="1210"/>
      <c r="AB182" s="1210"/>
      <c r="AC182" s="1210"/>
      <c r="AD182" s="1210"/>
      <c r="AE182" s="1210"/>
      <c r="AF182" s="1207"/>
      <c r="AG182" s="1210"/>
      <c r="AH182" s="1210"/>
      <c r="AI182" s="1210"/>
      <c r="AJ182" s="1210"/>
      <c r="AN182" s="1296"/>
    </row>
    <row r="183" spans="1:45">
      <c r="A183" s="1209" t="s">
        <v>1561</v>
      </c>
      <c r="B183" s="1209" t="s">
        <v>1562</v>
      </c>
      <c r="C183" s="1307"/>
      <c r="D183" s="1308"/>
      <c r="E183" s="1308"/>
      <c r="F183" s="1308"/>
      <c r="G183" s="1308"/>
      <c r="H183" s="1308"/>
      <c r="I183" s="1308"/>
      <c r="J183" s="1308"/>
      <c r="K183" s="1222"/>
      <c r="L183" s="1222"/>
      <c r="M183" s="1222"/>
      <c r="N183" s="1222"/>
      <c r="O183" s="1222"/>
      <c r="P183" s="1222"/>
      <c r="Q183" s="1222"/>
      <c r="R183" s="1222"/>
      <c r="S183" s="1222"/>
      <c r="T183" s="1222"/>
      <c r="U183" s="1222"/>
      <c r="V183" s="1222"/>
      <c r="W183" s="1222"/>
      <c r="X183" s="1222"/>
      <c r="Y183" s="1309"/>
      <c r="Z183" s="1309"/>
      <c r="AA183" s="1309"/>
      <c r="AB183" s="1309"/>
      <c r="AC183" s="1222"/>
      <c r="AD183" s="1222"/>
      <c r="AE183" s="2491" t="s">
        <v>1563</v>
      </c>
      <c r="AF183" s="2491"/>
      <c r="AG183" s="2491"/>
      <c r="AH183" s="2491"/>
      <c r="AI183" s="2491"/>
      <c r="AJ183" s="2491"/>
      <c r="AK183" s="2491"/>
    </row>
    <row r="184" spans="1:45">
      <c r="A184" s="1209"/>
      <c r="B184" s="1209"/>
      <c r="C184" s="1307"/>
      <c r="D184" s="1308"/>
      <c r="E184" s="1308"/>
      <c r="F184" s="1308"/>
      <c r="G184" s="1308"/>
      <c r="H184" s="1308"/>
      <c r="I184" s="1308"/>
      <c r="J184" s="1308"/>
      <c r="K184" s="1207"/>
      <c r="L184" s="1207"/>
      <c r="M184" s="1207"/>
      <c r="N184" s="1207"/>
      <c r="O184" s="1207"/>
      <c r="P184" s="1207"/>
      <c r="Q184" s="1207"/>
      <c r="R184" s="1207"/>
      <c r="S184" s="1207"/>
      <c r="T184" s="1207"/>
      <c r="U184" s="1207"/>
      <c r="V184" s="1207"/>
      <c r="W184" s="1207"/>
      <c r="X184" s="1207"/>
      <c r="Y184" s="1309"/>
      <c r="Z184" s="1309"/>
      <c r="AA184" s="1309"/>
      <c r="AB184" s="1309"/>
      <c r="AC184" s="1207"/>
      <c r="AD184" s="1207"/>
      <c r="AE184" s="1214"/>
      <c r="AF184" s="1214"/>
      <c r="AG184" s="1214"/>
      <c r="AH184" s="1214"/>
      <c r="AI184" s="1214"/>
      <c r="AJ184" s="1214"/>
      <c r="AK184" s="1214"/>
    </row>
    <row r="185" spans="1:45">
      <c r="A185" s="1209"/>
      <c r="B185" s="1316" t="s">
        <v>1789</v>
      </c>
      <c r="C185" s="1307"/>
      <c r="D185" s="1308"/>
      <c r="E185" s="1308"/>
      <c r="F185" s="1308"/>
      <c r="G185" s="1308"/>
      <c r="H185" s="1308"/>
      <c r="I185" s="1308"/>
      <c r="J185" s="1308"/>
      <c r="K185" s="1207"/>
      <c r="L185" s="1207"/>
      <c r="M185" s="1207"/>
      <c r="N185" s="1207"/>
      <c r="O185" s="1207"/>
      <c r="P185" s="1207"/>
      <c r="Q185" s="1207"/>
      <c r="R185" s="1207"/>
      <c r="S185" s="1207"/>
      <c r="T185" s="1207"/>
      <c r="U185" s="1207"/>
      <c r="V185" s="1207"/>
      <c r="W185" s="1207"/>
      <c r="X185" s="1207"/>
      <c r="Y185" s="1309"/>
      <c r="Z185" s="1309"/>
      <c r="AA185" s="1309"/>
      <c r="AB185" s="1309"/>
      <c r="AC185" s="1207"/>
      <c r="AD185" s="1207"/>
      <c r="AE185" s="1214"/>
      <c r="AF185" s="1214"/>
      <c r="AG185" s="1214"/>
      <c r="AH185" s="1214"/>
      <c r="AI185" s="1214"/>
      <c r="AJ185" s="1214"/>
      <c r="AK185" s="1214"/>
    </row>
    <row r="186" spans="1:45">
      <c r="A186" s="1288"/>
      <c r="C186" s="1317"/>
      <c r="D186" s="1318"/>
      <c r="E186" s="1318"/>
      <c r="F186" s="1318"/>
      <c r="G186" s="1318"/>
      <c r="H186" s="1318"/>
      <c r="I186" s="1318"/>
      <c r="J186" s="1318"/>
      <c r="K186" s="1207"/>
      <c r="L186" s="1207"/>
      <c r="M186" s="1207"/>
      <c r="N186" s="1207"/>
      <c r="O186" s="1207"/>
      <c r="P186" s="1207"/>
      <c r="Q186" s="1207"/>
      <c r="R186" s="1207"/>
      <c r="S186" s="1207"/>
      <c r="T186" s="1207"/>
      <c r="U186" s="1207"/>
      <c r="V186" s="1207"/>
      <c r="W186" s="1207"/>
      <c r="X186" s="1207"/>
      <c r="Y186" s="1319"/>
      <c r="Z186" s="1319"/>
      <c r="AA186" s="1319"/>
      <c r="AB186" s="1319"/>
      <c r="AC186" s="1207"/>
      <c r="AD186" s="1207"/>
      <c r="AE186" s="1304"/>
      <c r="AF186" s="1304"/>
      <c r="AG186" s="1304"/>
      <c r="AH186" s="1304"/>
      <c r="AI186" s="1304"/>
      <c r="AJ186" s="1304"/>
      <c r="AK186" s="1304"/>
    </row>
    <row r="187" spans="1:45">
      <c r="A187" s="1288"/>
      <c r="B187" s="1320" t="s">
        <v>1825</v>
      </c>
      <c r="C187" s="1317"/>
      <c r="D187" s="1318"/>
      <c r="E187" s="1318"/>
      <c r="F187" s="1318"/>
      <c r="G187" s="1318"/>
      <c r="H187" s="1318"/>
      <c r="I187" s="1318"/>
      <c r="J187" s="1318"/>
      <c r="K187" s="1207"/>
      <c r="L187" s="1207"/>
      <c r="M187" s="1207"/>
      <c r="N187" s="1207"/>
      <c r="O187" s="1207"/>
      <c r="P187" s="1207"/>
      <c r="Q187" s="1207"/>
      <c r="R187" s="1207"/>
      <c r="S187" s="1207"/>
      <c r="T187" s="1207"/>
      <c r="U187" s="1207"/>
      <c r="V187" s="1207"/>
      <c r="W187" s="1207"/>
      <c r="X187" s="1207"/>
      <c r="Y187" s="1319"/>
      <c r="Z187" s="1319"/>
      <c r="AA187" s="1319"/>
      <c r="AB187" s="1319"/>
      <c r="AC187" s="1207"/>
      <c r="AD187" s="1207"/>
      <c r="AE187" s="1304"/>
      <c r="AF187" s="1304"/>
      <c r="AG187" s="1304"/>
      <c r="AH187" s="1304"/>
      <c r="AI187" s="1304"/>
      <c r="AJ187" s="1304"/>
      <c r="AK187" s="1304"/>
    </row>
    <row r="188" spans="1:45">
      <c r="A188" s="1288"/>
      <c r="B188" s="2626" t="s">
        <v>2563</v>
      </c>
      <c r="C188" s="2626"/>
      <c r="D188" s="2626"/>
      <c r="E188" s="2626"/>
      <c r="F188" s="2626"/>
      <c r="G188" s="2626"/>
      <c r="H188" s="2626"/>
      <c r="I188" s="2626"/>
      <c r="J188" s="2626"/>
      <c r="K188" s="2626"/>
      <c r="L188" s="2626"/>
      <c r="M188" s="2626"/>
      <c r="N188" s="2626"/>
      <c r="O188" s="2626"/>
      <c r="P188" s="2626"/>
      <c r="Q188" s="2626"/>
      <c r="R188" s="2626"/>
      <c r="S188" s="2626"/>
      <c r="T188" s="2626"/>
      <c r="U188" s="2626"/>
      <c r="V188" s="2626"/>
      <c r="W188" s="2626"/>
      <c r="X188" s="2626"/>
      <c r="Y188" s="2626"/>
      <c r="Z188" s="2626"/>
      <c r="AA188" s="2626"/>
      <c r="AB188" s="2626"/>
      <c r="AC188" s="1321"/>
      <c r="AD188" s="2621">
        <v>12150000</v>
      </c>
      <c r="AE188" s="2621"/>
      <c r="AF188" s="2621"/>
      <c r="AG188" s="2621"/>
      <c r="AH188" s="2621"/>
      <c r="AI188" s="2621"/>
      <c r="AJ188" s="2621"/>
      <c r="AK188" s="1304"/>
    </row>
    <row r="189" spans="1:45">
      <c r="A189" s="1288"/>
      <c r="B189" s="2620" t="s">
        <v>2758</v>
      </c>
      <c r="C189" s="2620"/>
      <c r="D189" s="2620"/>
      <c r="E189" s="2620"/>
      <c r="F189" s="2620"/>
      <c r="G189" s="2620"/>
      <c r="H189" s="2620"/>
      <c r="I189" s="2620"/>
      <c r="J189" s="2620"/>
      <c r="K189" s="2620"/>
      <c r="L189" s="2620"/>
      <c r="M189" s="2620"/>
      <c r="N189" s="2620"/>
      <c r="O189" s="2620"/>
      <c r="P189" s="2620"/>
      <c r="Q189" s="2620"/>
      <c r="R189" s="2620"/>
      <c r="S189" s="2620"/>
      <c r="T189" s="2620"/>
      <c r="U189" s="2620"/>
      <c r="V189" s="2620"/>
      <c r="W189" s="2620"/>
      <c r="X189" s="2620"/>
      <c r="Y189" s="2620"/>
      <c r="Z189" s="2620"/>
      <c r="AA189" s="2620"/>
      <c r="AB189" s="2620"/>
      <c r="AC189" s="1321"/>
      <c r="AD189" s="2621">
        <v>20000000</v>
      </c>
      <c r="AE189" s="2621"/>
      <c r="AF189" s="2621"/>
      <c r="AG189" s="2621"/>
      <c r="AH189" s="2621"/>
      <c r="AI189" s="2621"/>
      <c r="AJ189" s="2621"/>
      <c r="AK189" s="1304"/>
    </row>
    <row r="190" spans="1:45">
      <c r="A190" s="1288"/>
      <c r="B190" s="2620"/>
      <c r="C190" s="2620"/>
      <c r="D190" s="2620"/>
      <c r="E190" s="2620"/>
      <c r="F190" s="2620"/>
      <c r="G190" s="2620"/>
      <c r="H190" s="2620"/>
      <c r="I190" s="2620"/>
      <c r="J190" s="2620"/>
      <c r="K190" s="2620"/>
      <c r="L190" s="2620"/>
      <c r="M190" s="2620"/>
      <c r="N190" s="2620"/>
      <c r="O190" s="2620"/>
      <c r="P190" s="2620"/>
      <c r="Q190" s="2620"/>
      <c r="R190" s="2620"/>
      <c r="S190" s="2620"/>
      <c r="T190" s="2620"/>
      <c r="U190" s="2620"/>
      <c r="V190" s="2620"/>
      <c r="W190" s="2620"/>
      <c r="X190" s="2620"/>
      <c r="Y190" s="2620"/>
      <c r="Z190" s="2620"/>
      <c r="AA190" s="2620"/>
      <c r="AB190" s="2620"/>
      <c r="AC190" s="1321"/>
      <c r="AD190" s="2621"/>
      <c r="AE190" s="2621"/>
      <c r="AF190" s="2621"/>
      <c r="AG190" s="2621"/>
      <c r="AH190" s="2621"/>
      <c r="AI190" s="2621"/>
      <c r="AJ190" s="2621"/>
      <c r="AK190" s="1304"/>
    </row>
    <row r="191" spans="1:45">
      <c r="A191" s="1288"/>
      <c r="B191" s="2620"/>
      <c r="C191" s="2620"/>
      <c r="D191" s="2620"/>
      <c r="E191" s="2620"/>
      <c r="F191" s="2620"/>
      <c r="G191" s="2620"/>
      <c r="H191" s="2620"/>
      <c r="I191" s="2620"/>
      <c r="J191" s="2620"/>
      <c r="K191" s="2620"/>
      <c r="L191" s="2620"/>
      <c r="M191" s="2620"/>
      <c r="N191" s="2620"/>
      <c r="O191" s="2620"/>
      <c r="P191" s="2620"/>
      <c r="Q191" s="2620"/>
      <c r="R191" s="2620"/>
      <c r="S191" s="2620"/>
      <c r="T191" s="2620"/>
      <c r="U191" s="2620"/>
      <c r="V191" s="2620"/>
      <c r="W191" s="2620"/>
      <c r="X191" s="2620"/>
      <c r="Y191" s="2620"/>
      <c r="Z191" s="2620"/>
      <c r="AA191" s="2620"/>
      <c r="AB191" s="2620"/>
      <c r="AC191" s="1321"/>
      <c r="AD191" s="2621"/>
      <c r="AE191" s="2621"/>
      <c r="AF191" s="2621"/>
      <c r="AG191" s="2621"/>
      <c r="AH191" s="2621"/>
      <c r="AI191" s="2621"/>
      <c r="AJ191" s="2621"/>
      <c r="AK191" s="1304"/>
    </row>
    <row r="192" spans="1:45">
      <c r="A192" s="1288"/>
      <c r="B192" s="2620"/>
      <c r="C192" s="2620"/>
      <c r="D192" s="2620"/>
      <c r="E192" s="2620"/>
      <c r="F192" s="2620"/>
      <c r="G192" s="2620"/>
      <c r="H192" s="2620"/>
      <c r="I192" s="2620"/>
      <c r="J192" s="2620"/>
      <c r="K192" s="2620"/>
      <c r="L192" s="2620"/>
      <c r="M192" s="2620"/>
      <c r="N192" s="2620"/>
      <c r="O192" s="2620"/>
      <c r="P192" s="2620"/>
      <c r="Q192" s="2620"/>
      <c r="R192" s="2620"/>
      <c r="S192" s="2620"/>
      <c r="T192" s="2620"/>
      <c r="U192" s="2620"/>
      <c r="V192" s="2620"/>
      <c r="W192" s="2620"/>
      <c r="X192" s="2620"/>
      <c r="Y192" s="2620"/>
      <c r="Z192" s="2620"/>
      <c r="AA192" s="2620"/>
      <c r="AB192" s="2620"/>
      <c r="AC192" s="1321"/>
      <c r="AD192" s="2621"/>
      <c r="AE192" s="2621"/>
      <c r="AF192" s="2621"/>
      <c r="AG192" s="2621"/>
      <c r="AH192" s="2621"/>
      <c r="AI192" s="2621"/>
      <c r="AJ192" s="2621"/>
      <c r="AK192" s="1304"/>
    </row>
    <row r="193" spans="1:37">
      <c r="A193" s="1288"/>
      <c r="B193" s="2620"/>
      <c r="C193" s="2620"/>
      <c r="D193" s="2620"/>
      <c r="E193" s="2620"/>
      <c r="F193" s="2620"/>
      <c r="G193" s="2620"/>
      <c r="H193" s="2620"/>
      <c r="I193" s="2620"/>
      <c r="J193" s="2620"/>
      <c r="K193" s="2620"/>
      <c r="L193" s="2620"/>
      <c r="M193" s="2620"/>
      <c r="N193" s="2620"/>
      <c r="O193" s="2620"/>
      <c r="P193" s="2620"/>
      <c r="Q193" s="2620"/>
      <c r="R193" s="2620"/>
      <c r="S193" s="2620"/>
      <c r="T193" s="2620"/>
      <c r="U193" s="2620"/>
      <c r="V193" s="2620"/>
      <c r="W193" s="2620"/>
      <c r="X193" s="2620"/>
      <c r="Y193" s="2620"/>
      <c r="Z193" s="2620"/>
      <c r="AA193" s="2620"/>
      <c r="AB193" s="2620"/>
      <c r="AC193" s="1321"/>
      <c r="AD193" s="2621"/>
      <c r="AE193" s="2621"/>
      <c r="AF193" s="2621"/>
      <c r="AG193" s="2621"/>
      <c r="AH193" s="2621"/>
      <c r="AI193" s="2621"/>
      <c r="AJ193" s="2621"/>
      <c r="AK193" s="1304"/>
    </row>
    <row r="194" spans="1:37">
      <c r="A194" s="1288"/>
      <c r="B194" s="2620"/>
      <c r="C194" s="2620"/>
      <c r="D194" s="2620"/>
      <c r="E194" s="2620"/>
      <c r="F194" s="2620"/>
      <c r="G194" s="2620"/>
      <c r="H194" s="2620"/>
      <c r="I194" s="2620"/>
      <c r="J194" s="2620"/>
      <c r="K194" s="2620"/>
      <c r="L194" s="2620"/>
      <c r="M194" s="2620"/>
      <c r="N194" s="2620"/>
      <c r="O194" s="2620"/>
      <c r="P194" s="2620"/>
      <c r="Q194" s="2620"/>
      <c r="R194" s="2620"/>
      <c r="S194" s="2620"/>
      <c r="T194" s="2620"/>
      <c r="U194" s="2620"/>
      <c r="V194" s="2620"/>
      <c r="W194" s="2620"/>
      <c r="X194" s="2620"/>
      <c r="Y194" s="2620"/>
      <c r="Z194" s="2620"/>
      <c r="AA194" s="2620"/>
      <c r="AB194" s="2620"/>
      <c r="AC194" s="1321"/>
      <c r="AD194" s="2621"/>
      <c r="AE194" s="2621"/>
      <c r="AF194" s="2621"/>
      <c r="AG194" s="2621"/>
      <c r="AH194" s="2621"/>
      <c r="AI194" s="2621"/>
      <c r="AJ194" s="2621"/>
      <c r="AK194" s="1304"/>
    </row>
    <row r="195" spans="1:37">
      <c r="A195" s="1288"/>
      <c r="B195" s="2620"/>
      <c r="C195" s="2620"/>
      <c r="D195" s="2620"/>
      <c r="E195" s="2620"/>
      <c r="F195" s="2620"/>
      <c r="G195" s="2620"/>
      <c r="H195" s="2620"/>
      <c r="I195" s="2620"/>
      <c r="J195" s="2620"/>
      <c r="K195" s="2620"/>
      <c r="L195" s="2620"/>
      <c r="M195" s="2620"/>
      <c r="N195" s="2620"/>
      <c r="O195" s="2620"/>
      <c r="P195" s="2620"/>
      <c r="Q195" s="2620"/>
      <c r="R195" s="2620"/>
      <c r="S195" s="2620"/>
      <c r="T195" s="2620"/>
      <c r="U195" s="2620"/>
      <c r="V195" s="2620"/>
      <c r="W195" s="2620"/>
      <c r="X195" s="2620"/>
      <c r="Y195" s="2620"/>
      <c r="Z195" s="2620"/>
      <c r="AA195" s="2620"/>
      <c r="AB195" s="2620"/>
      <c r="AC195" s="1321"/>
      <c r="AD195" s="2621"/>
      <c r="AE195" s="2621"/>
      <c r="AF195" s="2621"/>
      <c r="AG195" s="2621"/>
      <c r="AH195" s="2621"/>
      <c r="AI195" s="2621"/>
      <c r="AJ195" s="2621"/>
      <c r="AK195" s="1304"/>
    </row>
    <row r="196" spans="1:37">
      <c r="A196" s="1288"/>
      <c r="B196" s="2620"/>
      <c r="C196" s="2620"/>
      <c r="D196" s="2620"/>
      <c r="E196" s="2620"/>
      <c r="F196" s="2620"/>
      <c r="G196" s="2620"/>
      <c r="H196" s="2620"/>
      <c r="I196" s="2620"/>
      <c r="J196" s="2620"/>
      <c r="K196" s="2620"/>
      <c r="L196" s="2620"/>
      <c r="M196" s="2620"/>
      <c r="N196" s="2620"/>
      <c r="O196" s="2620"/>
      <c r="P196" s="2620"/>
      <c r="Q196" s="2620"/>
      <c r="R196" s="2620"/>
      <c r="S196" s="2620"/>
      <c r="T196" s="2620"/>
      <c r="U196" s="2620"/>
      <c r="V196" s="2620"/>
      <c r="W196" s="2620"/>
      <c r="X196" s="2620"/>
      <c r="Y196" s="2620"/>
      <c r="Z196" s="2620"/>
      <c r="AA196" s="2620"/>
      <c r="AB196" s="2620"/>
      <c r="AC196" s="1321"/>
      <c r="AD196" s="2621"/>
      <c r="AE196" s="2621"/>
      <c r="AF196" s="2621"/>
      <c r="AG196" s="2621"/>
      <c r="AH196" s="2621"/>
      <c r="AI196" s="2621"/>
      <c r="AJ196" s="2621"/>
      <c r="AK196" s="1304"/>
    </row>
    <row r="197" spans="1:37">
      <c r="A197" s="1288"/>
      <c r="B197" s="2620"/>
      <c r="C197" s="2620"/>
      <c r="D197" s="2620"/>
      <c r="E197" s="2620"/>
      <c r="F197" s="2620"/>
      <c r="G197" s="2620"/>
      <c r="H197" s="2620"/>
      <c r="I197" s="2620"/>
      <c r="J197" s="2620"/>
      <c r="K197" s="2620"/>
      <c r="L197" s="2620"/>
      <c r="M197" s="2620"/>
      <c r="N197" s="2620"/>
      <c r="O197" s="2620"/>
      <c r="P197" s="2620"/>
      <c r="Q197" s="2620"/>
      <c r="R197" s="2620"/>
      <c r="S197" s="2620"/>
      <c r="T197" s="2620"/>
      <c r="U197" s="2620"/>
      <c r="V197" s="2620"/>
      <c r="W197" s="2620"/>
      <c r="X197" s="2620"/>
      <c r="Y197" s="2620"/>
      <c r="Z197" s="2620"/>
      <c r="AA197" s="2620"/>
      <c r="AB197" s="2620"/>
      <c r="AC197" s="1321"/>
      <c r="AD197" s="2621"/>
      <c r="AE197" s="2621"/>
      <c r="AF197" s="2621"/>
      <c r="AG197" s="2621"/>
      <c r="AH197" s="2621"/>
      <c r="AI197" s="2621"/>
      <c r="AJ197" s="2621"/>
      <c r="AK197" s="1304"/>
    </row>
    <row r="198" spans="1:37">
      <c r="A198" s="1288"/>
      <c r="B198" s="2622" t="s">
        <v>1827</v>
      </c>
      <c r="C198" s="2622"/>
      <c r="D198" s="2622"/>
      <c r="E198" s="2622"/>
      <c r="F198" s="2622"/>
      <c r="G198" s="2622"/>
      <c r="H198" s="2622"/>
      <c r="I198" s="2622"/>
      <c r="J198" s="2622"/>
      <c r="K198" s="2622"/>
      <c r="L198" s="2622"/>
      <c r="M198" s="2622"/>
      <c r="N198" s="2622"/>
      <c r="O198" s="2622"/>
      <c r="P198" s="2622"/>
      <c r="Q198" s="2622"/>
      <c r="R198" s="2622"/>
      <c r="S198" s="2622"/>
      <c r="T198" s="2622"/>
      <c r="U198" s="2622"/>
      <c r="V198" s="2622"/>
      <c r="W198" s="2622"/>
      <c r="X198" s="2622"/>
      <c r="Y198" s="2622"/>
      <c r="Z198" s="2622"/>
      <c r="AA198" s="2622"/>
      <c r="AB198" s="2622"/>
      <c r="AC198" s="1207"/>
      <c r="AD198" s="2623">
        <f>AB249</f>
        <v>2889620.4971087365</v>
      </c>
      <c r="AE198" s="2623"/>
      <c r="AF198" s="2623"/>
      <c r="AG198" s="2623"/>
      <c r="AH198" s="2623"/>
      <c r="AI198" s="2623"/>
      <c r="AJ198" s="2623"/>
      <c r="AK198" s="1304"/>
    </row>
    <row r="199" spans="1:37">
      <c r="A199" s="1288"/>
      <c r="B199" s="2624" t="s">
        <v>1790</v>
      </c>
      <c r="C199" s="2624"/>
      <c r="D199" s="2624"/>
      <c r="E199" s="2624"/>
      <c r="F199" s="2624"/>
      <c r="G199" s="2624"/>
      <c r="H199" s="2624"/>
      <c r="I199" s="2624"/>
      <c r="J199" s="2624"/>
      <c r="K199" s="2624"/>
      <c r="L199" s="2624"/>
      <c r="M199" s="2624"/>
      <c r="N199" s="2624"/>
      <c r="O199" s="2624"/>
      <c r="P199" s="2624"/>
      <c r="Q199" s="2624"/>
      <c r="R199" s="2624"/>
      <c r="S199" s="2624"/>
      <c r="T199" s="2624"/>
      <c r="U199" s="2624"/>
      <c r="V199" s="2624"/>
      <c r="W199" s="2624"/>
      <c r="X199" s="2624"/>
      <c r="Y199" s="2624"/>
      <c r="Z199" s="2624"/>
      <c r="AA199" s="2624"/>
      <c r="AB199" s="2624"/>
      <c r="AC199" s="1321"/>
      <c r="AD199" s="2625">
        <f>'Sources and Uses Budget'!B15</f>
        <v>0</v>
      </c>
      <c r="AE199" s="2625"/>
      <c r="AF199" s="2625"/>
      <c r="AG199" s="2625"/>
      <c r="AH199" s="2625"/>
      <c r="AI199" s="2625"/>
      <c r="AJ199" s="2625"/>
      <c r="AK199" s="1304"/>
    </row>
    <row r="200" spans="1:37">
      <c r="A200" s="1288"/>
      <c r="B200" s="1216"/>
      <c r="C200" s="1216"/>
      <c r="D200" s="1216"/>
      <c r="E200" s="1216"/>
      <c r="F200" s="1216"/>
      <c r="G200" s="1216"/>
      <c r="H200" s="1216"/>
      <c r="I200" s="1216"/>
      <c r="J200" s="1216"/>
      <c r="K200" s="1216"/>
      <c r="L200" s="1216"/>
      <c r="M200" s="1216"/>
      <c r="N200" s="1216"/>
      <c r="O200" s="1216"/>
      <c r="P200" s="1216"/>
      <c r="Q200" s="1216"/>
      <c r="R200" s="1216"/>
      <c r="S200" s="1216"/>
      <c r="T200" s="1216"/>
      <c r="U200" s="1216"/>
      <c r="V200" s="1216"/>
      <c r="W200" s="1216"/>
      <c r="X200" s="1216"/>
      <c r="Y200" s="1216"/>
      <c r="Z200" s="1216"/>
      <c r="AA200" s="1216"/>
      <c r="AB200" s="1322" t="s">
        <v>949</v>
      </c>
      <c r="AC200" s="1207"/>
      <c r="AD200" s="2613">
        <f>SUM(AD188:AJ198)-AD199</f>
        <v>35039620.497108735</v>
      </c>
      <c r="AE200" s="2613"/>
      <c r="AF200" s="2613"/>
      <c r="AG200" s="2613"/>
      <c r="AH200" s="2613"/>
      <c r="AI200" s="2613"/>
      <c r="AJ200" s="2613"/>
      <c r="AK200" s="1304"/>
    </row>
    <row r="201" spans="1:37">
      <c r="A201" s="1288"/>
      <c r="B201" s="1288"/>
      <c r="C201" s="1317"/>
      <c r="D201" s="1318"/>
      <c r="E201" s="1318"/>
      <c r="F201" s="1318"/>
      <c r="G201" s="1318"/>
      <c r="H201" s="1318"/>
      <c r="I201" s="1318"/>
      <c r="J201" s="1318"/>
      <c r="K201" s="1207"/>
      <c r="L201" s="1207"/>
      <c r="M201" s="1207"/>
      <c r="N201" s="1207"/>
      <c r="O201" s="1207"/>
      <c r="P201" s="1207"/>
      <c r="Q201" s="1207"/>
      <c r="R201" s="1207"/>
      <c r="S201" s="1207"/>
      <c r="T201" s="1207"/>
      <c r="U201" s="1207"/>
      <c r="V201" s="1207"/>
      <c r="W201" s="1207"/>
      <c r="X201" s="1207"/>
      <c r="Y201" s="1319"/>
      <c r="Z201" s="1319"/>
      <c r="AA201" s="1319"/>
      <c r="AB201" s="1319"/>
      <c r="AC201" s="1207"/>
      <c r="AD201" s="1207"/>
      <c r="AE201" s="1304"/>
      <c r="AF201" s="1304"/>
      <c r="AG201" s="1304"/>
      <c r="AH201" s="1304"/>
      <c r="AI201" s="1304"/>
      <c r="AJ201" s="1304"/>
      <c r="AK201" s="1304"/>
    </row>
    <row r="202" spans="1:37">
      <c r="A202" s="1288"/>
      <c r="B202" s="1323" t="s">
        <v>1795</v>
      </c>
      <c r="C202" s="1317"/>
      <c r="D202" s="1318"/>
      <c r="E202" s="1318"/>
      <c r="F202" s="1318"/>
      <c r="G202" s="1318"/>
      <c r="H202" s="1318"/>
      <c r="I202" s="1318"/>
      <c r="J202" s="1318"/>
      <c r="K202" s="1207"/>
      <c r="L202" s="1207"/>
      <c r="M202" s="1207"/>
      <c r="N202" s="1207"/>
      <c r="O202" s="1207"/>
      <c r="P202" s="1207"/>
      <c r="Q202" s="1207"/>
      <c r="R202" s="1207"/>
      <c r="S202" s="1207"/>
      <c r="T202" s="1207"/>
      <c r="U202" s="1207"/>
      <c r="V202" s="1207"/>
      <c r="W202" s="1207"/>
      <c r="X202" s="1207"/>
      <c r="Y202" s="1319"/>
      <c r="Z202" s="1319"/>
      <c r="AA202" s="1319"/>
      <c r="AB202" s="1319"/>
      <c r="AC202" s="1207"/>
      <c r="AD202" s="1207"/>
      <c r="AE202" s="1304"/>
      <c r="AF202" s="1304"/>
      <c r="AG202" s="1304"/>
      <c r="AH202" s="1304"/>
      <c r="AI202" s="1304"/>
      <c r="AJ202" s="1304"/>
      <c r="AK202" s="1304"/>
    </row>
    <row r="203" spans="1:37">
      <c r="A203" s="1288"/>
      <c r="B203" s="1085" t="s">
        <v>1826</v>
      </c>
      <c r="C203" s="1317"/>
      <c r="D203" s="1318"/>
      <c r="E203" s="1318"/>
      <c r="F203" s="1318"/>
      <c r="G203" s="1318"/>
      <c r="H203" s="1318"/>
      <c r="I203" s="1318"/>
      <c r="J203" s="1318"/>
      <c r="K203" s="1207"/>
      <c r="L203" s="1207"/>
      <c r="M203" s="1207"/>
      <c r="N203" s="1207"/>
      <c r="O203" s="1207"/>
      <c r="P203" s="1207"/>
      <c r="Q203" s="1207"/>
      <c r="R203" s="1207"/>
      <c r="S203" s="1207"/>
      <c r="T203" s="1207"/>
      <c r="U203" s="1207"/>
      <c r="V203" s="1207"/>
      <c r="W203" s="1207"/>
      <c r="X203" s="1207"/>
      <c r="Y203" s="1319"/>
      <c r="Z203" s="1319"/>
      <c r="AA203" s="1319"/>
      <c r="AB203" s="1319"/>
      <c r="AC203" s="1207"/>
      <c r="AD203" s="1207"/>
      <c r="AE203" s="1304"/>
      <c r="AF203" s="1304"/>
      <c r="AG203" s="1304"/>
      <c r="AH203" s="1304"/>
      <c r="AI203" s="1304"/>
      <c r="AJ203" s="1304"/>
      <c r="AK203" s="1304"/>
    </row>
    <row r="204" spans="1:37">
      <c r="A204" s="1324"/>
      <c r="B204" s="1325" t="s">
        <v>1797</v>
      </c>
      <c r="C204" s="1326"/>
      <c r="D204" s="1327"/>
      <c r="E204" s="1327"/>
      <c r="F204" s="1327"/>
      <c r="G204" s="1327"/>
      <c r="H204" s="1327"/>
      <c r="I204" s="1327"/>
      <c r="J204" s="1327"/>
      <c r="K204" s="1328"/>
      <c r="L204" s="1328"/>
      <c r="M204" s="1328"/>
      <c r="N204" s="1328"/>
      <c r="O204" s="1328"/>
      <c r="P204" s="1328"/>
      <c r="Q204" s="1328"/>
      <c r="R204" s="1328"/>
      <c r="S204" s="1329"/>
      <c r="T204" s="1329"/>
      <c r="U204" s="1329"/>
      <c r="V204" s="1329"/>
      <c r="W204" s="1329"/>
      <c r="X204" s="1329"/>
      <c r="Y204" s="1330"/>
      <c r="Z204" s="1330"/>
      <c r="AA204" s="1330"/>
      <c r="AB204" s="1330"/>
      <c r="AC204" s="1329"/>
      <c r="AD204" s="1329"/>
      <c r="AE204" s="1331"/>
      <c r="AF204" s="1331"/>
      <c r="AG204" s="1331"/>
      <c r="AH204" s="1331"/>
      <c r="AI204" s="1331"/>
      <c r="AJ204" s="1332"/>
      <c r="AK204" s="1304"/>
    </row>
    <row r="205" spans="1:37">
      <c r="A205" s="1324"/>
      <c r="B205" s="1333" t="s">
        <v>1798</v>
      </c>
      <c r="C205" s="1334"/>
      <c r="D205" s="1335"/>
      <c r="E205" s="1335"/>
      <c r="F205" s="1335"/>
      <c r="G205" s="1335"/>
      <c r="H205" s="1335"/>
      <c r="I205" s="1335"/>
      <c r="J205" s="1335"/>
      <c r="K205" s="1336"/>
      <c r="L205" s="1336"/>
      <c r="M205" s="1336"/>
      <c r="N205" s="1336"/>
      <c r="O205" s="1336"/>
      <c r="P205" s="1336"/>
      <c r="Q205" s="1336"/>
      <c r="R205" s="1336"/>
      <c r="S205" s="1207"/>
      <c r="T205" s="1207"/>
      <c r="U205" s="1207"/>
      <c r="V205" s="1207"/>
      <c r="W205" s="1207"/>
      <c r="X205" s="1207"/>
      <c r="Y205" s="1319"/>
      <c r="Z205" s="1319"/>
      <c r="AA205" s="1319"/>
      <c r="AB205" s="1319"/>
      <c r="AC205" s="1207"/>
      <c r="AD205" s="1207"/>
      <c r="AE205" s="1304"/>
      <c r="AF205" s="1304"/>
      <c r="AG205" s="1304"/>
      <c r="AH205" s="1304"/>
      <c r="AI205" s="1304"/>
      <c r="AJ205" s="1337"/>
      <c r="AK205" s="1304"/>
    </row>
    <row r="206" spans="1:37">
      <c r="A206" s="1324"/>
      <c r="B206" s="1333" t="s">
        <v>2708</v>
      </c>
      <c r="C206" s="1334"/>
      <c r="D206" s="1335"/>
      <c r="E206" s="1335"/>
      <c r="F206" s="1335"/>
      <c r="G206" s="1335"/>
      <c r="H206" s="1335"/>
      <c r="I206" s="1335"/>
      <c r="J206" s="1335"/>
      <c r="K206" s="1336"/>
      <c r="L206" s="1336"/>
      <c r="M206" s="1336"/>
      <c r="N206" s="1336"/>
      <c r="O206" s="1336"/>
      <c r="P206" s="1336"/>
      <c r="Q206" s="1336"/>
      <c r="R206" s="1336"/>
      <c r="S206" s="1207"/>
      <c r="T206" s="1207"/>
      <c r="U206" s="1207"/>
      <c r="V206" s="1207"/>
      <c r="W206" s="1207"/>
      <c r="X206" s="1207"/>
      <c r="Y206" s="1319"/>
      <c r="Z206" s="1319"/>
      <c r="AA206" s="1319"/>
      <c r="AB206" s="1319"/>
      <c r="AC206" s="1207"/>
      <c r="AD206" s="1207"/>
      <c r="AE206" s="1304"/>
      <c r="AF206" s="1304"/>
      <c r="AG206" s="1304"/>
      <c r="AH206" s="1304"/>
      <c r="AI206" s="1304"/>
      <c r="AJ206" s="1337"/>
      <c r="AK206" s="1304"/>
    </row>
    <row r="207" spans="1:37">
      <c r="A207" s="1324"/>
      <c r="B207" s="1333" t="s">
        <v>1799</v>
      </c>
      <c r="C207" s="1334"/>
      <c r="D207" s="1335"/>
      <c r="E207" s="1335"/>
      <c r="F207" s="1335"/>
      <c r="G207" s="1335"/>
      <c r="H207" s="1335"/>
      <c r="I207" s="1335"/>
      <c r="J207" s="1335"/>
      <c r="K207" s="1336"/>
      <c r="L207" s="1336"/>
      <c r="M207" s="1336"/>
      <c r="N207" s="1336"/>
      <c r="O207" s="1336"/>
      <c r="P207" s="1336"/>
      <c r="Q207" s="1336"/>
      <c r="R207" s="1336"/>
      <c r="S207" s="1207"/>
      <c r="T207" s="1207"/>
      <c r="U207" s="1207"/>
      <c r="V207" s="1207"/>
      <c r="W207" s="1207"/>
      <c r="X207" s="1207"/>
      <c r="Y207" s="1319"/>
      <c r="Z207" s="1319"/>
      <c r="AA207" s="1319"/>
      <c r="AB207" s="1319"/>
      <c r="AC207" s="1207"/>
      <c r="AD207" s="1207"/>
      <c r="AE207" s="1304"/>
      <c r="AF207" s="1304"/>
      <c r="AG207" s="1304"/>
      <c r="AH207" s="1304"/>
      <c r="AI207" s="1304"/>
      <c r="AJ207" s="1337"/>
      <c r="AK207" s="1304"/>
    </row>
    <row r="208" spans="1:37">
      <c r="A208" s="1324"/>
      <c r="B208" s="1338" t="s">
        <v>1800</v>
      </c>
      <c r="C208" s="1334"/>
      <c r="D208" s="1335"/>
      <c r="E208" s="1335"/>
      <c r="F208" s="1335"/>
      <c r="G208" s="1335"/>
      <c r="H208" s="1335"/>
      <c r="I208" s="1335"/>
      <c r="J208" s="1335"/>
      <c r="K208" s="1336"/>
      <c r="L208" s="1336"/>
      <c r="M208" s="1336"/>
      <c r="N208" s="1336"/>
      <c r="O208" s="1336"/>
      <c r="P208" s="1336"/>
      <c r="Q208" s="1336"/>
      <c r="R208" s="1336"/>
      <c r="S208" s="1207"/>
      <c r="T208" s="1207"/>
      <c r="U208" s="1207"/>
      <c r="V208" s="1207"/>
      <c r="W208" s="1207"/>
      <c r="X208" s="1207"/>
      <c r="Y208" s="1319"/>
      <c r="Z208" s="1319"/>
      <c r="AA208" s="1319"/>
      <c r="AB208" s="1319"/>
      <c r="AC208" s="1207"/>
      <c r="AD208" s="1207"/>
      <c r="AE208" s="1304"/>
      <c r="AF208" s="1304"/>
      <c r="AG208" s="1304"/>
      <c r="AH208" s="1304"/>
      <c r="AI208" s="1304"/>
      <c r="AJ208" s="1337"/>
      <c r="AK208" s="1304"/>
    </row>
    <row r="209" spans="1:37">
      <c r="A209" s="1324"/>
      <c r="B209" s="1339" t="s">
        <v>1838</v>
      </c>
      <c r="C209" s="1340"/>
      <c r="D209" s="1341"/>
      <c r="E209" s="1341"/>
      <c r="F209" s="1341"/>
      <c r="G209" s="1341"/>
      <c r="H209" s="1341"/>
      <c r="I209" s="1341"/>
      <c r="J209" s="1341"/>
      <c r="K209" s="1342"/>
      <c r="L209" s="1342"/>
      <c r="M209" s="1342"/>
      <c r="N209" s="1342"/>
      <c r="O209" s="1342"/>
      <c r="P209" s="1342"/>
      <c r="Q209" s="1342"/>
      <c r="R209" s="1342"/>
      <c r="S209" s="1343"/>
      <c r="T209" s="1343"/>
      <c r="U209" s="1343"/>
      <c r="V209" s="1343"/>
      <c r="W209" s="1343"/>
      <c r="X209" s="1343"/>
      <c r="Y209" s="1344"/>
      <c r="Z209" s="1344"/>
      <c r="AA209" s="1344"/>
      <c r="AB209" s="1344"/>
      <c r="AC209" s="1343"/>
      <c r="AD209" s="1343"/>
      <c r="AE209" s="1345"/>
      <c r="AF209" s="1345"/>
      <c r="AG209" s="1345"/>
      <c r="AH209" s="1345"/>
      <c r="AI209" s="1345"/>
      <c r="AJ209" s="1346"/>
      <c r="AK209" s="1304"/>
    </row>
    <row r="210" spans="1:37">
      <c r="A210" s="1288"/>
      <c r="B210" s="1288"/>
      <c r="C210" s="1317"/>
      <c r="D210" s="1318"/>
      <c r="E210" s="1318"/>
      <c r="F210" s="1318"/>
      <c r="G210" s="1318"/>
      <c r="H210" s="1318"/>
      <c r="I210" s="1318"/>
      <c r="J210" s="1318"/>
      <c r="K210" s="1207"/>
      <c r="L210" s="1207"/>
      <c r="M210" s="1207"/>
      <c r="N210" s="1207"/>
      <c r="O210" s="1207"/>
      <c r="P210" s="1207"/>
      <c r="Q210" s="1207"/>
      <c r="R210" s="1207"/>
      <c r="S210" s="1207"/>
      <c r="T210" s="1207"/>
      <c r="U210" s="1207"/>
      <c r="V210" s="1207"/>
      <c r="W210" s="1207"/>
      <c r="X210" s="1207"/>
      <c r="Y210" s="1319"/>
      <c r="Z210" s="1319"/>
      <c r="AA210" s="1319"/>
      <c r="AB210" s="1319"/>
      <c r="AC210" s="1207"/>
      <c r="AD210" s="1207"/>
      <c r="AE210" s="1304"/>
      <c r="AF210" s="1304"/>
      <c r="AG210" s="1304"/>
      <c r="AH210" s="1304"/>
      <c r="AI210" s="1304"/>
      <c r="AJ210" s="1304"/>
      <c r="AK210" s="1304"/>
    </row>
    <row r="211" spans="1:37">
      <c r="A211" s="1288"/>
      <c r="B211" s="1347"/>
      <c r="C211" s="1085"/>
      <c r="D211" s="1085"/>
      <c r="I211" s="2614" t="s">
        <v>1807</v>
      </c>
      <c r="J211" s="2614"/>
      <c r="K211" s="2614"/>
      <c r="L211" s="1207"/>
      <c r="M211" s="1207"/>
      <c r="N211" s="1207"/>
      <c r="O211" s="1207"/>
      <c r="P211" s="1207"/>
      <c r="Q211" s="1207"/>
      <c r="R211" s="1207"/>
      <c r="S211" s="1207"/>
      <c r="T211" s="2615" t="s">
        <v>1801</v>
      </c>
      <c r="U211" s="2615"/>
      <c r="V211" s="2615"/>
      <c r="W211" s="2615"/>
      <c r="X211" s="2615"/>
      <c r="Y211" s="2615"/>
      <c r="Z211" s="1348"/>
      <c r="AA211" s="1290"/>
      <c r="AB211" s="2602" t="s">
        <v>1802</v>
      </c>
      <c r="AC211" s="2602"/>
      <c r="AD211" s="2602"/>
      <c r="AE211" s="2602"/>
      <c r="AF211" s="2602"/>
      <c r="AG211" s="2602"/>
      <c r="AH211" s="1318"/>
      <c r="AI211" s="1318"/>
      <c r="AJ211" s="1318"/>
      <c r="AK211" s="1304"/>
    </row>
    <row r="212" spans="1:37">
      <c r="A212" s="1288"/>
      <c r="B212" s="2616" t="s">
        <v>1787</v>
      </c>
      <c r="C212" s="2616"/>
      <c r="D212" s="2616"/>
      <c r="E212" s="2616"/>
      <c r="F212" s="2616"/>
      <c r="G212" s="2616"/>
      <c r="I212" s="2617" t="s">
        <v>1808</v>
      </c>
      <c r="J212" s="2617"/>
      <c r="K212" s="2617"/>
      <c r="L212" s="1349"/>
      <c r="N212" s="2618" t="s">
        <v>1803</v>
      </c>
      <c r="O212" s="2618"/>
      <c r="P212" s="2618"/>
      <c r="Q212" s="2618"/>
      <c r="R212" s="2618"/>
      <c r="T212" s="2618" t="s">
        <v>1804</v>
      </c>
      <c r="U212" s="2618"/>
      <c r="V212" s="2618"/>
      <c r="W212" s="2618"/>
      <c r="X212" s="2618"/>
      <c r="Y212" s="2618"/>
      <c r="Z212" s="1350"/>
      <c r="AA212" s="1290"/>
      <c r="AB212" s="2619" t="s">
        <v>1805</v>
      </c>
      <c r="AC212" s="2619"/>
      <c r="AD212" s="2619"/>
      <c r="AE212" s="2619"/>
      <c r="AF212" s="2619"/>
      <c r="AG212" s="2619"/>
      <c r="AH212" s="1318"/>
      <c r="AI212" s="1318"/>
      <c r="AJ212" s="1318"/>
      <c r="AK212" s="1304"/>
    </row>
    <row r="213" spans="1:37">
      <c r="A213" s="1288"/>
      <c r="B213" s="2608" t="s">
        <v>329</v>
      </c>
      <c r="C213" s="2608"/>
      <c r="D213" s="2608"/>
      <c r="E213" s="2608"/>
      <c r="F213" s="2608"/>
      <c r="G213" s="2608"/>
      <c r="H213" s="1351"/>
      <c r="I213" s="2609">
        <v>12</v>
      </c>
      <c r="J213" s="2609"/>
      <c r="K213" s="2609"/>
      <c r="L213" s="1349"/>
      <c r="N213" s="2610">
        <v>443</v>
      </c>
      <c r="O213" s="2610"/>
      <c r="P213" s="2610"/>
      <c r="Q213" s="2610"/>
      <c r="R213" s="2610"/>
      <c r="T213" s="2611">
        <v>2190</v>
      </c>
      <c r="U213" s="2611"/>
      <c r="V213" s="2611"/>
      <c r="W213" s="2611"/>
      <c r="X213" s="2611"/>
      <c r="Y213" s="2611"/>
      <c r="Z213" s="1352"/>
      <c r="AA213" s="1352"/>
      <c r="AB213" s="2599">
        <f t="shared" ref="AB213:AB222" si="0">MAX(($T213-$N213)*$I213*12,0)</f>
        <v>251568</v>
      </c>
      <c r="AC213" s="2599"/>
      <c r="AD213" s="2599"/>
      <c r="AE213" s="2599"/>
      <c r="AF213" s="2599"/>
      <c r="AG213" s="2599"/>
      <c r="AH213" s="1318"/>
      <c r="AI213" s="1318"/>
      <c r="AJ213" s="1318"/>
      <c r="AK213" s="1304"/>
    </row>
    <row r="214" spans="1:37">
      <c r="A214" s="1288"/>
      <c r="B214" s="2608" t="s">
        <v>2759</v>
      </c>
      <c r="C214" s="2608"/>
      <c r="D214" s="2608"/>
      <c r="E214" s="2608"/>
      <c r="F214" s="2608"/>
      <c r="G214" s="2608"/>
      <c r="I214" s="2609">
        <v>2</v>
      </c>
      <c r="J214" s="2609"/>
      <c r="K214" s="2609"/>
      <c r="L214" s="1349"/>
      <c r="N214" s="2610">
        <v>873</v>
      </c>
      <c r="O214" s="2610"/>
      <c r="P214" s="2610"/>
      <c r="Q214" s="2610"/>
      <c r="R214" s="2610"/>
      <c r="T214" s="2611">
        <v>3328</v>
      </c>
      <c r="U214" s="2611"/>
      <c r="V214" s="2611"/>
      <c r="W214" s="2611"/>
      <c r="X214" s="2611"/>
      <c r="Y214" s="2611"/>
      <c r="Z214" s="1352"/>
      <c r="AA214" s="1352"/>
      <c r="AB214" s="2599">
        <f t="shared" si="0"/>
        <v>58920</v>
      </c>
      <c r="AC214" s="2599"/>
      <c r="AD214" s="2599"/>
      <c r="AE214" s="2599"/>
      <c r="AF214" s="2599"/>
      <c r="AG214" s="2599"/>
      <c r="AH214" s="1318"/>
      <c r="AI214" s="1318"/>
      <c r="AJ214" s="1318"/>
      <c r="AK214" s="1304"/>
    </row>
    <row r="215" spans="1:37">
      <c r="A215" s="1288"/>
      <c r="B215" s="2608" t="s">
        <v>1345</v>
      </c>
      <c r="C215" s="2608"/>
      <c r="D215" s="2608"/>
      <c r="E215" s="2608"/>
      <c r="F215" s="2608"/>
      <c r="G215" s="2608"/>
      <c r="I215" s="2609"/>
      <c r="J215" s="2609"/>
      <c r="K215" s="2609"/>
      <c r="L215" s="1349"/>
      <c r="N215" s="2610"/>
      <c r="O215" s="2610"/>
      <c r="P215" s="2610"/>
      <c r="Q215" s="2610"/>
      <c r="R215" s="2610"/>
      <c r="T215" s="2611"/>
      <c r="U215" s="2611"/>
      <c r="V215" s="2611"/>
      <c r="W215" s="2611"/>
      <c r="X215" s="2611"/>
      <c r="Y215" s="2611"/>
      <c r="Z215" s="1352"/>
      <c r="AA215" s="1352"/>
      <c r="AB215" s="2599">
        <f t="shared" si="0"/>
        <v>0</v>
      </c>
      <c r="AC215" s="2599"/>
      <c r="AD215" s="2599"/>
      <c r="AE215" s="2599"/>
      <c r="AF215" s="2599"/>
      <c r="AG215" s="2599"/>
      <c r="AH215" s="1318"/>
      <c r="AI215" s="1318"/>
      <c r="AJ215" s="1318"/>
      <c r="AK215" s="1304"/>
    </row>
    <row r="216" spans="1:37">
      <c r="A216" s="1288"/>
      <c r="B216" s="2608" t="s">
        <v>1345</v>
      </c>
      <c r="C216" s="2608"/>
      <c r="D216" s="2608"/>
      <c r="E216" s="2608"/>
      <c r="F216" s="2608"/>
      <c r="G216" s="2608"/>
      <c r="I216" s="2609"/>
      <c r="J216" s="2609"/>
      <c r="K216" s="2609"/>
      <c r="L216" s="1349"/>
      <c r="N216" s="2610"/>
      <c r="O216" s="2610"/>
      <c r="P216" s="2610"/>
      <c r="Q216" s="2610"/>
      <c r="R216" s="2610"/>
      <c r="T216" s="2611"/>
      <c r="U216" s="2611"/>
      <c r="V216" s="2611"/>
      <c r="W216" s="2611"/>
      <c r="X216" s="2611"/>
      <c r="Y216" s="2611"/>
      <c r="Z216" s="1352"/>
      <c r="AA216" s="1352"/>
      <c r="AB216" s="2599">
        <f t="shared" si="0"/>
        <v>0</v>
      </c>
      <c r="AC216" s="2599"/>
      <c r="AD216" s="2599"/>
      <c r="AE216" s="2599"/>
      <c r="AF216" s="2599"/>
      <c r="AG216" s="2599"/>
      <c r="AH216" s="1318"/>
      <c r="AI216" s="1318"/>
      <c r="AJ216" s="1318"/>
      <c r="AK216" s="1304"/>
    </row>
    <row r="217" spans="1:37">
      <c r="A217" s="1288"/>
      <c r="B217" s="2608" t="s">
        <v>1345</v>
      </c>
      <c r="C217" s="2608"/>
      <c r="D217" s="2608"/>
      <c r="E217" s="2608"/>
      <c r="F217" s="2608"/>
      <c r="G217" s="2608"/>
      <c r="I217" s="2609"/>
      <c r="J217" s="2609"/>
      <c r="K217" s="2609"/>
      <c r="L217" s="1353"/>
      <c r="N217" s="2610"/>
      <c r="O217" s="2610"/>
      <c r="P217" s="2610"/>
      <c r="Q217" s="2610"/>
      <c r="R217" s="2610"/>
      <c r="T217" s="2611"/>
      <c r="U217" s="2611"/>
      <c r="V217" s="2611"/>
      <c r="W217" s="2611"/>
      <c r="X217" s="2611"/>
      <c r="Y217" s="2611"/>
      <c r="Z217" s="1352"/>
      <c r="AA217" s="1352"/>
      <c r="AB217" s="2599">
        <f t="shared" si="0"/>
        <v>0</v>
      </c>
      <c r="AC217" s="2599"/>
      <c r="AD217" s="2599"/>
      <c r="AE217" s="2599"/>
      <c r="AF217" s="2599"/>
      <c r="AG217" s="2599"/>
      <c r="AH217" s="1318"/>
      <c r="AI217" s="1318"/>
      <c r="AJ217" s="1318"/>
      <c r="AK217" s="1304"/>
    </row>
    <row r="218" spans="1:37">
      <c r="A218" s="1288"/>
      <c r="B218" s="2608" t="s">
        <v>1345</v>
      </c>
      <c r="C218" s="2608"/>
      <c r="D218" s="2608"/>
      <c r="E218" s="2608"/>
      <c r="F218" s="2608"/>
      <c r="G218" s="2608"/>
      <c r="I218" s="2609"/>
      <c r="J218" s="2609"/>
      <c r="K218" s="2609"/>
      <c r="L218" s="1353"/>
      <c r="N218" s="2610"/>
      <c r="O218" s="2610"/>
      <c r="P218" s="2610"/>
      <c r="Q218" s="2610"/>
      <c r="R218" s="2610"/>
      <c r="T218" s="2611"/>
      <c r="U218" s="2611"/>
      <c r="V218" s="2611"/>
      <c r="W218" s="2611"/>
      <c r="X218" s="2611"/>
      <c r="Y218" s="2611"/>
      <c r="Z218" s="1352"/>
      <c r="AA218" s="1352"/>
      <c r="AB218" s="2599">
        <f t="shared" si="0"/>
        <v>0</v>
      </c>
      <c r="AC218" s="2599"/>
      <c r="AD218" s="2599"/>
      <c r="AE218" s="2599"/>
      <c r="AF218" s="2599"/>
      <c r="AG218" s="2599"/>
      <c r="AH218" s="1318"/>
      <c r="AI218" s="1318"/>
      <c r="AJ218" s="1318"/>
      <c r="AK218" s="1304"/>
    </row>
    <row r="219" spans="1:37">
      <c r="A219" s="1288"/>
      <c r="B219" s="2608" t="s">
        <v>1345</v>
      </c>
      <c r="C219" s="2608"/>
      <c r="D219" s="2608"/>
      <c r="E219" s="2608"/>
      <c r="F219" s="2608"/>
      <c r="G219" s="2608"/>
      <c r="I219" s="2609"/>
      <c r="J219" s="2609"/>
      <c r="K219" s="2609"/>
      <c r="L219" s="1353"/>
      <c r="N219" s="2610"/>
      <c r="O219" s="2610"/>
      <c r="P219" s="2610"/>
      <c r="Q219" s="2610"/>
      <c r="R219" s="2610"/>
      <c r="T219" s="2611"/>
      <c r="U219" s="2611"/>
      <c r="V219" s="2611"/>
      <c r="W219" s="2611"/>
      <c r="X219" s="2611"/>
      <c r="Y219" s="2611"/>
      <c r="Z219" s="1352"/>
      <c r="AA219" s="1352"/>
      <c r="AB219" s="2599">
        <f t="shared" si="0"/>
        <v>0</v>
      </c>
      <c r="AC219" s="2599"/>
      <c r="AD219" s="2599"/>
      <c r="AE219" s="2599"/>
      <c r="AF219" s="2599"/>
      <c r="AG219" s="2599"/>
      <c r="AH219" s="1318"/>
      <c r="AI219" s="1318"/>
      <c r="AJ219" s="1318"/>
      <c r="AK219" s="1304"/>
    </row>
    <row r="220" spans="1:37">
      <c r="A220" s="1288"/>
      <c r="B220" s="2608" t="s">
        <v>1345</v>
      </c>
      <c r="C220" s="2608"/>
      <c r="D220" s="2608"/>
      <c r="E220" s="2608"/>
      <c r="F220" s="2608"/>
      <c r="G220" s="2608"/>
      <c r="I220" s="2609"/>
      <c r="J220" s="2609"/>
      <c r="K220" s="2609"/>
      <c r="L220" s="1353"/>
      <c r="N220" s="2610"/>
      <c r="O220" s="2610"/>
      <c r="P220" s="2610"/>
      <c r="Q220" s="2610"/>
      <c r="R220" s="2610"/>
      <c r="T220" s="2611"/>
      <c r="U220" s="2611"/>
      <c r="V220" s="2611"/>
      <c r="W220" s="2611"/>
      <c r="X220" s="2611"/>
      <c r="Y220" s="2611"/>
      <c r="Z220" s="1352"/>
      <c r="AA220" s="1352"/>
      <c r="AB220" s="2599">
        <f t="shared" si="0"/>
        <v>0</v>
      </c>
      <c r="AC220" s="2599"/>
      <c r="AD220" s="2599"/>
      <c r="AE220" s="2599"/>
      <c r="AF220" s="2599"/>
      <c r="AG220" s="2599"/>
      <c r="AH220" s="1318"/>
      <c r="AI220" s="1318"/>
      <c r="AJ220" s="1318"/>
      <c r="AK220" s="1304"/>
    </row>
    <row r="221" spans="1:37">
      <c r="A221" s="1288"/>
      <c r="B221" s="2608" t="s">
        <v>1345</v>
      </c>
      <c r="C221" s="2608"/>
      <c r="D221" s="2608"/>
      <c r="E221" s="2608"/>
      <c r="F221" s="2608"/>
      <c r="G221" s="2608"/>
      <c r="I221" s="2609"/>
      <c r="J221" s="2609"/>
      <c r="K221" s="2609"/>
      <c r="L221" s="1353"/>
      <c r="N221" s="2610"/>
      <c r="O221" s="2610"/>
      <c r="P221" s="2610"/>
      <c r="Q221" s="2610"/>
      <c r="R221" s="2610"/>
      <c r="T221" s="2611"/>
      <c r="U221" s="2611"/>
      <c r="V221" s="2611"/>
      <c r="W221" s="2611"/>
      <c r="X221" s="2611"/>
      <c r="Y221" s="2611"/>
      <c r="Z221" s="1352"/>
      <c r="AA221" s="1352"/>
      <c r="AB221" s="2599">
        <f t="shared" si="0"/>
        <v>0</v>
      </c>
      <c r="AC221" s="2599"/>
      <c r="AD221" s="2599"/>
      <c r="AE221" s="2599"/>
      <c r="AF221" s="2599"/>
      <c r="AG221" s="2599"/>
      <c r="AH221" s="1318"/>
      <c r="AI221" s="1318"/>
      <c r="AJ221" s="1318"/>
      <c r="AK221" s="1304"/>
    </row>
    <row r="222" spans="1:37">
      <c r="A222" s="1288"/>
      <c r="B222" s="2608" t="s">
        <v>1345</v>
      </c>
      <c r="C222" s="2608"/>
      <c r="D222" s="2608"/>
      <c r="E222" s="2608"/>
      <c r="F222" s="2608"/>
      <c r="G222" s="2608"/>
      <c r="I222" s="2612"/>
      <c r="J222" s="2612"/>
      <c r="K222" s="2612"/>
      <c r="L222" s="1353"/>
      <c r="N222" s="2610"/>
      <c r="O222" s="2610"/>
      <c r="P222" s="2610"/>
      <c r="Q222" s="2610"/>
      <c r="R222" s="2610"/>
      <c r="T222" s="2611"/>
      <c r="U222" s="2611"/>
      <c r="V222" s="2611"/>
      <c r="W222" s="2611"/>
      <c r="X222" s="2611"/>
      <c r="Y222" s="2611"/>
      <c r="Z222" s="1352"/>
      <c r="AA222" s="1352"/>
      <c r="AB222" s="2607">
        <f t="shared" si="0"/>
        <v>0</v>
      </c>
      <c r="AC222" s="2607"/>
      <c r="AD222" s="2607"/>
      <c r="AE222" s="2607"/>
      <c r="AF222" s="2607"/>
      <c r="AG222" s="2607"/>
      <c r="AH222" s="1318"/>
      <c r="AI222" s="1318"/>
      <c r="AJ222" s="1318"/>
      <c r="AK222" s="1304"/>
    </row>
    <row r="223" spans="1:37">
      <c r="A223" s="1288"/>
      <c r="B223" s="1085"/>
      <c r="C223" s="1351"/>
      <c r="D223" s="1085"/>
      <c r="K223" s="1207"/>
      <c r="L223" s="1207"/>
      <c r="M223" s="1207"/>
      <c r="N223" s="1207"/>
      <c r="O223" s="1207"/>
      <c r="P223" s="1207"/>
      <c r="Q223" s="1207"/>
      <c r="R223" s="1207"/>
      <c r="S223" s="1207"/>
      <c r="T223" s="1207"/>
      <c r="U223" s="1207"/>
      <c r="V223" s="1207"/>
      <c r="W223" s="1207"/>
      <c r="X223" s="1207"/>
      <c r="Y223" s="1354" t="s">
        <v>1806</v>
      </c>
      <c r="AA223" s="1354"/>
      <c r="AB223" s="2599">
        <f>SUM(AB213:AB222)</f>
        <v>310488</v>
      </c>
      <c r="AC223" s="2599"/>
      <c r="AD223" s="2599"/>
      <c r="AE223" s="2599"/>
      <c r="AF223" s="2599"/>
      <c r="AG223" s="2599"/>
      <c r="AH223" s="1318"/>
      <c r="AI223" s="1318"/>
      <c r="AJ223" s="1318"/>
      <c r="AK223" s="1304"/>
    </row>
    <row r="224" spans="1:37">
      <c r="A224" s="1288"/>
      <c r="B224" s="1288"/>
      <c r="C224" s="1317"/>
      <c r="D224" s="1318"/>
      <c r="E224" s="1318"/>
      <c r="F224" s="1318"/>
      <c r="G224" s="1318"/>
      <c r="H224" s="1318"/>
      <c r="I224" s="1318"/>
      <c r="J224" s="1318"/>
      <c r="K224" s="1222"/>
      <c r="L224" s="1222"/>
      <c r="M224" s="1222"/>
      <c r="N224" s="1222"/>
      <c r="O224" s="1222"/>
      <c r="P224" s="1222"/>
      <c r="Q224" s="1222"/>
      <c r="R224" s="1222"/>
      <c r="S224" s="1222"/>
      <c r="T224" s="1222"/>
      <c r="U224" s="1222"/>
      <c r="V224" s="1222"/>
      <c r="W224" s="1222"/>
      <c r="X224" s="1222"/>
      <c r="Y224" s="1319"/>
      <c r="Z224" s="1319"/>
      <c r="AA224" s="1319"/>
      <c r="AB224" s="1319"/>
      <c r="AC224" s="1222"/>
      <c r="AD224" s="1222"/>
      <c r="AE224" s="1304"/>
      <c r="AF224" s="1304"/>
      <c r="AG224" s="1304"/>
      <c r="AH224" s="1304"/>
      <c r="AI224" s="1304"/>
      <c r="AJ224" s="1304"/>
      <c r="AK224" s="1304"/>
    </row>
    <row r="225" spans="1:37">
      <c r="A225" s="1355" t="s">
        <v>1796</v>
      </c>
      <c r="C225" s="1317"/>
      <c r="D225" s="1318"/>
      <c r="E225" s="1318"/>
      <c r="F225" s="1318"/>
      <c r="G225" s="1318"/>
      <c r="H225" s="1318"/>
      <c r="I225" s="1318"/>
      <c r="J225" s="1318"/>
      <c r="K225" s="1207"/>
      <c r="L225" s="1207"/>
      <c r="M225" s="1207"/>
      <c r="N225" s="1207"/>
      <c r="O225" s="1207"/>
      <c r="P225" s="1207"/>
      <c r="Q225" s="1207"/>
      <c r="R225" s="1207"/>
      <c r="S225" s="1207"/>
      <c r="T225" s="1207"/>
      <c r="U225" s="1207"/>
      <c r="V225" s="1207"/>
      <c r="W225" s="1207"/>
      <c r="X225" s="1207"/>
      <c r="Y225" s="1319"/>
      <c r="Z225" s="1319"/>
      <c r="AA225" s="1319"/>
      <c r="AB225" s="1319"/>
      <c r="AC225" s="1207"/>
      <c r="AD225" s="1207"/>
      <c r="AE225" s="1304"/>
      <c r="AF225" s="1304"/>
      <c r="AG225" s="1304"/>
      <c r="AH225" s="1304"/>
      <c r="AI225" s="1304"/>
      <c r="AJ225" s="1304"/>
      <c r="AK225" s="1304"/>
    </row>
    <row r="226" spans="1:37">
      <c r="A226" s="1288"/>
      <c r="B226" s="1085" t="s">
        <v>1824</v>
      </c>
      <c r="C226" s="1317"/>
      <c r="D226" s="1318"/>
      <c r="E226" s="1318"/>
      <c r="F226" s="1318"/>
      <c r="G226" s="1318"/>
      <c r="H226" s="1318"/>
      <c r="I226" s="1318"/>
      <c r="J226" s="1318"/>
      <c r="K226" s="1207"/>
      <c r="L226" s="1207"/>
      <c r="M226" s="1207"/>
      <c r="N226" s="1207"/>
      <c r="O226" s="1207"/>
      <c r="P226" s="1207"/>
      <c r="Q226" s="1207"/>
      <c r="R226" s="1207"/>
      <c r="S226" s="1207"/>
      <c r="T226" s="1207"/>
      <c r="U226" s="1207"/>
      <c r="V226" s="1207"/>
      <c r="W226" s="1207"/>
      <c r="X226" s="1207"/>
      <c r="Y226" s="1319"/>
      <c r="Z226" s="1319"/>
      <c r="AA226" s="1319"/>
      <c r="AB226" s="1319"/>
      <c r="AC226" s="1207"/>
      <c r="AD226" s="1207"/>
      <c r="AE226" s="1304"/>
      <c r="AF226" s="1304"/>
      <c r="AG226" s="1304"/>
      <c r="AH226" s="1304"/>
      <c r="AI226" s="1304"/>
      <c r="AJ226" s="1304"/>
      <c r="AK226" s="1304"/>
    </row>
    <row r="227" spans="1:37">
      <c r="A227" s="1288"/>
      <c r="B227" s="1085"/>
      <c r="C227" s="1317"/>
      <c r="D227" s="1318"/>
      <c r="E227" s="1318"/>
      <c r="F227" s="1318"/>
      <c r="G227" s="1318"/>
      <c r="H227" s="1318"/>
      <c r="I227" s="1318"/>
      <c r="J227" s="1318"/>
      <c r="K227" s="1207"/>
      <c r="L227" s="1207"/>
      <c r="M227" s="1207"/>
      <c r="N227" s="1207"/>
      <c r="O227" s="1207"/>
      <c r="P227" s="1207"/>
      <c r="Q227" s="1207"/>
      <c r="R227" s="1207"/>
      <c r="S227" s="1207"/>
      <c r="T227" s="1207"/>
      <c r="U227" s="1207"/>
      <c r="V227" s="1207"/>
      <c r="W227" s="1207"/>
      <c r="X227" s="1207"/>
      <c r="Y227" s="1319"/>
      <c r="Z227" s="1319"/>
      <c r="AA227" s="1319"/>
      <c r="AB227" s="1319"/>
      <c r="AC227" s="1207"/>
      <c r="AD227" s="1207"/>
      <c r="AE227" s="1304"/>
      <c r="AF227" s="1304"/>
      <c r="AG227" s="1304"/>
      <c r="AH227" s="1304"/>
      <c r="AI227" s="1304"/>
      <c r="AJ227" s="1304"/>
      <c r="AK227" s="1304"/>
    </row>
    <row r="228" spans="1:37">
      <c r="A228" s="1288"/>
      <c r="B228" s="1356" t="s">
        <v>1822</v>
      </c>
      <c r="C228" s="1317"/>
      <c r="D228" s="1318"/>
      <c r="E228" s="1318"/>
      <c r="F228" s="1318"/>
      <c r="G228" s="1318"/>
      <c r="H228" s="1318"/>
      <c r="I228" s="1318"/>
      <c r="J228" s="1318"/>
      <c r="K228" s="1207"/>
      <c r="L228" s="1207"/>
      <c r="M228" s="1207"/>
      <c r="N228" s="1207"/>
      <c r="O228" s="1207"/>
      <c r="P228" s="1207"/>
      <c r="Q228" s="1207"/>
      <c r="R228" s="1207"/>
      <c r="S228" s="1207"/>
      <c r="T228" s="1207"/>
      <c r="U228" s="1207"/>
      <c r="V228" s="1207"/>
      <c r="W228" s="1207"/>
      <c r="X228" s="1207"/>
      <c r="Y228" s="1319"/>
      <c r="Z228" s="1319"/>
      <c r="AA228" s="1319"/>
      <c r="AB228" s="1319"/>
      <c r="AC228" s="1207"/>
      <c r="AD228" s="1207"/>
      <c r="AE228" s="1304"/>
      <c r="AF228" s="1304"/>
      <c r="AG228" s="1304"/>
      <c r="AH228" s="1304"/>
      <c r="AI228" s="1304"/>
      <c r="AJ228" s="1304"/>
      <c r="AK228" s="1304"/>
    </row>
    <row r="229" spans="1:37">
      <c r="A229" s="1288"/>
      <c r="B229" s="1356" t="s">
        <v>1816</v>
      </c>
      <c r="C229" s="1317"/>
      <c r="D229" s="1318"/>
      <c r="E229" s="1318"/>
      <c r="F229" s="1318"/>
      <c r="G229" s="1318"/>
      <c r="H229" s="1318"/>
      <c r="I229" s="1318"/>
      <c r="J229" s="1318"/>
      <c r="K229" s="1207"/>
      <c r="L229" s="1207"/>
      <c r="M229" s="1207"/>
      <c r="N229" s="1207"/>
      <c r="O229" s="1207"/>
      <c r="P229" s="1207"/>
      <c r="Q229" s="1207"/>
      <c r="R229" s="1207"/>
      <c r="S229" s="1207"/>
      <c r="T229" s="1207"/>
      <c r="U229" s="1207"/>
      <c r="V229" s="1207"/>
      <c r="W229" s="1207"/>
      <c r="X229" s="1207"/>
      <c r="Y229" s="1319"/>
      <c r="Z229" s="1319"/>
      <c r="AA229" s="1319"/>
      <c r="AB229" s="2604"/>
      <c r="AC229" s="2604"/>
      <c r="AD229" s="2604"/>
      <c r="AE229" s="2604"/>
      <c r="AF229" s="2604"/>
      <c r="AG229" s="2604"/>
      <c r="AH229" s="1304"/>
      <c r="AI229" s="1304"/>
      <c r="AJ229" s="1304"/>
      <c r="AK229" s="1304"/>
    </row>
    <row r="230" spans="1:37">
      <c r="A230" s="1288"/>
      <c r="B230" s="1357" t="s">
        <v>1821</v>
      </c>
      <c r="C230" s="1310"/>
      <c r="D230" s="1358"/>
      <c r="E230" s="1318"/>
      <c r="F230" s="1318"/>
      <c r="G230" s="1318"/>
      <c r="H230" s="1318"/>
      <c r="I230" s="1318"/>
      <c r="J230" s="1318"/>
      <c r="K230" s="1207"/>
      <c r="L230" s="1207"/>
      <c r="M230" s="1207"/>
      <c r="N230" s="1207"/>
      <c r="O230" s="1207"/>
      <c r="P230" s="1207"/>
      <c r="Q230" s="1207"/>
      <c r="R230" s="1207"/>
      <c r="S230" s="1207"/>
      <c r="T230" s="1207"/>
      <c r="U230" s="1207"/>
      <c r="V230" s="1207"/>
      <c r="W230" s="1207"/>
      <c r="X230" s="1207"/>
      <c r="Y230" s="1319"/>
      <c r="Z230" s="1319"/>
      <c r="AA230" s="1319"/>
      <c r="AB230" s="1319"/>
      <c r="AC230" s="1207"/>
      <c r="AD230" s="1207"/>
      <c r="AE230" s="1304"/>
      <c r="AF230" s="1304"/>
      <c r="AG230" s="1304"/>
      <c r="AH230" s="1304"/>
      <c r="AI230" s="1304"/>
      <c r="AJ230" s="1304"/>
      <c r="AK230" s="1304"/>
    </row>
    <row r="231" spans="1:37">
      <c r="A231" s="1288"/>
      <c r="B231" s="1359" t="s">
        <v>1823</v>
      </c>
      <c r="C231" s="1317"/>
      <c r="D231" s="1318"/>
      <c r="E231" s="1318"/>
      <c r="F231" s="1318"/>
      <c r="G231" s="1318"/>
      <c r="H231" s="1318"/>
      <c r="I231" s="1318"/>
      <c r="J231" s="1318"/>
      <c r="K231" s="1207"/>
      <c r="L231" s="1207"/>
      <c r="M231" s="1207"/>
      <c r="N231" s="1207"/>
      <c r="O231" s="1207"/>
      <c r="P231" s="1207"/>
      <c r="Q231" s="1207"/>
      <c r="R231" s="1207"/>
      <c r="S231" s="1207"/>
      <c r="T231" s="1207"/>
      <c r="U231" s="1207"/>
      <c r="V231" s="1207"/>
      <c r="W231" s="1207"/>
      <c r="X231" s="1207"/>
      <c r="Y231" s="1319"/>
      <c r="Z231" s="1319"/>
      <c r="AA231" s="1319"/>
      <c r="AB231" s="1319"/>
      <c r="AC231" s="1207"/>
      <c r="AD231" s="1207"/>
      <c r="AE231" s="1304"/>
      <c r="AF231" s="1304"/>
      <c r="AG231" s="1304"/>
      <c r="AH231" s="1304"/>
      <c r="AI231" s="1304"/>
      <c r="AJ231" s="1304"/>
      <c r="AK231" s="1304"/>
    </row>
    <row r="232" spans="1:37">
      <c r="A232" s="1288"/>
      <c r="B232" s="1359" t="s">
        <v>1817</v>
      </c>
      <c r="C232" s="1317"/>
      <c r="D232" s="1318"/>
      <c r="E232" s="1318"/>
      <c r="F232" s="1318"/>
      <c r="G232" s="1318"/>
      <c r="H232" s="1318"/>
      <c r="I232" s="1318"/>
      <c r="J232" s="1318"/>
      <c r="K232" s="1207"/>
      <c r="L232" s="1207"/>
      <c r="M232" s="1207"/>
      <c r="N232" s="1207"/>
      <c r="O232" s="1207"/>
      <c r="P232" s="1207"/>
      <c r="Q232" s="1207"/>
      <c r="R232" s="1207"/>
      <c r="S232" s="1207"/>
      <c r="T232" s="1207"/>
      <c r="U232" s="1207"/>
      <c r="V232" s="1207"/>
      <c r="W232" s="1207"/>
      <c r="X232" s="1207"/>
      <c r="Y232" s="1319"/>
      <c r="Z232" s="1319"/>
      <c r="AA232" s="1319"/>
      <c r="AB232" s="2604"/>
      <c r="AC232" s="2604"/>
      <c r="AD232" s="2604"/>
      <c r="AE232" s="2604"/>
      <c r="AF232" s="2604"/>
      <c r="AG232" s="2604"/>
      <c r="AH232" s="1304"/>
      <c r="AI232" s="1304"/>
      <c r="AJ232" s="1304"/>
      <c r="AK232" s="1304"/>
    </row>
    <row r="233" spans="1:37">
      <c r="A233" s="1288"/>
      <c r="B233" s="1359" t="s">
        <v>1818</v>
      </c>
      <c r="C233" s="1317"/>
      <c r="D233" s="1318"/>
      <c r="E233" s="1318"/>
      <c r="F233" s="1318"/>
      <c r="G233" s="1318"/>
      <c r="H233" s="1318"/>
      <c r="I233" s="1318"/>
      <c r="J233" s="1318"/>
      <c r="K233" s="1207"/>
      <c r="L233" s="1207"/>
      <c r="M233" s="1207"/>
      <c r="N233" s="1207"/>
      <c r="O233" s="1207"/>
      <c r="P233" s="1207"/>
      <c r="Q233" s="1207"/>
      <c r="R233" s="1207"/>
      <c r="S233" s="1207"/>
      <c r="T233" s="1207"/>
      <c r="U233" s="1207"/>
      <c r="V233" s="1207"/>
      <c r="W233" s="1207"/>
      <c r="X233" s="1207"/>
      <c r="Y233" s="1319"/>
      <c r="Z233" s="1319"/>
      <c r="AA233" s="1319"/>
      <c r="AB233" s="2605"/>
      <c r="AC233" s="2605"/>
      <c r="AD233" s="2605"/>
      <c r="AE233" s="2605"/>
      <c r="AF233" s="2605"/>
      <c r="AG233" s="2605"/>
      <c r="AH233" s="1304"/>
      <c r="AI233" s="1304"/>
      <c r="AJ233" s="1304"/>
      <c r="AK233" s="1304"/>
    </row>
    <row r="234" spans="1:37">
      <c r="A234" s="1288"/>
      <c r="B234" s="1359" t="s">
        <v>1819</v>
      </c>
      <c r="C234" s="1317"/>
      <c r="D234" s="1318"/>
      <c r="E234" s="1318"/>
      <c r="F234" s="1318"/>
      <c r="G234" s="1318"/>
      <c r="H234" s="1318"/>
      <c r="I234" s="1318"/>
      <c r="J234" s="1318"/>
      <c r="K234" s="1207"/>
      <c r="L234" s="1207"/>
      <c r="M234" s="1207"/>
      <c r="N234" s="1207"/>
      <c r="O234" s="1207"/>
      <c r="P234" s="1207"/>
      <c r="Q234" s="1207"/>
      <c r="R234" s="1207"/>
      <c r="S234" s="1207"/>
      <c r="T234" s="1207"/>
      <c r="U234" s="1207"/>
      <c r="V234" s="1207"/>
      <c r="W234" s="1207"/>
      <c r="X234" s="1207"/>
      <c r="Y234" s="1319"/>
      <c r="Z234" s="1319"/>
      <c r="AA234" s="1319"/>
      <c r="AB234" s="2606">
        <f>IFERROR(AB232/AB233,0)</f>
        <v>0</v>
      </c>
      <c r="AC234" s="2606"/>
      <c r="AD234" s="2606"/>
      <c r="AE234" s="2606"/>
      <c r="AF234" s="2606"/>
      <c r="AG234" s="2606"/>
      <c r="AH234" s="1304"/>
      <c r="AI234" s="1304"/>
      <c r="AJ234" s="1304"/>
      <c r="AK234" s="1304"/>
    </row>
    <row r="235" spans="1:37">
      <c r="A235" s="1288"/>
      <c r="B235" s="1085"/>
      <c r="C235" s="1317"/>
      <c r="D235" s="1318"/>
      <c r="E235" s="1318"/>
      <c r="F235" s="1318"/>
      <c r="G235" s="1318"/>
      <c r="H235" s="1318"/>
      <c r="I235" s="1318"/>
      <c r="J235" s="1318"/>
      <c r="K235" s="1207"/>
      <c r="L235" s="1207"/>
      <c r="M235" s="1207"/>
      <c r="N235" s="1207"/>
      <c r="O235" s="1207"/>
      <c r="P235" s="1207"/>
      <c r="Q235" s="1207"/>
      <c r="R235" s="1207"/>
      <c r="S235" s="1207"/>
      <c r="T235" s="1207"/>
      <c r="U235" s="1207"/>
      <c r="V235" s="1207"/>
      <c r="W235" s="1207"/>
      <c r="X235" s="1207"/>
      <c r="Y235" s="1319"/>
      <c r="Z235" s="1319"/>
      <c r="AA235" s="1319"/>
      <c r="AB235" s="1319"/>
      <c r="AC235" s="1207"/>
      <c r="AD235" s="1207"/>
      <c r="AE235" s="1304"/>
      <c r="AF235" s="1304"/>
      <c r="AG235" s="1304"/>
      <c r="AH235" s="1304"/>
      <c r="AI235" s="1304"/>
      <c r="AJ235" s="1304"/>
      <c r="AK235" s="1304"/>
    </row>
    <row r="236" spans="1:37">
      <c r="A236" s="1288"/>
      <c r="B236" s="1085" t="s">
        <v>1820</v>
      </c>
      <c r="C236" s="1317"/>
      <c r="D236" s="1318"/>
      <c r="E236" s="1318"/>
      <c r="F236" s="1318"/>
      <c r="G236" s="1318"/>
      <c r="H236" s="1318"/>
      <c r="I236" s="1318"/>
      <c r="J236" s="1318"/>
      <c r="K236" s="1207"/>
      <c r="L236" s="1207"/>
      <c r="M236" s="1207"/>
      <c r="N236" s="1207"/>
      <c r="O236" s="1207"/>
      <c r="P236" s="1207"/>
      <c r="Q236" s="1207"/>
      <c r="R236" s="1207"/>
      <c r="S236" s="1207"/>
      <c r="T236" s="1207"/>
      <c r="U236" s="1207"/>
      <c r="V236" s="1207"/>
      <c r="W236" s="1207"/>
      <c r="X236" s="1207"/>
      <c r="Y236" s="1319"/>
      <c r="Z236" s="1319"/>
      <c r="AA236" s="1319"/>
      <c r="AB236" s="2607">
        <f>MAX(AB229,AB234)</f>
        <v>0</v>
      </c>
      <c r="AC236" s="2607"/>
      <c r="AD236" s="2607"/>
      <c r="AE236" s="2607"/>
      <c r="AF236" s="2607"/>
      <c r="AG236" s="2607"/>
      <c r="AH236" s="1304"/>
      <c r="AI236" s="1304"/>
      <c r="AJ236" s="1304"/>
      <c r="AK236" s="1304"/>
    </row>
    <row r="237" spans="1:37">
      <c r="A237" s="1288"/>
      <c r="B237" s="1085"/>
      <c r="C237" s="1317"/>
      <c r="D237" s="1318"/>
      <c r="E237" s="1318"/>
      <c r="F237" s="1318"/>
      <c r="G237" s="1318"/>
      <c r="H237" s="1318"/>
      <c r="I237" s="1318"/>
      <c r="J237" s="1318"/>
      <c r="K237" s="1207"/>
      <c r="L237" s="1207"/>
      <c r="M237" s="1207"/>
      <c r="N237" s="1207"/>
      <c r="O237" s="1207"/>
      <c r="P237" s="1207"/>
      <c r="Q237" s="1207"/>
      <c r="R237" s="1207"/>
      <c r="S237" s="1207"/>
      <c r="T237" s="1207"/>
      <c r="U237" s="1207"/>
      <c r="V237" s="1207"/>
      <c r="W237" s="1207"/>
      <c r="X237" s="1207"/>
      <c r="Y237" s="1319"/>
      <c r="Z237" s="1319"/>
      <c r="AA237" s="1319"/>
      <c r="AB237" s="1319"/>
      <c r="AC237" s="1207"/>
      <c r="AD237" s="1207"/>
      <c r="AE237" s="1304"/>
      <c r="AF237" s="1304"/>
      <c r="AG237" s="1304"/>
      <c r="AH237" s="1304"/>
      <c r="AI237" s="1304"/>
      <c r="AJ237" s="1304"/>
      <c r="AK237" s="1304"/>
    </row>
    <row r="238" spans="1:37">
      <c r="A238" s="1288"/>
      <c r="B238" s="1085"/>
      <c r="C238" s="1317"/>
      <c r="D238" s="1318"/>
      <c r="E238" s="1318"/>
      <c r="F238" s="1318"/>
      <c r="G238" s="1318"/>
      <c r="H238" s="1318"/>
      <c r="I238" s="1318"/>
      <c r="J238" s="1318"/>
      <c r="K238" s="1207"/>
      <c r="L238" s="1207"/>
      <c r="M238" s="1207"/>
      <c r="N238" s="1207"/>
      <c r="O238" s="1207"/>
      <c r="P238" s="1207"/>
      <c r="Q238" s="1207"/>
      <c r="R238" s="1207"/>
      <c r="S238" s="1207"/>
      <c r="T238" s="1207"/>
      <c r="U238" s="1207"/>
      <c r="V238" s="1207"/>
      <c r="W238" s="1207"/>
      <c r="X238" s="1207"/>
      <c r="Y238" s="1319"/>
      <c r="Z238" s="1319"/>
      <c r="AA238" s="1319"/>
      <c r="AB238" s="1319"/>
      <c r="AC238" s="1207"/>
      <c r="AD238" s="1207"/>
      <c r="AE238" s="1304"/>
      <c r="AF238" s="1304"/>
      <c r="AG238" s="1304"/>
      <c r="AH238" s="1304"/>
      <c r="AI238" s="1304"/>
      <c r="AJ238" s="1304"/>
      <c r="AK238" s="1304"/>
    </row>
    <row r="239" spans="1:37">
      <c r="A239" s="1288"/>
      <c r="B239" s="1085" t="s">
        <v>1809</v>
      </c>
      <c r="C239" s="1317"/>
      <c r="D239" s="1318"/>
      <c r="E239" s="1318"/>
      <c r="F239" s="1318"/>
      <c r="G239" s="1318"/>
      <c r="H239" s="1318"/>
      <c r="I239" s="1318"/>
      <c r="J239" s="1318"/>
      <c r="K239" s="1207"/>
      <c r="L239" s="1207"/>
      <c r="M239" s="1207"/>
      <c r="N239" s="1207"/>
      <c r="O239" s="1207"/>
      <c r="P239" s="1207"/>
      <c r="Q239" s="1207"/>
      <c r="R239" s="1207"/>
      <c r="S239" s="1207"/>
      <c r="U239" s="1360"/>
      <c r="V239" s="1360"/>
      <c r="W239" s="1360"/>
      <c r="X239" s="1360"/>
      <c r="Y239" s="1360"/>
      <c r="Z239" s="1319"/>
      <c r="AA239" s="1319"/>
      <c r="AB239" s="2599">
        <f>AB223+AB236</f>
        <v>310488</v>
      </c>
      <c r="AC239" s="2599"/>
      <c r="AD239" s="2599"/>
      <c r="AE239" s="2599"/>
      <c r="AF239" s="2599"/>
      <c r="AG239" s="2599"/>
      <c r="AH239" s="1304"/>
      <c r="AI239" s="1304"/>
      <c r="AJ239" s="1304"/>
      <c r="AK239" s="1304"/>
    </row>
    <row r="240" spans="1:37">
      <c r="A240" s="1288"/>
      <c r="B240" s="1085" t="s">
        <v>883</v>
      </c>
      <c r="C240" s="1317"/>
      <c r="D240" s="1318"/>
      <c r="E240" s="1318"/>
      <c r="F240" s="1318"/>
      <c r="G240" s="1318"/>
      <c r="H240" s="1318"/>
      <c r="I240" s="1318"/>
      <c r="J240" s="1318"/>
      <c r="K240" s="1207"/>
      <c r="L240" s="1207"/>
      <c r="M240" s="1207"/>
      <c r="N240" s="1207"/>
      <c r="O240" s="1207"/>
      <c r="P240" s="1207"/>
      <c r="Q240" s="1207"/>
      <c r="R240" s="1207"/>
      <c r="S240" s="1207"/>
      <c r="U240" s="1361"/>
      <c r="V240" s="1361"/>
      <c r="W240" s="1361"/>
      <c r="X240" s="1361"/>
      <c r="Y240" s="1361"/>
      <c r="Z240" s="1319"/>
      <c r="AA240" s="1319"/>
      <c r="AB240" s="2600">
        <v>0.05</v>
      </c>
      <c r="AC240" s="2600"/>
      <c r="AD240" s="2600"/>
      <c r="AE240" s="2600"/>
      <c r="AF240" s="2600"/>
      <c r="AG240" s="2600"/>
      <c r="AH240" s="1304"/>
      <c r="AI240" s="1304"/>
      <c r="AJ240" s="1304"/>
      <c r="AK240" s="1304"/>
    </row>
    <row r="241" spans="1:37">
      <c r="A241" s="1288"/>
      <c r="B241" s="1085" t="s">
        <v>1810</v>
      </c>
      <c r="C241" s="1317"/>
      <c r="D241" s="1318"/>
      <c r="E241" s="1318"/>
      <c r="F241" s="1318"/>
      <c r="G241" s="1318"/>
      <c r="H241" s="1318"/>
      <c r="I241" s="1318"/>
      <c r="J241" s="1318"/>
      <c r="K241" s="1207"/>
      <c r="L241" s="1207"/>
      <c r="M241" s="1207"/>
      <c r="N241" s="1207"/>
      <c r="O241" s="1207"/>
      <c r="P241" s="1207"/>
      <c r="Q241" s="1207"/>
      <c r="R241" s="1207"/>
      <c r="S241" s="1207"/>
      <c r="U241" s="1360"/>
      <c r="V241" s="1360"/>
      <c r="W241" s="1360"/>
      <c r="X241" s="1360"/>
      <c r="Y241" s="1360"/>
      <c r="Z241" s="1319"/>
      <c r="AA241" s="1319"/>
      <c r="AB241" s="2601">
        <f>AB239-(AB239*AB240)</f>
        <v>294963.59999999998</v>
      </c>
      <c r="AC241" s="2601"/>
      <c r="AD241" s="2601"/>
      <c r="AE241" s="2601"/>
      <c r="AF241" s="2601"/>
      <c r="AG241" s="2601"/>
      <c r="AH241" s="1304"/>
      <c r="AI241" s="1304"/>
      <c r="AJ241" s="1304"/>
      <c r="AK241" s="1304"/>
    </row>
    <row r="242" spans="1:37">
      <c r="A242" s="1288"/>
      <c r="B242" s="1085" t="s">
        <v>1811</v>
      </c>
      <c r="C242" s="1317"/>
      <c r="D242" s="1318"/>
      <c r="E242" s="1318"/>
      <c r="F242" s="1318"/>
      <c r="G242" s="1318"/>
      <c r="H242" s="1318"/>
      <c r="I242" s="1318"/>
      <c r="J242" s="1318"/>
      <c r="K242" s="1207"/>
      <c r="L242" s="1207"/>
      <c r="M242" s="1207"/>
      <c r="N242" s="1207"/>
      <c r="O242" s="1207"/>
      <c r="P242" s="1207"/>
      <c r="Q242" s="1207"/>
      <c r="R242" s="1207"/>
      <c r="S242" s="1207"/>
      <c r="U242" s="1207"/>
      <c r="V242" s="1207"/>
      <c r="W242" s="1207"/>
      <c r="X242" s="1207"/>
      <c r="Y242" s="1362"/>
      <c r="Z242" s="1319"/>
      <c r="AA242" s="1319"/>
      <c r="AB242" s="1207"/>
      <c r="AC242" s="1207"/>
      <c r="AD242" s="1207"/>
      <c r="AE242" s="1304"/>
      <c r="AF242" s="1304"/>
      <c r="AG242" s="1304"/>
      <c r="AH242" s="1304"/>
      <c r="AI242" s="1304"/>
      <c r="AJ242" s="1304"/>
      <c r="AK242" s="1304"/>
    </row>
    <row r="243" spans="1:37">
      <c r="A243" s="1288"/>
      <c r="B243" s="1085" t="s">
        <v>1812</v>
      </c>
      <c r="C243" s="1317"/>
      <c r="D243" s="1318"/>
      <c r="E243" s="1318"/>
      <c r="F243" s="1318"/>
      <c r="G243" s="1318"/>
      <c r="H243" s="1318"/>
      <c r="I243" s="1318"/>
      <c r="J243" s="1318"/>
      <c r="K243" s="1207"/>
      <c r="L243" s="1207"/>
      <c r="M243" s="1207"/>
      <c r="N243" s="1207"/>
      <c r="O243" s="1207"/>
      <c r="P243" s="1207"/>
      <c r="Q243" s="1207"/>
      <c r="R243" s="1207"/>
      <c r="S243" s="1207"/>
      <c r="U243" s="1360"/>
      <c r="V243" s="1360"/>
      <c r="W243" s="1360"/>
      <c r="X243" s="1360"/>
      <c r="Y243" s="1360"/>
      <c r="Z243" s="1319"/>
      <c r="AA243" s="1319"/>
      <c r="AB243" s="2599">
        <f>AB241/AB247</f>
        <v>256490.08695652173</v>
      </c>
      <c r="AC243" s="2599"/>
      <c r="AD243" s="2599"/>
      <c r="AE243" s="2599"/>
      <c r="AF243" s="2599"/>
      <c r="AG243" s="2599"/>
      <c r="AH243" s="1304"/>
      <c r="AI243" s="1304"/>
      <c r="AJ243" s="1304"/>
      <c r="AK243" s="1304"/>
    </row>
    <row r="244" spans="1:37">
      <c r="A244" s="1288"/>
      <c r="B244" s="1085"/>
      <c r="C244" s="1317"/>
      <c r="D244" s="1318"/>
      <c r="E244" s="1318"/>
      <c r="F244" s="1318"/>
      <c r="G244" s="1318"/>
      <c r="H244" s="1318"/>
      <c r="I244" s="1318"/>
      <c r="J244" s="1318"/>
      <c r="K244" s="1207"/>
      <c r="L244" s="1207"/>
      <c r="M244" s="1207"/>
      <c r="N244" s="1207"/>
      <c r="O244" s="1207"/>
      <c r="P244" s="1207"/>
      <c r="Q244" s="1207"/>
      <c r="R244" s="1207"/>
      <c r="S244" s="1207"/>
      <c r="U244" s="1207"/>
      <c r="V244" s="1207"/>
      <c r="W244" s="1207"/>
      <c r="X244" s="1207"/>
      <c r="Y244" s="1085"/>
      <c r="Z244" s="1319"/>
      <c r="AA244" s="1319"/>
      <c r="AB244" s="1207"/>
      <c r="AC244" s="1207"/>
      <c r="AD244" s="1207"/>
      <c r="AE244" s="1304"/>
      <c r="AF244" s="1304"/>
      <c r="AG244" s="1304"/>
      <c r="AH244" s="1304"/>
      <c r="AI244" s="1304"/>
      <c r="AJ244" s="1304"/>
      <c r="AK244" s="1304"/>
    </row>
    <row r="245" spans="1:37">
      <c r="A245" s="1288"/>
      <c r="B245" s="1085" t="s">
        <v>1813</v>
      </c>
      <c r="C245" s="1317"/>
      <c r="D245" s="1318"/>
      <c r="E245" s="1318"/>
      <c r="F245" s="1318"/>
      <c r="G245" s="1318"/>
      <c r="H245" s="1318"/>
      <c r="I245" s="1318"/>
      <c r="J245" s="1318"/>
      <c r="K245" s="1207"/>
      <c r="L245" s="1207"/>
      <c r="M245" s="1207"/>
      <c r="N245" s="1207"/>
      <c r="O245" s="1207"/>
      <c r="P245" s="1207"/>
      <c r="Q245" s="1207"/>
      <c r="R245" s="1207"/>
      <c r="S245" s="1207"/>
      <c r="U245" s="1085"/>
      <c r="V245" s="1085"/>
      <c r="W245" s="1085"/>
      <c r="X245" s="1085"/>
      <c r="Y245" s="1085"/>
      <c r="Z245" s="1319"/>
      <c r="AA245" s="1319"/>
      <c r="AB245" s="2602">
        <v>15</v>
      </c>
      <c r="AC245" s="2602"/>
      <c r="AD245" s="2602"/>
      <c r="AE245" s="2602"/>
      <c r="AF245" s="2602"/>
      <c r="AG245" s="2602"/>
      <c r="AH245" s="1304"/>
      <c r="AI245" s="1304"/>
      <c r="AJ245" s="1304"/>
      <c r="AK245" s="1304"/>
    </row>
    <row r="246" spans="1:37">
      <c r="A246" s="1288"/>
      <c r="B246" s="1085" t="s">
        <v>1814</v>
      </c>
      <c r="C246" s="1317"/>
      <c r="D246" s="1318"/>
      <c r="E246" s="1318"/>
      <c r="F246" s="1318"/>
      <c r="G246" s="1318"/>
      <c r="H246" s="1318"/>
      <c r="I246" s="1318"/>
      <c r="J246" s="1318"/>
      <c r="K246" s="1207"/>
      <c r="L246" s="1207"/>
      <c r="M246" s="1207"/>
      <c r="N246" s="1207"/>
      <c r="O246" s="1207"/>
      <c r="P246" s="1207"/>
      <c r="Q246" s="1207"/>
      <c r="R246" s="1207"/>
      <c r="S246" s="1207"/>
      <c r="U246" s="1361"/>
      <c r="V246" s="1361"/>
      <c r="W246" s="1361"/>
      <c r="X246" s="1361"/>
      <c r="Y246" s="1361"/>
      <c r="Z246" s="1319"/>
      <c r="AA246" s="1319"/>
      <c r="AB246" s="2603">
        <v>0.04</v>
      </c>
      <c r="AC246" s="2603"/>
      <c r="AD246" s="2603"/>
      <c r="AE246" s="2603"/>
      <c r="AF246" s="2603"/>
      <c r="AG246" s="2603"/>
      <c r="AH246" s="1304"/>
      <c r="AI246" s="1304"/>
      <c r="AJ246" s="1304"/>
      <c r="AK246" s="1304"/>
    </row>
    <row r="247" spans="1:37">
      <c r="A247" s="1288"/>
      <c r="B247" s="1085" t="s">
        <v>895</v>
      </c>
      <c r="C247" s="1317"/>
      <c r="D247" s="1318"/>
      <c r="E247" s="1318"/>
      <c r="F247" s="1318"/>
      <c r="G247" s="1318"/>
      <c r="H247" s="1318"/>
      <c r="I247" s="1318"/>
      <c r="J247" s="1318"/>
      <c r="K247" s="1207"/>
      <c r="L247" s="1207"/>
      <c r="M247" s="1207"/>
      <c r="N247" s="1207"/>
      <c r="O247" s="1207"/>
      <c r="P247" s="1207"/>
      <c r="Q247" s="1207"/>
      <c r="R247" s="1207"/>
      <c r="S247" s="1207"/>
      <c r="U247" s="1363"/>
      <c r="V247" s="1363"/>
      <c r="W247" s="1363"/>
      <c r="X247" s="1363"/>
      <c r="Y247" s="1363"/>
      <c r="Z247" s="1319"/>
      <c r="AA247" s="1319"/>
      <c r="AB247" s="2591">
        <v>1.1499999999999999</v>
      </c>
      <c r="AC247" s="2591"/>
      <c r="AD247" s="2591"/>
      <c r="AE247" s="2591"/>
      <c r="AF247" s="2591"/>
      <c r="AG247" s="2591"/>
      <c r="AH247" s="1304"/>
      <c r="AI247" s="1304"/>
      <c r="AJ247" s="1304"/>
      <c r="AK247" s="1304"/>
    </row>
    <row r="248" spans="1:37">
      <c r="A248" s="1288"/>
      <c r="B248" s="1085"/>
      <c r="C248" s="1317"/>
      <c r="D248" s="1318"/>
      <c r="E248" s="1318"/>
      <c r="F248" s="1318"/>
      <c r="G248" s="1318"/>
      <c r="H248" s="1318"/>
      <c r="I248" s="1318"/>
      <c r="J248" s="1318"/>
      <c r="K248" s="1207"/>
      <c r="L248" s="1207"/>
      <c r="M248" s="1207"/>
      <c r="N248" s="1207"/>
      <c r="O248" s="1207"/>
      <c r="P248" s="1207"/>
      <c r="Q248" s="1207"/>
      <c r="R248" s="1207"/>
      <c r="S248" s="1207"/>
      <c r="U248" s="1207"/>
      <c r="V248" s="1207"/>
      <c r="W248" s="1207"/>
      <c r="X248" s="1207"/>
      <c r="Y248" s="1290"/>
      <c r="Z248" s="1319"/>
      <c r="AA248" s="1319"/>
      <c r="AB248" s="1207"/>
      <c r="AC248" s="1207"/>
      <c r="AD248" s="1207"/>
      <c r="AE248" s="1304"/>
      <c r="AF248" s="1304"/>
      <c r="AG248" s="1304"/>
      <c r="AH248" s="1304"/>
      <c r="AI248" s="1304"/>
      <c r="AJ248" s="1304"/>
      <c r="AK248" s="1304"/>
    </row>
    <row r="249" spans="1:37">
      <c r="A249" s="1288"/>
      <c r="B249" s="1316" t="s">
        <v>1815</v>
      </c>
      <c r="C249" s="1317"/>
      <c r="D249" s="1318"/>
      <c r="E249" s="1318"/>
      <c r="F249" s="1318"/>
      <c r="G249" s="1318"/>
      <c r="H249" s="1318"/>
      <c r="I249" s="1318"/>
      <c r="J249" s="1318"/>
      <c r="K249" s="1207"/>
      <c r="L249" s="1207"/>
      <c r="M249" s="1207"/>
      <c r="N249" s="1207"/>
      <c r="O249" s="1207"/>
      <c r="P249" s="1207"/>
      <c r="Q249" s="1207"/>
      <c r="R249" s="1207"/>
      <c r="S249" s="1207"/>
      <c r="U249" s="1364"/>
      <c r="V249" s="1364"/>
      <c r="W249" s="1364"/>
      <c r="X249" s="1364"/>
      <c r="Y249" s="1364"/>
      <c r="Z249" s="1319"/>
      <c r="AA249" s="1319"/>
      <c r="AB249" s="2592">
        <f>PV(AB246/12,AB245*12,-AB243/12, ,0)</f>
        <v>2889620.4971087365</v>
      </c>
      <c r="AC249" s="2593"/>
      <c r="AD249" s="2593"/>
      <c r="AE249" s="2593"/>
      <c r="AF249" s="2593"/>
      <c r="AG249" s="2594"/>
      <c r="AH249" s="1304"/>
      <c r="AI249" s="1304"/>
      <c r="AJ249" s="1304"/>
      <c r="AK249" s="1304"/>
    </row>
    <row r="250" spans="1:37">
      <c r="A250" s="1288"/>
      <c r="B250" s="1316"/>
      <c r="C250" s="1317"/>
      <c r="D250" s="1318"/>
      <c r="E250" s="1318"/>
      <c r="F250" s="1318"/>
      <c r="G250" s="1318"/>
      <c r="H250" s="1318"/>
      <c r="I250" s="1318"/>
      <c r="J250" s="1318"/>
      <c r="K250" s="1207"/>
      <c r="L250" s="1207"/>
      <c r="M250" s="1207"/>
      <c r="N250" s="1207"/>
      <c r="O250" s="1207"/>
      <c r="P250" s="1207"/>
      <c r="Q250" s="1207"/>
      <c r="R250" s="1207"/>
      <c r="S250" s="1207"/>
      <c r="U250" s="1364"/>
      <c r="V250" s="1364"/>
      <c r="W250" s="1364"/>
      <c r="X250" s="1364"/>
      <c r="Y250" s="1364"/>
      <c r="Z250" s="1319"/>
      <c r="AA250" s="1319"/>
      <c r="AB250" s="1365"/>
      <c r="AC250" s="1365"/>
      <c r="AD250" s="1365"/>
      <c r="AE250" s="1365"/>
      <c r="AF250" s="1365"/>
      <c r="AG250" s="1365"/>
      <c r="AH250" s="1304"/>
      <c r="AI250" s="1304"/>
      <c r="AJ250" s="1304"/>
      <c r="AK250" s="1304"/>
    </row>
    <row r="251" spans="1:37">
      <c r="A251" s="1288"/>
      <c r="B251" s="1316"/>
      <c r="C251" s="1317"/>
      <c r="D251" s="1318"/>
      <c r="E251" s="1318"/>
      <c r="F251" s="1318"/>
      <c r="G251" s="1318"/>
      <c r="H251" s="1318"/>
      <c r="I251" s="1318"/>
      <c r="J251" s="1318"/>
      <c r="K251" s="1207"/>
      <c r="L251" s="1207"/>
      <c r="M251" s="1207"/>
      <c r="N251" s="1207"/>
      <c r="O251" s="1207"/>
      <c r="P251" s="1207"/>
      <c r="Q251" s="1207"/>
      <c r="R251" s="1207"/>
      <c r="S251" s="1207"/>
      <c r="U251" s="1364"/>
      <c r="V251" s="1364"/>
      <c r="W251" s="1364"/>
      <c r="X251" s="1364"/>
      <c r="Y251" s="1364"/>
      <c r="Z251" s="1319"/>
      <c r="AA251" s="1319"/>
      <c r="AB251" s="1365"/>
      <c r="AC251" s="1365"/>
      <c r="AD251" s="1365"/>
      <c r="AE251" s="1365"/>
      <c r="AF251" s="1365"/>
      <c r="AG251" s="1365"/>
      <c r="AH251" s="1304"/>
      <c r="AI251" s="1304"/>
      <c r="AJ251" s="1304"/>
      <c r="AK251" s="1304"/>
    </row>
    <row r="252" spans="1:37">
      <c r="A252" s="1288"/>
      <c r="B252" s="1366" t="s">
        <v>1791</v>
      </c>
      <c r="C252" s="1366"/>
      <c r="D252" s="1318"/>
      <c r="E252" s="1318"/>
      <c r="F252" s="1318"/>
      <c r="G252" s="1318"/>
      <c r="H252" s="1318"/>
      <c r="I252" s="1318"/>
      <c r="J252" s="1318"/>
      <c r="K252" s="1207"/>
      <c r="L252" s="1207"/>
      <c r="M252" s="1207"/>
      <c r="N252" s="1207"/>
      <c r="O252" s="1207"/>
      <c r="P252" s="1207"/>
      <c r="Q252" s="1207"/>
      <c r="R252" s="1207"/>
      <c r="S252" s="1207"/>
      <c r="T252" s="1207"/>
      <c r="U252" s="1207"/>
      <c r="V252" s="1207"/>
      <c r="W252" s="1207"/>
      <c r="X252" s="1207"/>
      <c r="Y252" s="1319"/>
      <c r="Z252" s="1319"/>
      <c r="AA252" s="1319"/>
      <c r="AB252" s="1319"/>
      <c r="AC252" s="1207"/>
      <c r="AD252" s="1207"/>
      <c r="AE252" s="1304"/>
      <c r="AF252" s="1304"/>
      <c r="AG252" s="1304"/>
      <c r="AH252" s="1304"/>
      <c r="AI252" s="1304"/>
      <c r="AJ252" s="1304"/>
      <c r="AK252" s="1304"/>
    </row>
    <row r="253" spans="1:37">
      <c r="A253" s="1288"/>
      <c r="B253" s="1288" t="s">
        <v>1794</v>
      </c>
      <c r="C253" s="1317"/>
      <c r="D253" s="1318"/>
      <c r="E253" s="1318"/>
      <c r="F253" s="1318"/>
      <c r="G253" s="1318"/>
      <c r="H253" s="1318"/>
      <c r="I253" s="1318"/>
      <c r="J253" s="1318"/>
      <c r="K253" s="1207"/>
      <c r="L253" s="1207"/>
      <c r="M253" s="1207"/>
      <c r="N253" s="1207"/>
      <c r="O253" s="1207"/>
      <c r="P253" s="1207"/>
      <c r="Q253" s="1207"/>
      <c r="R253" s="1207"/>
      <c r="S253" s="1207"/>
      <c r="T253" s="1207"/>
      <c r="U253" s="1207"/>
      <c r="V253" s="1207"/>
      <c r="W253" s="1207"/>
      <c r="X253" s="1207"/>
      <c r="Y253" s="1319"/>
      <c r="Z253" s="1319"/>
      <c r="AA253" s="1319"/>
      <c r="AB253" s="1319"/>
      <c r="AC253" s="1207"/>
      <c r="AD253" s="1207"/>
      <c r="AE253" s="1304"/>
      <c r="AF253" s="1304"/>
      <c r="AG253" s="1304"/>
      <c r="AH253" s="1304"/>
      <c r="AI253" s="1304"/>
      <c r="AJ253" s="1304"/>
      <c r="AK253" s="1304"/>
    </row>
    <row r="254" spans="1:37">
      <c r="A254" s="1288"/>
      <c r="B254" s="1288" t="s">
        <v>1793</v>
      </c>
      <c r="C254" s="1317"/>
      <c r="D254" s="1318"/>
      <c r="E254" s="1318"/>
      <c r="F254" s="1318"/>
      <c r="G254" s="1318"/>
      <c r="H254" s="1318"/>
      <c r="I254" s="1318"/>
      <c r="J254" s="1318"/>
      <c r="K254" s="1207"/>
      <c r="L254" s="1207"/>
      <c r="M254" s="1207"/>
      <c r="N254" s="1207"/>
      <c r="O254" s="1207"/>
      <c r="P254" s="1207"/>
      <c r="Q254" s="1207"/>
      <c r="R254" s="1207"/>
      <c r="S254" s="1207"/>
      <c r="T254" s="1207"/>
      <c r="U254" s="1207"/>
      <c r="V254" s="1207"/>
      <c r="W254" s="1207"/>
      <c r="X254" s="1207"/>
      <c r="Y254" s="1319"/>
      <c r="Z254" s="1319"/>
      <c r="AA254" s="1319"/>
      <c r="AB254" s="1319"/>
      <c r="AC254" s="1207"/>
      <c r="AD254" s="1207"/>
      <c r="AE254" s="1304"/>
      <c r="AF254" s="1304"/>
      <c r="AG254" s="1304"/>
      <c r="AH254" s="1304"/>
      <c r="AI254" s="1304"/>
      <c r="AJ254" s="1304"/>
      <c r="AK254" s="1304"/>
    </row>
    <row r="255" spans="1:37">
      <c r="A255" s="1288"/>
      <c r="B255" s="1288" t="s">
        <v>1792</v>
      </c>
      <c r="C255" s="1317"/>
      <c r="D255" s="1318"/>
      <c r="E255" s="1318"/>
      <c r="F255" s="1318"/>
      <c r="G255" s="1318"/>
      <c r="H255" s="1318"/>
      <c r="I255" s="1318"/>
      <c r="J255" s="1318"/>
      <c r="K255" s="1207"/>
      <c r="L255" s="1207"/>
      <c r="M255" s="1207"/>
      <c r="N255" s="1207"/>
      <c r="O255" s="1207"/>
      <c r="P255" s="1207"/>
      <c r="Q255" s="1207"/>
      <c r="R255" s="1207"/>
      <c r="S255" s="1207"/>
      <c r="T255" s="1207"/>
      <c r="U255" s="1207"/>
      <c r="V255" s="1207"/>
      <c r="W255" s="1207"/>
      <c r="X255" s="1207"/>
      <c r="Y255" s="1319"/>
      <c r="Z255" s="1319"/>
      <c r="AA255" s="1319"/>
      <c r="AB255" s="2595">
        <f>IFERROR(('Sources and Uses Budget'!D105/'Sources and Uses Budget'!B105),0)</f>
        <v>1.5067774367037427E-2</v>
      </c>
      <c r="AC255" s="2596"/>
      <c r="AD255" s="2596"/>
      <c r="AE255" s="2596"/>
      <c r="AF255" s="2596"/>
      <c r="AG255" s="2597"/>
      <c r="AH255" s="1268"/>
      <c r="AI255" s="1268"/>
      <c r="AJ255" s="1268"/>
      <c r="AK255" s="1304"/>
    </row>
    <row r="256" spans="1:37">
      <c r="A256" s="1288"/>
      <c r="B256" s="1085"/>
      <c r="C256" s="1317"/>
      <c r="D256" s="1318"/>
      <c r="E256" s="1318"/>
      <c r="F256" s="1318"/>
      <c r="G256" s="1318"/>
      <c r="H256" s="1318"/>
      <c r="I256" s="1318"/>
      <c r="J256" s="1318"/>
      <c r="K256" s="1207"/>
      <c r="L256" s="1207"/>
      <c r="M256" s="1207"/>
      <c r="N256" s="1207"/>
      <c r="O256" s="1207"/>
      <c r="P256" s="1207"/>
      <c r="Q256" s="1207"/>
      <c r="R256" s="1207"/>
      <c r="S256" s="1207"/>
      <c r="T256" s="1207"/>
      <c r="U256" s="1207"/>
      <c r="V256" s="1207"/>
      <c r="W256" s="1207"/>
      <c r="X256" s="1207"/>
      <c r="Y256" s="1319"/>
      <c r="Z256" s="1319"/>
      <c r="AA256" s="1319"/>
      <c r="AB256" s="1319"/>
      <c r="AC256" s="1207"/>
      <c r="AD256" s="1207"/>
      <c r="AE256" s="1304"/>
      <c r="AF256" s="1304"/>
      <c r="AG256" s="1304"/>
      <c r="AH256" s="1304"/>
      <c r="AI256" s="1304"/>
      <c r="AJ256" s="1304"/>
      <c r="AK256" s="1304"/>
    </row>
    <row r="257" spans="1:52">
      <c r="A257" s="1367"/>
      <c r="B257" s="1216" t="s">
        <v>1564</v>
      </c>
      <c r="C257" s="1322"/>
      <c r="D257" s="1322"/>
      <c r="E257" s="1322"/>
      <c r="F257" s="1322"/>
      <c r="H257" s="1368"/>
      <c r="I257" s="1368"/>
      <c r="J257" s="1368"/>
      <c r="K257" s="1368"/>
      <c r="L257" s="1368"/>
      <c r="M257" s="1368"/>
      <c r="N257" s="1368"/>
      <c r="O257" s="1368"/>
      <c r="P257" s="1368"/>
      <c r="Q257" s="1368"/>
      <c r="R257" s="1368"/>
      <c r="Y257" s="1368"/>
      <c r="Z257" s="1368"/>
      <c r="AA257" s="1368"/>
      <c r="AB257" s="1367"/>
      <c r="AC257" s="1367"/>
      <c r="AD257" s="1367"/>
      <c r="AE257" s="1367"/>
      <c r="AG257" s="2509">
        <f>AD200*(1-AB255)</f>
        <v>34511651.401551679</v>
      </c>
      <c r="AH257" s="2509"/>
      <c r="AI257" s="2509"/>
      <c r="AJ257" s="2509"/>
      <c r="AK257" s="2509"/>
    </row>
    <row r="258" spans="1:52">
      <c r="A258" s="1367"/>
      <c r="B258" s="1370" t="s">
        <v>1565</v>
      </c>
      <c r="C258" s="1371"/>
      <c r="D258" s="1368"/>
      <c r="E258" s="1368"/>
      <c r="F258" s="1371"/>
      <c r="G258" s="1371"/>
      <c r="H258" s="1371"/>
      <c r="I258" s="1371"/>
      <c r="J258" s="1371"/>
      <c r="K258" s="1371"/>
      <c r="L258" s="1371"/>
      <c r="M258" s="1368"/>
      <c r="N258" s="1371"/>
      <c r="O258" s="1371"/>
      <c r="P258" s="1371"/>
      <c r="Q258" s="1371"/>
      <c r="R258" s="1371"/>
      <c r="Y258" s="1368"/>
      <c r="Z258" s="1368"/>
      <c r="AA258" s="1368"/>
      <c r="AB258" s="1367"/>
      <c r="AC258" s="1367"/>
      <c r="AD258" s="1367"/>
      <c r="AE258" s="1367"/>
      <c r="AG258" s="2509">
        <f>'Sources and Uses Budget'!C105</f>
        <v>88962845</v>
      </c>
      <c r="AH258" s="2509"/>
      <c r="AI258" s="2509"/>
      <c r="AJ258" s="2509"/>
      <c r="AK258" s="2509"/>
    </row>
    <row r="259" spans="1:52">
      <c r="A259" s="1367"/>
      <c r="B259" s="1368" t="s">
        <v>13</v>
      </c>
      <c r="C259" s="1368"/>
      <c r="D259" s="1368"/>
      <c r="E259" s="1368"/>
      <c r="F259" s="1368"/>
      <c r="G259" s="1368"/>
      <c r="H259" s="1368"/>
      <c r="I259" s="1368"/>
      <c r="J259" s="1368"/>
      <c r="K259" s="1368"/>
      <c r="L259" s="1368"/>
      <c r="M259" s="1368"/>
      <c r="N259" s="1368"/>
      <c r="O259" s="1368"/>
      <c r="P259" s="1368"/>
      <c r="Q259" s="1368"/>
      <c r="R259" s="1368"/>
      <c r="Y259" s="1368"/>
      <c r="Z259" s="1368"/>
      <c r="AA259" s="1368"/>
      <c r="AB259" s="1367"/>
      <c r="AC259" s="1367"/>
      <c r="AD259" s="1367"/>
      <c r="AE259" s="1367"/>
      <c r="AG259" s="2598">
        <f>ROUNDDOWN(IF(AND(C281="Yes",AK78=10),((AG257*2)/AG258),AG257/AG258),2)</f>
        <v>0.38</v>
      </c>
      <c r="AH259" s="2598"/>
      <c r="AI259" s="2598"/>
      <c r="AJ259" s="2598"/>
      <c r="AK259" s="2598"/>
    </row>
    <row r="260" spans="1:52">
      <c r="A260" s="1367"/>
      <c r="B260" s="1372" t="s">
        <v>2051</v>
      </c>
      <c r="C260" s="1368"/>
      <c r="D260" s="1368"/>
      <c r="E260" s="1368"/>
      <c r="F260" s="1368"/>
      <c r="G260" s="1368"/>
      <c r="H260" s="1368"/>
      <c r="I260" s="1368"/>
      <c r="J260" s="1368"/>
      <c r="K260" s="1368"/>
      <c r="L260" s="1368"/>
      <c r="M260" s="1368"/>
      <c r="N260" s="1368"/>
      <c r="O260" s="1368"/>
      <c r="P260" s="1368"/>
      <c r="Q260" s="1368"/>
      <c r="R260" s="1368"/>
      <c r="Y260" s="1368"/>
      <c r="Z260" s="1368"/>
      <c r="AA260" s="1368"/>
      <c r="AB260" s="1367"/>
      <c r="AC260" s="1367"/>
      <c r="AD260" s="1367"/>
      <c r="AE260" s="1367"/>
      <c r="AG260" s="1373"/>
      <c r="AH260" s="1373"/>
      <c r="AI260" s="1373"/>
      <c r="AJ260" s="1373"/>
      <c r="AK260" s="1373"/>
    </row>
    <row r="261" spans="1:52">
      <c r="A261" s="1374"/>
      <c r="B261" s="1374"/>
      <c r="C261" s="1374"/>
      <c r="D261" s="1374"/>
      <c r="E261" s="1374"/>
      <c r="F261" s="1374"/>
      <c r="G261" s="1374"/>
      <c r="H261" s="1374"/>
      <c r="I261" s="1374"/>
      <c r="J261" s="1374"/>
      <c r="K261" s="1374"/>
      <c r="L261" s="1374"/>
      <c r="M261" s="1374"/>
      <c r="N261" s="1374"/>
      <c r="O261" s="1374"/>
      <c r="P261" s="1374"/>
      <c r="Q261" s="1374"/>
      <c r="R261" s="1374"/>
      <c r="S261" s="1374"/>
      <c r="T261" s="1374"/>
      <c r="U261" s="1374"/>
      <c r="V261" s="1374"/>
      <c r="W261" s="1374"/>
      <c r="X261" s="1374"/>
      <c r="Y261" s="1374"/>
      <c r="Z261" s="1374"/>
      <c r="AA261" s="1374"/>
      <c r="AB261" s="1374"/>
      <c r="AC261" s="1374"/>
      <c r="AD261" s="1374"/>
      <c r="AE261" s="1374"/>
      <c r="AF261" s="1374"/>
      <c r="AG261" s="1374"/>
      <c r="AH261" s="1374"/>
      <c r="AI261" s="1374"/>
      <c r="AJ261" s="1374"/>
    </row>
    <row r="262" spans="1:52">
      <c r="A262" s="1375"/>
      <c r="B262" s="1375"/>
      <c r="C262" s="1375"/>
      <c r="D262" s="1375"/>
      <c r="E262" s="1375"/>
      <c r="F262" s="1375"/>
      <c r="G262" s="1375"/>
      <c r="H262" s="1375"/>
      <c r="I262" s="1375"/>
      <c r="J262" s="1375"/>
      <c r="K262" s="1375"/>
      <c r="L262" s="1375"/>
      <c r="M262" s="1375"/>
      <c r="N262" s="1375"/>
      <c r="O262" s="1375"/>
      <c r="P262" s="1375"/>
      <c r="Q262" s="1375"/>
      <c r="R262" s="1375"/>
      <c r="S262" s="1375"/>
      <c r="T262" s="1375"/>
      <c r="U262" s="1375"/>
      <c r="V262" s="1375"/>
      <c r="W262" s="1375"/>
      <c r="X262" s="1375"/>
      <c r="Y262" s="1375"/>
      <c r="Z262" s="1375"/>
      <c r="AA262" s="1375"/>
      <c r="AB262" s="1375"/>
      <c r="AC262" s="1375"/>
      <c r="AD262" s="1375"/>
      <c r="AE262" s="1375"/>
      <c r="AF262" s="1375"/>
      <c r="AG262" s="1375"/>
      <c r="AH262" s="1376"/>
      <c r="AI262" s="1239"/>
      <c r="AJ262" s="1239" t="s">
        <v>1566</v>
      </c>
      <c r="AK262" s="2574">
        <f>IFERROR(IF(AG259=0,0,IF((AG259*100)&gt;8,8,(AG259*100))),0)</f>
        <v>8</v>
      </c>
      <c r="AL262" s="2574"/>
      <c r="AM262" s="2575"/>
    </row>
    <row r="263" spans="1:52" ht="13.8" thickBot="1"/>
    <row r="264" spans="1:52" s="1222" customFormat="1" ht="12.75" customHeight="1" thickTop="1">
      <c r="A264" s="1306"/>
      <c r="B264" s="1377"/>
      <c r="C264" s="1377"/>
      <c r="D264" s="1377"/>
      <c r="E264" s="1377"/>
      <c r="F264" s="1377"/>
      <c r="G264" s="1377"/>
      <c r="H264" s="1377"/>
      <c r="I264" s="1377"/>
      <c r="J264" s="1377"/>
      <c r="K264" s="1377"/>
      <c r="L264" s="1377"/>
      <c r="M264" s="1377"/>
      <c r="N264" s="1377"/>
      <c r="O264" s="1377"/>
      <c r="P264" s="1377"/>
      <c r="Q264" s="1377"/>
      <c r="R264" s="1377"/>
      <c r="S264" s="1377"/>
      <c r="T264" s="1377"/>
      <c r="U264" s="1377"/>
      <c r="V264" s="1377"/>
      <c r="W264" s="1377"/>
      <c r="X264" s="1377"/>
      <c r="Y264" s="1377"/>
      <c r="Z264" s="1377"/>
      <c r="AA264" s="1377"/>
      <c r="AB264" s="1377"/>
      <c r="AC264" s="1378"/>
      <c r="AD264" s="1377"/>
      <c r="AE264" s="1377"/>
      <c r="AF264" s="1377"/>
      <c r="AG264" s="1377"/>
      <c r="AH264" s="1306"/>
      <c r="AI264" s="1379"/>
      <c r="AJ264" s="1379"/>
      <c r="AK264" s="1380"/>
      <c r="AL264" s="1380"/>
      <c r="AM264" s="1381"/>
      <c r="AN264" s="1296"/>
      <c r="AP264" s="1207"/>
      <c r="AQ264" s="1207"/>
      <c r="AR264" s="1207"/>
      <c r="AS264" s="1207"/>
      <c r="AT264" s="1207"/>
      <c r="AU264" s="1207"/>
      <c r="AV264" s="1207"/>
      <c r="AW264" s="1207"/>
      <c r="AX264" s="1207"/>
      <c r="AY264" s="1207"/>
      <c r="AZ264" s="1207"/>
    </row>
    <row r="265" spans="1:52">
      <c r="A265" s="1209" t="s">
        <v>1567</v>
      </c>
      <c r="B265" s="1209" t="s">
        <v>1568</v>
      </c>
      <c r="C265" s="1210"/>
      <c r="D265" s="1222"/>
      <c r="E265" s="1222"/>
      <c r="F265" s="1222"/>
      <c r="G265" s="1222"/>
      <c r="H265" s="1222"/>
      <c r="I265" s="1222"/>
      <c r="J265" s="1222"/>
      <c r="K265" s="1222"/>
      <c r="L265" s="1222"/>
      <c r="M265" s="1222"/>
      <c r="N265" s="1222"/>
      <c r="O265" s="1222"/>
      <c r="P265" s="1222"/>
      <c r="Q265" s="1222"/>
      <c r="R265" s="1222"/>
      <c r="S265" s="1222"/>
      <c r="T265" s="1222"/>
      <c r="U265" s="1222"/>
      <c r="V265" s="1222"/>
      <c r="W265" s="1222"/>
      <c r="X265" s="1222"/>
      <c r="Y265" s="1222"/>
      <c r="Z265" s="1222"/>
      <c r="AA265" s="1222"/>
      <c r="AB265" s="1222"/>
      <c r="AC265" s="1222"/>
      <c r="AD265" s="1222"/>
      <c r="AE265" s="1222"/>
      <c r="AF265" s="1222"/>
      <c r="AG265" s="1222"/>
      <c r="AH265" s="1286" t="s">
        <v>1505</v>
      </c>
      <c r="AI265" s="1222"/>
      <c r="AJ265" s="1222"/>
      <c r="AK265" s="1222"/>
      <c r="AL265" s="1222"/>
      <c r="AM265" s="1222"/>
      <c r="AO265" s="1222"/>
    </row>
    <row r="266" spans="1:52" ht="14.25" customHeight="1">
      <c r="A266" s="1286"/>
      <c r="AI266" s="1223"/>
      <c r="AJ266" s="1222"/>
      <c r="AK266" s="1222"/>
      <c r="AL266" s="1222"/>
      <c r="AM266" s="1222"/>
      <c r="AO266" s="1222"/>
    </row>
    <row r="267" spans="1:52" ht="13.65" customHeight="1">
      <c r="A267" s="1222"/>
      <c r="B267" s="1382"/>
      <c r="C267" s="2482" t="s">
        <v>569</v>
      </c>
      <c r="D267" s="2482"/>
      <c r="E267" s="1219"/>
      <c r="F267" s="2580" t="s">
        <v>2709</v>
      </c>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2"/>
      <c r="AE267" s="1222"/>
      <c r="AF267" s="1383"/>
      <c r="AG267" s="2589" t="s">
        <v>1554</v>
      </c>
      <c r="AH267" s="2589"/>
      <c r="AI267" s="2589"/>
      <c r="AJ267" s="2589"/>
      <c r="AK267" s="1222"/>
      <c r="AL267" s="1222"/>
      <c r="AM267" s="1222"/>
      <c r="AO267" s="1222"/>
    </row>
    <row r="268" spans="1:52" ht="13.65" customHeight="1">
      <c r="A268" s="1222"/>
      <c r="B268" s="1382"/>
      <c r="C268" s="1384"/>
      <c r="D268" s="1222"/>
      <c r="E268" s="1219"/>
      <c r="F268" s="2583"/>
      <c r="G268" s="2584"/>
      <c r="H268" s="2584"/>
      <c r="I268" s="2584"/>
      <c r="J268" s="2584"/>
      <c r="K268" s="2584"/>
      <c r="L268" s="2584"/>
      <c r="M268" s="2584"/>
      <c r="N268" s="2584"/>
      <c r="O268" s="2584"/>
      <c r="P268" s="2584"/>
      <c r="Q268" s="2584"/>
      <c r="R268" s="2584"/>
      <c r="S268" s="2584"/>
      <c r="T268" s="2584"/>
      <c r="U268" s="2584"/>
      <c r="V268" s="2584"/>
      <c r="W268" s="2584"/>
      <c r="X268" s="2584"/>
      <c r="Y268" s="2584"/>
      <c r="Z268" s="2584"/>
      <c r="AA268" s="2584"/>
      <c r="AB268" s="2584"/>
      <c r="AC268" s="2584"/>
      <c r="AD268" s="2585"/>
      <c r="AE268" s="1222"/>
      <c r="AF268" s="1383"/>
      <c r="AG268" s="1383"/>
      <c r="AH268" s="1383"/>
      <c r="AI268" s="1383"/>
      <c r="AJ268" s="1222"/>
      <c r="AK268" s="1222"/>
      <c r="AL268" s="1222"/>
      <c r="AM268" s="1222"/>
      <c r="AO268" s="1222"/>
    </row>
    <row r="269" spans="1:52">
      <c r="A269" s="1222"/>
      <c r="B269" s="1382"/>
      <c r="C269" s="1384"/>
      <c r="D269" s="1222"/>
      <c r="E269" s="1219"/>
      <c r="F269" s="2583"/>
      <c r="G269" s="2584"/>
      <c r="H269" s="2584"/>
      <c r="I269" s="2584"/>
      <c r="J269" s="2584"/>
      <c r="K269" s="2584"/>
      <c r="L269" s="2584"/>
      <c r="M269" s="2584"/>
      <c r="N269" s="2584"/>
      <c r="O269" s="2584"/>
      <c r="P269" s="2584"/>
      <c r="Q269" s="2584"/>
      <c r="R269" s="2584"/>
      <c r="S269" s="2584"/>
      <c r="T269" s="2584"/>
      <c r="U269" s="2584"/>
      <c r="V269" s="2584"/>
      <c r="W269" s="2584"/>
      <c r="X269" s="2584"/>
      <c r="Y269" s="2584"/>
      <c r="Z269" s="2584"/>
      <c r="AA269" s="2584"/>
      <c r="AB269" s="2584"/>
      <c r="AC269" s="2584"/>
      <c r="AD269" s="2585"/>
      <c r="AE269" s="1222"/>
      <c r="AF269" s="1383"/>
      <c r="AG269" s="1383"/>
      <c r="AH269" s="1383"/>
      <c r="AI269" s="1383"/>
      <c r="AJ269" s="1222"/>
      <c r="AK269" s="1222"/>
      <c r="AL269" s="1222"/>
      <c r="AM269" s="1222"/>
      <c r="AO269" s="1222"/>
      <c r="AP269" s="1385"/>
    </row>
    <row r="270" spans="1:52">
      <c r="A270" s="1222"/>
      <c r="B270" s="1382"/>
      <c r="C270" s="1384"/>
      <c r="D270" s="1222"/>
      <c r="E270" s="1219"/>
      <c r="F270" s="2583"/>
      <c r="G270" s="2584"/>
      <c r="H270" s="2584"/>
      <c r="I270" s="2584"/>
      <c r="J270" s="2584"/>
      <c r="K270" s="2584"/>
      <c r="L270" s="2584"/>
      <c r="M270" s="2584"/>
      <c r="N270" s="2584"/>
      <c r="O270" s="2584"/>
      <c r="P270" s="2584"/>
      <c r="Q270" s="2584"/>
      <c r="R270" s="2584"/>
      <c r="S270" s="2584"/>
      <c r="T270" s="2584"/>
      <c r="U270" s="2584"/>
      <c r="V270" s="2584"/>
      <c r="W270" s="2584"/>
      <c r="X270" s="2584"/>
      <c r="Y270" s="2584"/>
      <c r="Z270" s="2584"/>
      <c r="AA270" s="2584"/>
      <c r="AB270" s="2584"/>
      <c r="AC270" s="2584"/>
      <c r="AD270" s="2585"/>
      <c r="AE270" s="1222"/>
      <c r="AF270" s="1383"/>
      <c r="AG270" s="1383"/>
      <c r="AH270" s="1383"/>
      <c r="AI270" s="1383"/>
      <c r="AJ270" s="1222"/>
      <c r="AK270" s="1222"/>
      <c r="AL270" s="1222"/>
      <c r="AM270" s="1222"/>
      <c r="AO270" s="1222"/>
      <c r="AP270" s="1385"/>
    </row>
    <row r="271" spans="1:52" ht="13.65" customHeight="1">
      <c r="A271" s="1222"/>
      <c r="B271" s="1382"/>
      <c r="C271" s="2590"/>
      <c r="D271" s="2590"/>
      <c r="E271" s="1219"/>
      <c r="F271" s="2586"/>
      <c r="G271" s="2587"/>
      <c r="H271" s="2587"/>
      <c r="I271" s="2587"/>
      <c r="J271" s="2587"/>
      <c r="K271" s="2587"/>
      <c r="L271" s="2587"/>
      <c r="M271" s="2587"/>
      <c r="N271" s="2587"/>
      <c r="O271" s="2587"/>
      <c r="P271" s="2587"/>
      <c r="Q271" s="2587"/>
      <c r="R271" s="2587"/>
      <c r="S271" s="2587"/>
      <c r="T271" s="2587"/>
      <c r="U271" s="2587"/>
      <c r="V271" s="2587"/>
      <c r="W271" s="2587"/>
      <c r="X271" s="2587"/>
      <c r="Y271" s="2587"/>
      <c r="Z271" s="2587"/>
      <c r="AA271" s="2587"/>
      <c r="AB271" s="2587"/>
      <c r="AC271" s="2587"/>
      <c r="AD271" s="2588"/>
      <c r="AE271" s="1222"/>
      <c r="AF271" s="1383"/>
      <c r="AG271" s="2589"/>
      <c r="AH271" s="2589"/>
      <c r="AI271" s="2589"/>
      <c r="AJ271" s="2589"/>
      <c r="AK271" s="1222"/>
      <c r="AL271" s="1222"/>
      <c r="AM271" s="1222"/>
    </row>
    <row r="272" spans="1:52" ht="13.65" hidden="1" customHeight="1">
      <c r="A272" s="1222"/>
      <c r="C272" s="1295"/>
      <c r="D272" s="1295"/>
      <c r="E272" s="1295"/>
      <c r="F272" s="1386"/>
      <c r="G272" s="1387"/>
      <c r="H272" s="1387"/>
      <c r="I272" s="1387"/>
      <c r="J272" s="1387"/>
      <c r="K272" s="1387"/>
      <c r="L272" s="1387"/>
      <c r="M272" s="1387"/>
      <c r="N272" s="1387"/>
      <c r="O272" s="1387"/>
      <c r="P272" s="1387"/>
      <c r="Q272" s="1387"/>
      <c r="R272" s="1387"/>
      <c r="S272" s="1387"/>
      <c r="T272" s="1387"/>
      <c r="U272" s="1387"/>
      <c r="V272" s="1387"/>
      <c r="W272" s="1387"/>
      <c r="X272" s="1387"/>
      <c r="Y272" s="1387"/>
      <c r="Z272" s="1387"/>
      <c r="AA272" s="1387"/>
      <c r="AB272" s="1387"/>
      <c r="AC272" s="1387"/>
      <c r="AD272" s="1388"/>
      <c r="AE272" s="1295"/>
      <c r="AF272" s="1295"/>
      <c r="AG272" s="1295"/>
      <c r="AH272" s="1295"/>
      <c r="AI272" s="1383"/>
      <c r="AJ272" s="1222"/>
      <c r="AK272" s="1222"/>
      <c r="AL272" s="1222"/>
      <c r="AM272" s="1222"/>
    </row>
    <row r="273" spans="1:49">
      <c r="A273" s="1222"/>
      <c r="B273" s="1295"/>
      <c r="C273" s="1295"/>
      <c r="D273" s="1295"/>
      <c r="E273" s="1295"/>
      <c r="F273" s="1295"/>
      <c r="G273" s="1295"/>
      <c r="H273" s="1295"/>
      <c r="I273" s="1295"/>
      <c r="J273" s="1295"/>
      <c r="K273" s="1295"/>
      <c r="L273" s="1295"/>
      <c r="M273" s="1295"/>
      <c r="N273" s="1295"/>
      <c r="O273" s="1295"/>
      <c r="P273" s="1295"/>
      <c r="Q273" s="1295"/>
      <c r="R273" s="1295"/>
      <c r="S273" s="1295"/>
      <c r="T273" s="1295"/>
      <c r="U273" s="1295"/>
      <c r="V273" s="1295"/>
      <c r="W273" s="1295"/>
      <c r="X273" s="1295"/>
      <c r="Y273" s="1295"/>
      <c r="Z273" s="1295"/>
      <c r="AA273" s="1295"/>
      <c r="AB273" s="1295"/>
      <c r="AC273" s="1295"/>
      <c r="AD273" s="1295"/>
      <c r="AE273" s="1295"/>
      <c r="AF273" s="1295"/>
      <c r="AG273" s="1295"/>
      <c r="AH273" s="1295"/>
      <c r="AI273" s="1295"/>
      <c r="AJ273" s="1295"/>
      <c r="AK273" s="1295"/>
      <c r="AL273" s="1222"/>
      <c r="AM273" s="1222"/>
      <c r="AN273" s="1389"/>
    </row>
    <row r="274" spans="1:49">
      <c r="A274" s="1300"/>
      <c r="B274" s="1238"/>
      <c r="C274" s="1238"/>
      <c r="D274" s="1238"/>
      <c r="E274" s="1238"/>
      <c r="F274" s="1238"/>
      <c r="G274" s="1238"/>
      <c r="H274" s="1238"/>
      <c r="I274" s="1238"/>
      <c r="J274" s="1238"/>
      <c r="K274" s="1238"/>
      <c r="L274" s="1238"/>
      <c r="M274" s="1238"/>
      <c r="N274" s="1238"/>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9"/>
      <c r="AJ274" s="1239" t="s">
        <v>1570</v>
      </c>
      <c r="AK274" s="2574">
        <f>IF($C$267="yes",10,0)</f>
        <v>10</v>
      </c>
      <c r="AL274" s="2574"/>
      <c r="AM274" s="2575"/>
      <c r="AN274" s="1389"/>
    </row>
    <row r="275" spans="1:49" ht="13.8" thickBot="1"/>
    <row r="276" spans="1:49" ht="13.8" thickTop="1">
      <c r="A276" s="1390"/>
      <c r="B276" s="1390"/>
      <c r="C276" s="1390"/>
      <c r="D276" s="1390"/>
      <c r="E276" s="1390"/>
      <c r="F276" s="1390"/>
      <c r="G276" s="1390"/>
      <c r="H276" s="1390"/>
      <c r="I276" s="1390"/>
      <c r="J276" s="1390"/>
      <c r="K276" s="1390"/>
      <c r="L276" s="1390"/>
      <c r="M276" s="1390"/>
      <c r="N276" s="1390"/>
      <c r="O276" s="1390"/>
      <c r="P276" s="1390"/>
      <c r="Q276" s="1390"/>
      <c r="R276" s="1390"/>
      <c r="S276" s="1390"/>
      <c r="T276" s="1390"/>
      <c r="U276" s="1390"/>
      <c r="V276" s="1390"/>
      <c r="W276" s="1390"/>
      <c r="X276" s="1390"/>
      <c r="Y276" s="1390"/>
      <c r="Z276" s="1390"/>
      <c r="AA276" s="1390"/>
      <c r="AB276" s="1390"/>
      <c r="AC276" s="1390"/>
      <c r="AD276" s="1390"/>
      <c r="AE276" s="1390"/>
      <c r="AF276" s="1390"/>
      <c r="AG276" s="1390"/>
      <c r="AH276" s="1390"/>
      <c r="AI276" s="1390"/>
      <c r="AJ276" s="1390"/>
      <c r="AK276" s="1390"/>
      <c r="AL276" s="1390"/>
      <c r="AM276" s="1391"/>
    </row>
    <row r="277" spans="1:49">
      <c r="A277" s="1209" t="s">
        <v>1571</v>
      </c>
      <c r="B277" s="1209" t="s">
        <v>2166</v>
      </c>
      <c r="AH277" s="1286" t="s">
        <v>1505</v>
      </c>
    </row>
    <row r="278" spans="1:49" ht="15" customHeight="1">
      <c r="B278" s="1210"/>
    </row>
    <row r="279" spans="1:49" ht="15" customHeight="1">
      <c r="B279" s="1210"/>
    </row>
    <row r="280" spans="1:49">
      <c r="B280" s="1222"/>
      <c r="C280" s="1392"/>
      <c r="D280" s="1222"/>
      <c r="E280" s="1222"/>
      <c r="F280" s="1222"/>
      <c r="G280" s="1222"/>
      <c r="H280" s="1222"/>
      <c r="I280" s="1222"/>
      <c r="J280" s="1222"/>
      <c r="K280" s="1222"/>
      <c r="L280" s="1222"/>
      <c r="M280" s="1222"/>
      <c r="N280" s="1222"/>
      <c r="O280" s="1222"/>
      <c r="P280" s="1222"/>
      <c r="Q280" s="1222"/>
      <c r="R280" s="1222"/>
      <c r="S280" s="1222"/>
      <c r="T280" s="1222"/>
      <c r="U280" s="1222"/>
      <c r="V280" s="1222"/>
      <c r="W280" s="1222"/>
      <c r="X280" s="1222"/>
      <c r="Y280" s="1222"/>
      <c r="Z280" s="1222"/>
      <c r="AA280" s="1222"/>
      <c r="AB280" s="1222"/>
      <c r="AC280" s="1222"/>
      <c r="AD280" s="1222"/>
      <c r="AG280" s="1222"/>
      <c r="AI280" s="1222"/>
      <c r="AJ280" s="1222"/>
      <c r="AK280" s="1222"/>
      <c r="AL280" s="1222"/>
      <c r="AM280" s="1222"/>
      <c r="AN280" s="1389"/>
      <c r="AO280" s="1205"/>
      <c r="AP280" s="1207"/>
      <c r="AQ280" s="1393"/>
      <c r="AR280" s="1207"/>
      <c r="AS280" s="1207"/>
      <c r="AT280" s="1207"/>
      <c r="AU280" s="1207"/>
      <c r="AV280" s="1369"/>
      <c r="AW280" s="1369"/>
    </row>
    <row r="281" spans="1:49" ht="12.75" customHeight="1">
      <c r="A281" s="2563" t="s">
        <v>1573</v>
      </c>
      <c r="B281" s="2563"/>
      <c r="C281" s="2482" t="s">
        <v>616</v>
      </c>
      <c r="D281" s="2482"/>
      <c r="E281" s="1219"/>
      <c r="F281" s="2576" t="s">
        <v>1574</v>
      </c>
      <c r="G281" s="2577"/>
      <c r="H281" s="2577"/>
      <c r="I281" s="2577"/>
      <c r="J281" s="2577"/>
      <c r="K281" s="2577"/>
      <c r="L281" s="2577"/>
      <c r="M281" s="2577"/>
      <c r="N281" s="2577"/>
      <c r="O281" s="2577"/>
      <c r="P281" s="2577"/>
      <c r="Q281" s="2577"/>
      <c r="R281" s="2577"/>
      <c r="S281" s="2577"/>
      <c r="T281" s="2577"/>
      <c r="U281" s="2577"/>
      <c r="V281" s="2577"/>
      <c r="W281" s="2577"/>
      <c r="X281" s="2577"/>
      <c r="Y281" s="2577"/>
      <c r="Z281" s="2577"/>
      <c r="AA281" s="2577"/>
      <c r="AB281" s="2577"/>
      <c r="AC281" s="2577"/>
      <c r="AD281" s="2578"/>
      <c r="AE281" s="1294"/>
      <c r="AF281" s="1222"/>
      <c r="AG281" s="2579" t="s">
        <v>2710</v>
      </c>
      <c r="AH281" s="2579"/>
      <c r="AI281" s="2579"/>
      <c r="AJ281" s="2579"/>
      <c r="AK281" s="2579"/>
      <c r="AL281" s="1222"/>
      <c r="AM281" s="1222"/>
      <c r="AN281" s="1389"/>
      <c r="AO281" s="1205"/>
      <c r="AP281" s="1204"/>
      <c r="AS281" s="1207"/>
      <c r="AT281" s="1207"/>
      <c r="AU281" s="1207"/>
      <c r="AV281" s="1369"/>
      <c r="AW281" s="1369"/>
    </row>
    <row r="282" spans="1:49">
      <c r="A282" s="1392"/>
      <c r="B282" s="1382"/>
      <c r="F282" s="2505"/>
      <c r="G282" s="2475"/>
      <c r="H282" s="2475"/>
      <c r="I282" s="2475"/>
      <c r="J282" s="2475"/>
      <c r="K282" s="2475"/>
      <c r="L282" s="2475"/>
      <c r="M282" s="2475"/>
      <c r="N282" s="2475"/>
      <c r="O282" s="2475"/>
      <c r="P282" s="2475"/>
      <c r="Q282" s="2475"/>
      <c r="R282" s="2475"/>
      <c r="S282" s="2475"/>
      <c r="T282" s="2475"/>
      <c r="U282" s="2475"/>
      <c r="V282" s="2475"/>
      <c r="W282" s="2475"/>
      <c r="X282" s="2475"/>
      <c r="Y282" s="2475"/>
      <c r="Z282" s="2475"/>
      <c r="AA282" s="2475"/>
      <c r="AB282" s="2475"/>
      <c r="AC282" s="2475"/>
      <c r="AD282" s="2506"/>
      <c r="AE282" s="1294"/>
      <c r="AF282" s="1223"/>
      <c r="AH282" s="1223"/>
      <c r="AI282" s="1223"/>
      <c r="AJ282" s="1222"/>
      <c r="AK282" s="1222"/>
      <c r="AL282" s="1222"/>
      <c r="AM282" s="1222"/>
      <c r="AN282" s="1389"/>
      <c r="AO282" s="1205"/>
      <c r="AP282" s="1222">
        <f>IF($C$281="yes",10,IF(C281="50% Met",9,0))</f>
        <v>0</v>
      </c>
      <c r="AS282" s="1207"/>
      <c r="AT282" s="1207"/>
      <c r="AU282" s="1207"/>
      <c r="AV282" s="1369"/>
      <c r="AW282" s="1369"/>
    </row>
    <row r="283" spans="1:49" ht="15" customHeight="1">
      <c r="A283" s="1392"/>
      <c r="B283" s="1382"/>
      <c r="F283" s="2505"/>
      <c r="G283" s="2475"/>
      <c r="H283" s="2475"/>
      <c r="I283" s="2475"/>
      <c r="J283" s="2475"/>
      <c r="K283" s="2475"/>
      <c r="L283" s="2475"/>
      <c r="M283" s="2475"/>
      <c r="N283" s="2475"/>
      <c r="O283" s="2475"/>
      <c r="P283" s="2475"/>
      <c r="Q283" s="2475"/>
      <c r="R283" s="2475"/>
      <c r="S283" s="2475"/>
      <c r="T283" s="2475"/>
      <c r="U283" s="2475"/>
      <c r="V283" s="2475"/>
      <c r="W283" s="2475"/>
      <c r="X283" s="2475"/>
      <c r="Y283" s="2475"/>
      <c r="Z283" s="2475"/>
      <c r="AA283" s="2475"/>
      <c r="AB283" s="2475"/>
      <c r="AC283" s="2475"/>
      <c r="AD283" s="2506"/>
      <c r="AE283" s="1294"/>
      <c r="AF283" s="1223"/>
      <c r="AH283" s="1223"/>
      <c r="AI283" s="1223"/>
      <c r="AJ283" s="1222"/>
      <c r="AK283" s="1222"/>
      <c r="AL283" s="1222"/>
      <c r="AM283" s="1222"/>
      <c r="AN283" s="1389"/>
      <c r="AO283" s="1205"/>
      <c r="AP283" s="1222">
        <f>IF($C$291="yes",9,0)</f>
        <v>9</v>
      </c>
      <c r="AS283" s="1207"/>
      <c r="AT283" s="1207"/>
      <c r="AU283" s="1207"/>
      <c r="AV283" s="1369"/>
      <c r="AW283" s="1369"/>
    </row>
    <row r="284" spans="1:49" ht="12.75" customHeight="1">
      <c r="A284" s="1392"/>
      <c r="B284" s="1382"/>
      <c r="F284" s="2505" t="s">
        <v>2711</v>
      </c>
      <c r="G284" s="2475"/>
      <c r="H284" s="2475"/>
      <c r="I284" s="2475"/>
      <c r="J284" s="2475"/>
      <c r="K284" s="2475"/>
      <c r="L284" s="2475"/>
      <c r="M284" s="2475"/>
      <c r="N284" s="2475"/>
      <c r="O284" s="2475"/>
      <c r="P284" s="2475"/>
      <c r="Q284" s="2475"/>
      <c r="R284" s="2475"/>
      <c r="S284" s="2475"/>
      <c r="T284" s="2475"/>
      <c r="U284" s="2475"/>
      <c r="V284" s="2475"/>
      <c r="W284" s="2475"/>
      <c r="X284" s="2475"/>
      <c r="Y284" s="2475"/>
      <c r="Z284" s="2475"/>
      <c r="AA284" s="2475"/>
      <c r="AB284" s="2475"/>
      <c r="AC284" s="2475"/>
      <c r="AD284" s="2506"/>
      <c r="AE284" s="1294"/>
      <c r="AF284" s="1223"/>
      <c r="AH284" s="1223"/>
      <c r="AI284" s="1223"/>
      <c r="AJ284" s="1222"/>
      <c r="AK284" s="1222"/>
      <c r="AL284" s="1222"/>
      <c r="AM284" s="1222"/>
      <c r="AN284" s="1389"/>
      <c r="AO284" s="1205"/>
      <c r="AP284" s="1305">
        <f>MAX(AP282,AP283)</f>
        <v>9</v>
      </c>
      <c r="AQ284" s="1245" t="s">
        <v>1507</v>
      </c>
      <c r="AS284" s="1207"/>
      <c r="AT284" s="1207"/>
      <c r="AU284" s="1207"/>
      <c r="AV284" s="1369"/>
      <c r="AW284" s="1369"/>
    </row>
    <row r="285" spans="1:49">
      <c r="A285" s="1392"/>
      <c r="B285" s="1382"/>
      <c r="F285" s="2505"/>
      <c r="G285" s="2475"/>
      <c r="H285" s="2475"/>
      <c r="I285" s="2475"/>
      <c r="J285" s="2475"/>
      <c r="K285" s="2475"/>
      <c r="L285" s="2475"/>
      <c r="M285" s="2475"/>
      <c r="N285" s="2475"/>
      <c r="O285" s="2475"/>
      <c r="P285" s="2475"/>
      <c r="Q285" s="2475"/>
      <c r="R285" s="2475"/>
      <c r="S285" s="2475"/>
      <c r="T285" s="2475"/>
      <c r="U285" s="2475"/>
      <c r="V285" s="2475"/>
      <c r="W285" s="2475"/>
      <c r="X285" s="2475"/>
      <c r="Y285" s="2475"/>
      <c r="Z285" s="2475"/>
      <c r="AA285" s="2475"/>
      <c r="AB285" s="2475"/>
      <c r="AC285" s="2475"/>
      <c r="AD285" s="2506"/>
      <c r="AE285" s="1294"/>
      <c r="AF285" s="1223"/>
      <c r="AH285" s="1223"/>
      <c r="AI285" s="1223"/>
      <c r="AJ285" s="1222"/>
      <c r="AK285" s="1222"/>
      <c r="AL285" s="1222"/>
      <c r="AM285" s="1222"/>
      <c r="AN285" s="1389"/>
      <c r="AO285" s="1205"/>
      <c r="AP285" s="1222"/>
      <c r="AS285" s="1207"/>
      <c r="AT285" s="1207"/>
      <c r="AU285" s="1207"/>
      <c r="AV285" s="1369"/>
      <c r="AW285" s="1369"/>
    </row>
    <row r="286" spans="1:49" ht="12.75" customHeight="1">
      <c r="A286" s="1222"/>
      <c r="B286" s="1223"/>
      <c r="C286" s="1222"/>
      <c r="D286" s="1223"/>
      <c r="E286" s="1222"/>
      <c r="F286" s="2505" t="s">
        <v>1575</v>
      </c>
      <c r="G286" s="2475"/>
      <c r="H286" s="2475"/>
      <c r="I286" s="2475"/>
      <c r="J286" s="2475"/>
      <c r="K286" s="2475"/>
      <c r="L286" s="2475"/>
      <c r="M286" s="2475"/>
      <c r="N286" s="2475"/>
      <c r="O286" s="2475"/>
      <c r="P286" s="2475"/>
      <c r="Q286" s="2475"/>
      <c r="R286" s="2475"/>
      <c r="S286" s="2475"/>
      <c r="T286" s="2475"/>
      <c r="U286" s="2475"/>
      <c r="V286" s="2475"/>
      <c r="W286" s="2475"/>
      <c r="X286" s="2475"/>
      <c r="Y286" s="2475"/>
      <c r="Z286" s="2475"/>
      <c r="AA286" s="2475"/>
      <c r="AB286" s="2475"/>
      <c r="AC286" s="2475"/>
      <c r="AD286" s="2506"/>
      <c r="AE286" s="1294"/>
      <c r="AF286" s="1223"/>
      <c r="AG286" s="1223"/>
      <c r="AH286" s="1223"/>
      <c r="AI286" s="1223"/>
      <c r="AJ286" s="1222"/>
      <c r="AK286" s="1222"/>
      <c r="AL286" s="1222"/>
      <c r="AM286" s="1222"/>
      <c r="AN286" s="1389"/>
      <c r="AO286" s="1205"/>
      <c r="AS286" s="1207"/>
      <c r="AT286" s="1207"/>
      <c r="AU286" s="1207"/>
      <c r="AV286" s="1369"/>
      <c r="AW286" s="1369"/>
    </row>
    <row r="287" spans="1:49" ht="15" customHeight="1">
      <c r="A287" s="1222"/>
      <c r="B287" s="1223"/>
      <c r="C287" s="1223"/>
      <c r="D287" s="1223"/>
      <c r="E287" s="1223"/>
      <c r="F287" s="2505"/>
      <c r="G287" s="2475"/>
      <c r="H287" s="2475"/>
      <c r="I287" s="2475"/>
      <c r="J287" s="2475"/>
      <c r="K287" s="2475"/>
      <c r="L287" s="2475"/>
      <c r="M287" s="2475"/>
      <c r="N287" s="2475"/>
      <c r="O287" s="2475"/>
      <c r="P287" s="2475"/>
      <c r="Q287" s="2475"/>
      <c r="R287" s="2475"/>
      <c r="S287" s="2475"/>
      <c r="T287" s="2475"/>
      <c r="U287" s="2475"/>
      <c r="V287" s="2475"/>
      <c r="W287" s="2475"/>
      <c r="X287" s="2475"/>
      <c r="Y287" s="2475"/>
      <c r="Z287" s="2475"/>
      <c r="AA287" s="2475"/>
      <c r="AB287" s="2475"/>
      <c r="AC287" s="2475"/>
      <c r="AD287" s="2506"/>
      <c r="AE287" s="1294"/>
      <c r="AF287" s="1223"/>
      <c r="AG287" s="1223"/>
      <c r="AH287" s="1223"/>
      <c r="AI287" s="1223"/>
      <c r="AJ287" s="1222"/>
      <c r="AK287" s="1222"/>
      <c r="AL287" s="1222"/>
      <c r="AM287" s="1222"/>
      <c r="AN287" s="1389"/>
      <c r="AO287" s="1205"/>
      <c r="AS287" s="1207"/>
      <c r="AT287" s="1207"/>
      <c r="AU287" s="1207"/>
      <c r="AV287" s="1369"/>
      <c r="AW287" s="1369"/>
    </row>
    <row r="288" spans="1:49" ht="12.75" customHeight="1">
      <c r="A288" s="1222"/>
      <c r="B288" s="1223"/>
      <c r="C288" s="1223"/>
      <c r="D288" s="1223"/>
      <c r="E288" s="1223"/>
      <c r="F288" s="2505" t="s">
        <v>1576</v>
      </c>
      <c r="G288" s="2475"/>
      <c r="H288" s="2475"/>
      <c r="I288" s="2475"/>
      <c r="J288" s="2475"/>
      <c r="K288" s="2475"/>
      <c r="L288" s="2475"/>
      <c r="M288" s="2475"/>
      <c r="N288" s="2475"/>
      <c r="O288" s="2475"/>
      <c r="P288" s="2475"/>
      <c r="Q288" s="2475"/>
      <c r="R288" s="2475"/>
      <c r="S288" s="2475"/>
      <c r="T288" s="2475"/>
      <c r="U288" s="2475"/>
      <c r="V288" s="2475"/>
      <c r="W288" s="2475"/>
      <c r="X288" s="2475"/>
      <c r="Y288" s="2475"/>
      <c r="Z288" s="2475"/>
      <c r="AA288" s="2475"/>
      <c r="AB288" s="2475"/>
      <c r="AC288" s="2475"/>
      <c r="AD288" s="2506"/>
      <c r="AE288" s="1319"/>
      <c r="AF288" s="1223"/>
      <c r="AG288" s="1223"/>
      <c r="AH288" s="1223"/>
      <c r="AI288" s="1223"/>
      <c r="AJ288" s="1222"/>
      <c r="AK288" s="1222"/>
      <c r="AL288" s="1222"/>
      <c r="AM288" s="1222"/>
      <c r="AN288" s="1389"/>
      <c r="AO288" s="1205"/>
      <c r="AP288" s="1222"/>
      <c r="AS288" s="1207"/>
      <c r="AT288" s="1207"/>
      <c r="AU288" s="1207"/>
      <c r="AV288" s="1369"/>
      <c r="AW288" s="1369"/>
    </row>
    <row r="289" spans="1:49">
      <c r="A289" s="1222"/>
      <c r="B289" s="1223"/>
      <c r="C289" s="1223"/>
      <c r="D289" s="1223"/>
      <c r="E289" s="1223"/>
      <c r="F289" s="2507"/>
      <c r="G289" s="2508"/>
      <c r="H289" s="2508"/>
      <c r="I289" s="2508"/>
      <c r="J289" s="2508"/>
      <c r="K289" s="2508"/>
      <c r="L289" s="2508"/>
      <c r="M289" s="2508"/>
      <c r="N289" s="2508"/>
      <c r="O289" s="2508"/>
      <c r="P289" s="2508"/>
      <c r="Q289" s="2508"/>
      <c r="R289" s="2508"/>
      <c r="S289" s="2508"/>
      <c r="T289" s="2508"/>
      <c r="U289" s="2508"/>
      <c r="V289" s="2508"/>
      <c r="W289" s="2508"/>
      <c r="X289" s="2508"/>
      <c r="Y289" s="2508"/>
      <c r="Z289" s="2508"/>
      <c r="AA289" s="2508"/>
      <c r="AB289" s="2508"/>
      <c r="AC289" s="2508"/>
      <c r="AD289" s="2570"/>
      <c r="AE289" s="1319"/>
      <c r="AF289" s="1223"/>
      <c r="AG289" s="1223"/>
      <c r="AH289" s="1223"/>
      <c r="AI289" s="1223"/>
      <c r="AJ289" s="1222"/>
      <c r="AK289" s="1222"/>
      <c r="AL289" s="1222"/>
      <c r="AM289" s="1222"/>
      <c r="AN289" s="1389"/>
      <c r="AO289" s="1205"/>
      <c r="AP289" s="1222"/>
      <c r="AS289" s="1207"/>
      <c r="AT289" s="1207"/>
      <c r="AU289" s="1207"/>
      <c r="AV289" s="1369"/>
      <c r="AW289" s="1369"/>
    </row>
    <row r="290" spans="1:49">
      <c r="A290" s="1222"/>
      <c r="B290" s="1223"/>
      <c r="C290" s="1223"/>
      <c r="D290" s="1223"/>
      <c r="E290" s="1223"/>
      <c r="F290" s="1319"/>
      <c r="G290" s="1319"/>
      <c r="H290" s="1319"/>
      <c r="I290" s="1319"/>
      <c r="J290" s="1319"/>
      <c r="K290" s="1319"/>
      <c r="L290" s="1319"/>
      <c r="M290" s="1319"/>
      <c r="N290" s="1319"/>
      <c r="O290" s="1319"/>
      <c r="P290" s="1319"/>
      <c r="Q290" s="1319"/>
      <c r="R290" s="1319"/>
      <c r="S290" s="1319"/>
      <c r="T290" s="1319"/>
      <c r="U290" s="1319"/>
      <c r="V290" s="1319"/>
      <c r="W290" s="1319"/>
      <c r="X290" s="1319"/>
      <c r="Y290" s="1319"/>
      <c r="Z290" s="1319"/>
      <c r="AA290" s="1319"/>
      <c r="AB290" s="1319"/>
      <c r="AC290" s="1319"/>
      <c r="AD290" s="1319"/>
      <c r="AE290" s="1223"/>
      <c r="AF290" s="1223"/>
      <c r="AG290" s="1223"/>
      <c r="AH290" s="1223"/>
      <c r="AI290" s="1223"/>
      <c r="AJ290" s="1222"/>
      <c r="AK290" s="1222"/>
      <c r="AL290" s="1222"/>
      <c r="AM290" s="1222"/>
      <c r="AN290" s="1389"/>
      <c r="AO290" s="1205"/>
      <c r="AS290" s="1207"/>
      <c r="AT290" s="1207"/>
      <c r="AU290" s="1207"/>
      <c r="AV290" s="1369"/>
      <c r="AW290" s="1369"/>
    </row>
    <row r="291" spans="1:49" ht="15" customHeight="1">
      <c r="A291" s="2563" t="s">
        <v>1577</v>
      </c>
      <c r="B291" s="2563"/>
      <c r="C291" s="2482" t="s">
        <v>569</v>
      </c>
      <c r="D291" s="2482"/>
      <c r="E291" s="1219"/>
      <c r="F291" s="1394" t="s">
        <v>2712</v>
      </c>
      <c r="G291" s="1395"/>
      <c r="H291" s="1395"/>
      <c r="I291" s="1395"/>
      <c r="J291" s="1395"/>
      <c r="K291" s="1395"/>
      <c r="L291" s="1395"/>
      <c r="M291" s="1395"/>
      <c r="N291" s="1395"/>
      <c r="O291" s="1395"/>
      <c r="P291" s="1395"/>
      <c r="Q291" s="1395"/>
      <c r="R291" s="1395"/>
      <c r="S291" s="1395"/>
      <c r="T291" s="1395"/>
      <c r="U291" s="1395"/>
      <c r="V291" s="1395"/>
      <c r="W291" s="1395"/>
      <c r="X291" s="1395"/>
      <c r="Y291" s="1395"/>
      <c r="Z291" s="1395"/>
      <c r="AA291" s="1395"/>
      <c r="AB291" s="1395"/>
      <c r="AC291" s="1395"/>
      <c r="AD291" s="1396"/>
      <c r="AE291" s="1223"/>
      <c r="AF291" s="1223"/>
      <c r="AG291" s="1210" t="s">
        <v>1579</v>
      </c>
      <c r="AH291" s="1223"/>
      <c r="AI291" s="1223"/>
      <c r="AJ291" s="1222"/>
      <c r="AK291" s="1222"/>
      <c r="AL291" s="1222"/>
      <c r="AM291" s="1222"/>
      <c r="AN291" s="1397"/>
      <c r="AO291" s="1205"/>
    </row>
    <row r="292" spans="1:49">
      <c r="A292" s="1222"/>
      <c r="B292" s="1223"/>
      <c r="C292" s="1222"/>
      <c r="D292" s="1223"/>
      <c r="E292" s="1222"/>
      <c r="F292" s="2567" t="s">
        <v>2713</v>
      </c>
      <c r="G292" s="2568"/>
      <c r="H292" s="2568"/>
      <c r="I292" s="2568"/>
      <c r="J292" s="2568"/>
      <c r="K292" s="2568"/>
      <c r="L292" s="2568"/>
      <c r="M292" s="2568"/>
      <c r="N292" s="2568"/>
      <c r="O292" s="2568"/>
      <c r="P292" s="2568"/>
      <c r="Q292" s="2568"/>
      <c r="R292" s="2568"/>
      <c r="S292" s="2568"/>
      <c r="T292" s="2568"/>
      <c r="U292" s="2568"/>
      <c r="V292" s="2568"/>
      <c r="W292" s="2568"/>
      <c r="X292" s="2568"/>
      <c r="Y292" s="2568"/>
      <c r="Z292" s="2568"/>
      <c r="AA292" s="2568"/>
      <c r="AB292" s="2568"/>
      <c r="AC292" s="2568"/>
      <c r="AD292" s="2569"/>
      <c r="AE292" s="1223"/>
      <c r="AF292" s="1223"/>
      <c r="AG292" s="1223"/>
      <c r="AH292" s="1223"/>
      <c r="AI292" s="1223"/>
      <c r="AJ292" s="1222"/>
      <c r="AK292" s="1222"/>
      <c r="AL292" s="1222"/>
      <c r="AM292" s="1222"/>
      <c r="AR292" s="1398"/>
    </row>
    <row r="293" spans="1:49" ht="15" customHeight="1">
      <c r="A293" s="1222"/>
      <c r="B293" s="1223"/>
      <c r="C293" s="1222"/>
      <c r="D293" s="1223"/>
      <c r="E293" s="1222"/>
      <c r="F293" s="2567"/>
      <c r="G293" s="2568"/>
      <c r="H293" s="2568"/>
      <c r="I293" s="2568"/>
      <c r="J293" s="2568"/>
      <c r="K293" s="2568"/>
      <c r="L293" s="2568"/>
      <c r="M293" s="2568"/>
      <c r="N293" s="2568"/>
      <c r="O293" s="2568"/>
      <c r="P293" s="2568"/>
      <c r="Q293" s="2568"/>
      <c r="R293" s="2568"/>
      <c r="S293" s="2568"/>
      <c r="T293" s="2568"/>
      <c r="U293" s="2568"/>
      <c r="V293" s="2568"/>
      <c r="W293" s="2568"/>
      <c r="X293" s="2568"/>
      <c r="Y293" s="2568"/>
      <c r="Z293" s="2568"/>
      <c r="AA293" s="2568"/>
      <c r="AB293" s="2568"/>
      <c r="AC293" s="2568"/>
      <c r="AD293" s="2569"/>
      <c r="AE293" s="1223"/>
      <c r="AF293" s="1223"/>
      <c r="AG293" s="1223"/>
      <c r="AH293" s="1223"/>
      <c r="AI293" s="1223"/>
      <c r="AJ293" s="1222"/>
      <c r="AK293" s="1222"/>
      <c r="AL293" s="1222"/>
      <c r="AM293" s="1222"/>
      <c r="AR293" s="1398"/>
    </row>
    <row r="294" spans="1:49">
      <c r="A294" s="1222"/>
      <c r="B294" s="1223"/>
      <c r="C294" s="1222"/>
      <c r="D294" s="1223"/>
      <c r="E294" s="1222"/>
      <c r="F294" s="2567"/>
      <c r="G294" s="2568"/>
      <c r="H294" s="2568"/>
      <c r="I294" s="2568"/>
      <c r="J294" s="2568"/>
      <c r="K294" s="2568"/>
      <c r="L294" s="2568"/>
      <c r="M294" s="2568"/>
      <c r="N294" s="2568"/>
      <c r="O294" s="2568"/>
      <c r="P294" s="2568"/>
      <c r="Q294" s="2568"/>
      <c r="R294" s="2568"/>
      <c r="S294" s="2568"/>
      <c r="T294" s="2568"/>
      <c r="U294" s="2568"/>
      <c r="V294" s="2568"/>
      <c r="W294" s="2568"/>
      <c r="X294" s="2568"/>
      <c r="Y294" s="2568"/>
      <c r="Z294" s="2568"/>
      <c r="AA294" s="2568"/>
      <c r="AB294" s="2568"/>
      <c r="AC294" s="2568"/>
      <c r="AD294" s="2569"/>
      <c r="AE294" s="1223"/>
      <c r="AF294" s="1223"/>
      <c r="AG294" s="1223"/>
      <c r="AH294" s="1223"/>
      <c r="AI294" s="1223"/>
      <c r="AJ294" s="1222"/>
      <c r="AK294" s="1222"/>
      <c r="AL294" s="1222"/>
      <c r="AM294" s="1222"/>
      <c r="AP294" s="1305"/>
      <c r="AQ294" s="1245"/>
      <c r="AR294" s="1398"/>
    </row>
    <row r="295" spans="1:49" ht="15" customHeight="1">
      <c r="A295" s="1222"/>
      <c r="B295" s="1223"/>
      <c r="C295" s="1222"/>
      <c r="D295" s="1223"/>
      <c r="E295" s="1222"/>
      <c r="F295" s="2571"/>
      <c r="G295" s="2572"/>
      <c r="H295" s="2572"/>
      <c r="I295" s="2572"/>
      <c r="J295" s="2572"/>
      <c r="K295" s="2572"/>
      <c r="L295" s="2572"/>
      <c r="M295" s="2572"/>
      <c r="N295" s="2572"/>
      <c r="O295" s="2572"/>
      <c r="P295" s="2572"/>
      <c r="Q295" s="2572"/>
      <c r="R295" s="2572"/>
      <c r="S295" s="2572"/>
      <c r="T295" s="2572"/>
      <c r="U295" s="2572"/>
      <c r="V295" s="2572"/>
      <c r="W295" s="2572"/>
      <c r="X295" s="2572"/>
      <c r="Y295" s="2572"/>
      <c r="Z295" s="2572"/>
      <c r="AA295" s="2572"/>
      <c r="AB295" s="2572"/>
      <c r="AC295" s="2572"/>
      <c r="AD295" s="2573"/>
      <c r="AE295" s="1223"/>
      <c r="AF295" s="1223"/>
      <c r="AG295" s="1223"/>
      <c r="AH295" s="1223"/>
      <c r="AI295" s="1223"/>
      <c r="AJ295" s="1222"/>
      <c r="AK295" s="1222"/>
      <c r="AL295" s="1222"/>
      <c r="AM295" s="1222"/>
      <c r="AP295" s="1305"/>
      <c r="AQ295" s="1245"/>
      <c r="AR295" s="1398"/>
    </row>
    <row r="296" spans="1:49">
      <c r="A296" s="1222"/>
      <c r="B296" s="1223"/>
      <c r="C296" s="1223"/>
      <c r="D296" s="1223"/>
      <c r="E296" s="1223"/>
      <c r="F296" s="1223"/>
      <c r="G296" s="1223"/>
      <c r="H296" s="1223"/>
      <c r="I296" s="1223"/>
      <c r="J296" s="1223"/>
      <c r="K296" s="1223"/>
      <c r="L296" s="1223"/>
      <c r="M296" s="1223"/>
      <c r="N296" s="1223"/>
      <c r="O296" s="1223"/>
      <c r="P296" s="1223"/>
      <c r="Q296" s="1223"/>
      <c r="R296" s="1223"/>
      <c r="S296" s="1223"/>
      <c r="T296" s="1223"/>
      <c r="U296" s="1223"/>
      <c r="V296" s="1223"/>
      <c r="W296" s="1223"/>
      <c r="X296" s="1223"/>
      <c r="Y296" s="1223"/>
      <c r="Z296" s="1223"/>
      <c r="AA296" s="1223"/>
      <c r="AB296" s="1223"/>
      <c r="AC296" s="1223"/>
      <c r="AD296" s="1223"/>
      <c r="AE296" s="1223"/>
      <c r="AF296" s="1223"/>
      <c r="AG296" s="1223"/>
      <c r="AH296" s="1223"/>
      <c r="AI296" s="1223"/>
      <c r="AJ296" s="1222"/>
      <c r="AK296" s="1222"/>
      <c r="AL296" s="1222"/>
      <c r="AM296" s="1222"/>
      <c r="AP296" s="1305"/>
      <c r="AQ296" s="1245"/>
      <c r="AR296" s="1398"/>
    </row>
    <row r="297" spans="1:49" hidden="1">
      <c r="A297" s="1222"/>
      <c r="B297" s="1223"/>
      <c r="C297" s="1223"/>
      <c r="D297" s="1223"/>
      <c r="E297" s="1223"/>
      <c r="F297" s="1223"/>
      <c r="G297" s="1223"/>
      <c r="H297" s="1223"/>
      <c r="I297" s="1223"/>
      <c r="J297" s="1223"/>
      <c r="K297" s="1223"/>
      <c r="L297" s="1223"/>
      <c r="M297" s="1223"/>
      <c r="N297" s="1223"/>
      <c r="O297" s="1223"/>
      <c r="P297" s="1223"/>
      <c r="Q297" s="1223"/>
      <c r="R297" s="1223"/>
      <c r="S297" s="1223"/>
      <c r="T297" s="1223"/>
      <c r="U297" s="1223"/>
      <c r="V297" s="1223"/>
      <c r="W297" s="1223"/>
      <c r="X297" s="1223"/>
      <c r="Y297" s="1223"/>
      <c r="Z297" s="1223"/>
      <c r="AA297" s="1223"/>
      <c r="AB297" s="1223"/>
      <c r="AC297" s="1223"/>
      <c r="AD297" s="1223"/>
      <c r="AE297" s="1223"/>
      <c r="AF297" s="1223"/>
      <c r="AG297" s="1223"/>
      <c r="AH297" s="1223"/>
      <c r="AI297" s="1223"/>
      <c r="AJ297" s="1222"/>
      <c r="AK297" s="1222"/>
      <c r="AL297" s="1222"/>
      <c r="AM297" s="1222"/>
      <c r="AP297" s="1305"/>
      <c r="AQ297" s="1245"/>
      <c r="AR297" s="1398"/>
    </row>
    <row r="298" spans="1:49" hidden="1">
      <c r="A298" s="1222"/>
      <c r="B298" s="1223"/>
      <c r="C298" s="1223"/>
      <c r="D298" s="1223"/>
      <c r="E298" s="1223"/>
      <c r="F298" s="1223"/>
      <c r="G298" s="1223"/>
      <c r="H298" s="1223"/>
      <c r="I298" s="1223"/>
      <c r="J298" s="1223"/>
      <c r="K298" s="1223"/>
      <c r="L298" s="1223"/>
      <c r="M298" s="1223"/>
      <c r="N298" s="1223"/>
      <c r="O298" s="1223"/>
      <c r="P298" s="1223"/>
      <c r="Q298" s="1223"/>
      <c r="R298" s="1223"/>
      <c r="S298" s="1223"/>
      <c r="T298" s="1223"/>
      <c r="U298" s="1223"/>
      <c r="V298" s="1223"/>
      <c r="W298" s="1223"/>
      <c r="X298" s="1223"/>
      <c r="Y298" s="1223"/>
      <c r="Z298" s="1223"/>
      <c r="AA298" s="1223"/>
      <c r="AB298" s="1223"/>
      <c r="AC298" s="1223"/>
      <c r="AD298" s="1223"/>
      <c r="AE298" s="1223"/>
      <c r="AF298" s="1223"/>
      <c r="AG298" s="1223"/>
      <c r="AH298" s="1223"/>
      <c r="AI298" s="1223"/>
      <c r="AJ298" s="1222"/>
      <c r="AK298" s="1222"/>
      <c r="AL298" s="1222"/>
      <c r="AM298" s="1222"/>
      <c r="AN298" s="1389"/>
      <c r="AO298" s="1205"/>
    </row>
    <row r="299" spans="1:49" hidden="1">
      <c r="A299" s="2563" t="s">
        <v>1580</v>
      </c>
      <c r="B299" s="2563"/>
      <c r="C299" s="2482" t="s">
        <v>616</v>
      </c>
      <c r="D299" s="2482"/>
      <c r="E299" s="1219"/>
      <c r="F299" s="1394" t="s">
        <v>1578</v>
      </c>
      <c r="G299" s="1399"/>
      <c r="H299" s="1399"/>
      <c r="I299" s="1399"/>
      <c r="J299" s="1399"/>
      <c r="K299" s="1399"/>
      <c r="L299" s="1399"/>
      <c r="M299" s="1399"/>
      <c r="N299" s="1399"/>
      <c r="O299" s="1399"/>
      <c r="P299" s="1399"/>
      <c r="Q299" s="1399"/>
      <c r="R299" s="1399"/>
      <c r="S299" s="1399"/>
      <c r="T299" s="1399"/>
      <c r="U299" s="1399"/>
      <c r="V299" s="1399"/>
      <c r="W299" s="1399"/>
      <c r="X299" s="1399"/>
      <c r="Y299" s="1399"/>
      <c r="Z299" s="1399"/>
      <c r="AA299" s="1399"/>
      <c r="AB299" s="1399"/>
      <c r="AC299" s="1399"/>
      <c r="AD299" s="1400"/>
      <c r="AE299" s="1223"/>
      <c r="AF299" s="1223"/>
      <c r="AG299" s="1210" t="s">
        <v>1579</v>
      </c>
      <c r="AH299" s="1223"/>
      <c r="AI299" s="1223"/>
      <c r="AJ299" s="1222"/>
      <c r="AK299" s="1222"/>
      <c r="AL299" s="1222"/>
      <c r="AM299" s="1222"/>
      <c r="AN299" s="1389"/>
      <c r="AO299" s="1205"/>
    </row>
    <row r="300" spans="1:49" hidden="1">
      <c r="A300" s="1401"/>
      <c r="B300" s="1401"/>
      <c r="C300" s="1267"/>
      <c r="D300" s="1267"/>
      <c r="E300" s="1219"/>
      <c r="F300" s="2505" t="s">
        <v>2714</v>
      </c>
      <c r="G300" s="2475"/>
      <c r="H300" s="2475"/>
      <c r="I300" s="2475"/>
      <c r="J300" s="2475"/>
      <c r="K300" s="2475"/>
      <c r="L300" s="2475"/>
      <c r="M300" s="2475"/>
      <c r="N300" s="2475"/>
      <c r="O300" s="2475"/>
      <c r="P300" s="2475"/>
      <c r="Q300" s="2475"/>
      <c r="R300" s="2475"/>
      <c r="S300" s="2475"/>
      <c r="T300" s="2475"/>
      <c r="U300" s="2475"/>
      <c r="V300" s="2475"/>
      <c r="W300" s="2475"/>
      <c r="X300" s="2475"/>
      <c r="Y300" s="2475"/>
      <c r="Z300" s="2475"/>
      <c r="AA300" s="2475"/>
      <c r="AB300" s="2475"/>
      <c r="AC300" s="2475"/>
      <c r="AD300" s="2506"/>
      <c r="AE300" s="1223"/>
      <c r="AF300" s="1223"/>
      <c r="AG300" s="1210"/>
      <c r="AH300" s="1223"/>
      <c r="AI300" s="1223"/>
      <c r="AJ300" s="1222"/>
      <c r="AK300" s="1222"/>
      <c r="AL300" s="1222"/>
      <c r="AM300" s="1222"/>
      <c r="AN300" s="1389"/>
      <c r="AO300" s="1205"/>
      <c r="AP300" s="1231" t="s">
        <v>1345</v>
      </c>
    </row>
    <row r="301" spans="1:49" hidden="1">
      <c r="F301" s="2505"/>
      <c r="G301" s="2475"/>
      <c r="H301" s="2475"/>
      <c r="I301" s="2475"/>
      <c r="J301" s="2475"/>
      <c r="K301" s="2475"/>
      <c r="L301" s="2475"/>
      <c r="M301" s="2475"/>
      <c r="N301" s="2475"/>
      <c r="O301" s="2475"/>
      <c r="P301" s="2475"/>
      <c r="Q301" s="2475"/>
      <c r="R301" s="2475"/>
      <c r="S301" s="2475"/>
      <c r="T301" s="2475"/>
      <c r="U301" s="2475"/>
      <c r="V301" s="2475"/>
      <c r="W301" s="2475"/>
      <c r="X301" s="2475"/>
      <c r="Y301" s="2475"/>
      <c r="Z301" s="2475"/>
      <c r="AA301" s="2475"/>
      <c r="AB301" s="2475"/>
      <c r="AC301" s="2475"/>
      <c r="AD301" s="2506"/>
      <c r="AE301" s="1223"/>
      <c r="AF301" s="1223"/>
      <c r="AH301" s="1223"/>
      <c r="AI301" s="1223"/>
      <c r="AJ301" s="1222"/>
      <c r="AK301" s="1222"/>
      <c r="AL301" s="1222"/>
      <c r="AM301" s="1222"/>
      <c r="AN301" s="1389"/>
      <c r="AO301" s="1205"/>
      <c r="AP301" s="1231" t="s">
        <v>2040</v>
      </c>
    </row>
    <row r="302" spans="1:49" hidden="1">
      <c r="A302" s="1222"/>
      <c r="B302" s="1223"/>
      <c r="C302" s="1267"/>
      <c r="D302" s="1267"/>
      <c r="E302" s="1219"/>
      <c r="F302" s="1402" t="s">
        <v>1581</v>
      </c>
      <c r="G302" s="1317"/>
      <c r="H302" s="1317"/>
      <c r="I302" s="1317"/>
      <c r="J302" s="1317"/>
      <c r="K302" s="1317"/>
      <c r="L302" s="1317"/>
      <c r="M302" s="1317"/>
      <c r="N302" s="1317"/>
      <c r="O302" s="1317"/>
      <c r="P302" s="1317"/>
      <c r="Q302" s="1317"/>
      <c r="R302" s="1317"/>
      <c r="S302" s="1317"/>
      <c r="T302" s="1317"/>
      <c r="U302" s="1317"/>
      <c r="V302" s="1317"/>
      <c r="W302" s="1317"/>
      <c r="X302" s="1317"/>
      <c r="Y302" s="1317"/>
      <c r="Z302" s="1317"/>
      <c r="AA302" s="1317"/>
      <c r="AB302" s="1317"/>
      <c r="AC302" s="1317"/>
      <c r="AD302" s="1403"/>
      <c r="AE302" s="1223"/>
      <c r="AF302" s="1223"/>
      <c r="AG302" s="1210"/>
      <c r="AH302" s="1223"/>
      <c r="AI302" s="1223"/>
      <c r="AJ302" s="1222"/>
      <c r="AK302" s="1222"/>
      <c r="AL302" s="1222"/>
      <c r="AM302" s="1222"/>
      <c r="AN302" s="1389"/>
      <c r="AO302" s="1205"/>
      <c r="AP302" s="1231" t="s">
        <v>2042</v>
      </c>
    </row>
    <row r="303" spans="1:49" hidden="1">
      <c r="A303" s="1222"/>
      <c r="B303" s="1223"/>
      <c r="C303" s="1267"/>
      <c r="D303" s="1267"/>
      <c r="E303" s="1219"/>
      <c r="F303" s="1402"/>
      <c r="G303" s="1317"/>
      <c r="H303" s="1317"/>
      <c r="I303" s="1317"/>
      <c r="J303" s="1317"/>
      <c r="K303" s="1317"/>
      <c r="L303" s="1317"/>
      <c r="M303" s="1317"/>
      <c r="N303" s="1317"/>
      <c r="O303" s="1317"/>
      <c r="P303" s="1317"/>
      <c r="Q303" s="1317"/>
      <c r="R303" s="1317"/>
      <c r="S303" s="1317"/>
      <c r="T303" s="1317"/>
      <c r="U303" s="1317"/>
      <c r="V303" s="1317"/>
      <c r="W303" s="1317"/>
      <c r="X303" s="1317"/>
      <c r="Y303" s="1317"/>
      <c r="Z303" s="1317"/>
      <c r="AA303" s="1317"/>
      <c r="AB303" s="1317"/>
      <c r="AC303" s="1317"/>
      <c r="AD303" s="1403"/>
      <c r="AE303" s="1223"/>
      <c r="AF303" s="1223"/>
      <c r="AG303" s="1210"/>
      <c r="AH303" s="1223"/>
      <c r="AI303" s="1223"/>
      <c r="AJ303" s="1222"/>
      <c r="AK303" s="1222"/>
      <c r="AL303" s="1222"/>
      <c r="AM303" s="1222"/>
      <c r="AN303" s="1389"/>
      <c r="AO303" s="1205"/>
      <c r="AP303" s="1231" t="s">
        <v>2168</v>
      </c>
    </row>
    <row r="304" spans="1:49" ht="12.75" hidden="1" customHeight="1">
      <c r="A304" s="1222"/>
      <c r="B304" s="1223"/>
      <c r="C304" s="1267"/>
      <c r="D304" s="1267"/>
      <c r="E304" s="1219"/>
      <c r="F304" s="1402"/>
      <c r="G304" s="1294"/>
      <c r="H304" s="1294"/>
      <c r="I304" s="1294"/>
      <c r="J304" s="1294"/>
      <c r="K304" s="1294"/>
      <c r="L304" s="1294"/>
      <c r="M304" s="1294"/>
      <c r="N304" s="1294"/>
      <c r="O304" s="1294"/>
      <c r="P304" s="1294"/>
      <c r="Q304" s="1294"/>
      <c r="R304" s="1294"/>
      <c r="S304" s="1294"/>
      <c r="T304" s="1294"/>
      <c r="U304" s="1294"/>
      <c r="V304" s="1294"/>
      <c r="W304" s="1294"/>
      <c r="X304" s="1294"/>
      <c r="Y304" s="1294"/>
      <c r="Z304" s="1294"/>
      <c r="AA304" s="1294"/>
      <c r="AB304" s="1294"/>
      <c r="AC304" s="1294"/>
      <c r="AD304" s="1404"/>
      <c r="AE304" s="1223"/>
      <c r="AF304" s="1223"/>
      <c r="AG304" s="1210"/>
      <c r="AH304" s="1223"/>
      <c r="AI304" s="1223"/>
      <c r="AJ304" s="1222"/>
      <c r="AK304" s="1222"/>
      <c r="AL304" s="1222"/>
      <c r="AM304" s="1222"/>
      <c r="AN304" s="1389"/>
      <c r="AO304" s="1205"/>
      <c r="AP304" s="1204"/>
    </row>
    <row r="305" spans="1:42" ht="12.75" hidden="1" customHeight="1">
      <c r="A305" s="1222"/>
      <c r="B305" s="1223"/>
      <c r="C305" s="1267"/>
      <c r="D305" s="1267"/>
      <c r="E305" s="1219"/>
      <c r="F305" s="2553" t="s">
        <v>1345</v>
      </c>
      <c r="G305" s="2554"/>
      <c r="H305" s="2554"/>
      <c r="I305" s="2554"/>
      <c r="J305" s="2554"/>
      <c r="K305" s="2554"/>
      <c r="L305" s="2554"/>
      <c r="M305" s="2554"/>
      <c r="N305" s="2554"/>
      <c r="O305" s="2554"/>
      <c r="P305" s="2554"/>
      <c r="Q305" s="2554"/>
      <c r="R305" s="2554"/>
      <c r="S305" s="2554"/>
      <c r="T305" s="2554"/>
      <c r="U305" s="2554"/>
      <c r="V305" s="2554"/>
      <c r="W305" s="2554"/>
      <c r="X305" s="2554"/>
      <c r="Y305" s="2554"/>
      <c r="Z305" s="2554"/>
      <c r="AA305" s="2554"/>
      <c r="AB305" s="2554"/>
      <c r="AC305" s="2554"/>
      <c r="AD305" s="2555"/>
      <c r="AE305" s="1294"/>
      <c r="AF305" s="1294"/>
      <c r="AG305" s="1294"/>
      <c r="AH305" s="1294"/>
      <c r="AI305" s="1294"/>
      <c r="AJ305" s="1294"/>
      <c r="AK305" s="1294"/>
      <c r="AL305" s="1222"/>
      <c r="AM305" s="1222"/>
      <c r="AN305" s="1389"/>
      <c r="AO305" s="1205"/>
      <c r="AP305" s="1204"/>
    </row>
    <row r="306" spans="1:42" hidden="1">
      <c r="A306" s="1222"/>
      <c r="B306" s="1223"/>
      <c r="C306" s="1267"/>
      <c r="D306" s="1267"/>
      <c r="E306" s="1219"/>
      <c r="F306" s="2553"/>
      <c r="G306" s="2554"/>
      <c r="H306" s="2554"/>
      <c r="I306" s="2554"/>
      <c r="J306" s="2554"/>
      <c r="K306" s="2554"/>
      <c r="L306" s="2554"/>
      <c r="M306" s="2554"/>
      <c r="N306" s="2554"/>
      <c r="O306" s="2554"/>
      <c r="P306" s="2554"/>
      <c r="Q306" s="2554"/>
      <c r="R306" s="2554"/>
      <c r="S306" s="2554"/>
      <c r="T306" s="2554"/>
      <c r="U306" s="2554"/>
      <c r="V306" s="2554"/>
      <c r="W306" s="2554"/>
      <c r="X306" s="2554"/>
      <c r="Y306" s="2554"/>
      <c r="Z306" s="2554"/>
      <c r="AA306" s="2554"/>
      <c r="AB306" s="2554"/>
      <c r="AC306" s="2554"/>
      <c r="AD306" s="2555"/>
      <c r="AE306" s="1223"/>
      <c r="AF306" s="1223"/>
      <c r="AG306" s="1210"/>
      <c r="AH306" s="1223"/>
      <c r="AI306" s="1223"/>
      <c r="AJ306" s="1222"/>
      <c r="AK306" s="1222"/>
      <c r="AL306" s="1222"/>
      <c r="AM306" s="1222"/>
      <c r="AN306" s="1389"/>
      <c r="AO306" s="1205"/>
      <c r="AP306" s="1204"/>
    </row>
    <row r="307" spans="1:42" hidden="1">
      <c r="A307" s="1222"/>
      <c r="B307" s="1223"/>
      <c r="C307" s="1267"/>
      <c r="D307" s="1267"/>
      <c r="E307" s="1219"/>
      <c r="F307" s="2553"/>
      <c r="G307" s="2554"/>
      <c r="H307" s="2554"/>
      <c r="I307" s="2554"/>
      <c r="J307" s="2554"/>
      <c r="K307" s="2554"/>
      <c r="L307" s="2554"/>
      <c r="M307" s="2554"/>
      <c r="N307" s="2554"/>
      <c r="O307" s="2554"/>
      <c r="P307" s="2554"/>
      <c r="Q307" s="2554"/>
      <c r="R307" s="2554"/>
      <c r="S307" s="2554"/>
      <c r="T307" s="2554"/>
      <c r="U307" s="2554"/>
      <c r="V307" s="2554"/>
      <c r="W307" s="2554"/>
      <c r="X307" s="2554"/>
      <c r="Y307" s="2554"/>
      <c r="Z307" s="2554"/>
      <c r="AA307" s="2554"/>
      <c r="AB307" s="2554"/>
      <c r="AC307" s="2554"/>
      <c r="AD307" s="2555"/>
      <c r="AE307" s="1223"/>
      <c r="AF307" s="1223"/>
      <c r="AG307" s="1210"/>
      <c r="AH307" s="1223"/>
      <c r="AI307" s="1223"/>
      <c r="AJ307" s="1222"/>
      <c r="AK307" s="1222"/>
      <c r="AL307" s="1222"/>
      <c r="AM307" s="1222"/>
      <c r="AN307" s="1389"/>
      <c r="AO307" s="1205"/>
      <c r="AP307" s="1204"/>
    </row>
    <row r="308" spans="1:42" hidden="1">
      <c r="A308" s="1222"/>
      <c r="B308" s="1223"/>
      <c r="C308" s="1267"/>
      <c r="D308" s="1267"/>
      <c r="E308" s="1219"/>
      <c r="F308" s="2553"/>
      <c r="G308" s="2554"/>
      <c r="H308" s="2554"/>
      <c r="I308" s="2554"/>
      <c r="J308" s="2554"/>
      <c r="K308" s="2554"/>
      <c r="L308" s="2554"/>
      <c r="M308" s="2554"/>
      <c r="N308" s="2554"/>
      <c r="O308" s="2554"/>
      <c r="P308" s="2554"/>
      <c r="Q308" s="2554"/>
      <c r="R308" s="2554"/>
      <c r="S308" s="2554"/>
      <c r="T308" s="2554"/>
      <c r="U308" s="2554"/>
      <c r="V308" s="2554"/>
      <c r="W308" s="2554"/>
      <c r="X308" s="2554"/>
      <c r="Y308" s="2554"/>
      <c r="Z308" s="2554"/>
      <c r="AA308" s="2554"/>
      <c r="AB308" s="2554"/>
      <c r="AC308" s="2554"/>
      <c r="AD308" s="2555"/>
      <c r="AE308" s="1223"/>
      <c r="AF308" s="1223"/>
      <c r="AG308" s="1210"/>
      <c r="AH308" s="1223"/>
      <c r="AI308" s="1223"/>
      <c r="AJ308" s="1222"/>
      <c r="AK308" s="1222"/>
      <c r="AL308" s="1222"/>
      <c r="AM308" s="1222"/>
      <c r="AN308" s="1389"/>
      <c r="AO308" s="1205"/>
      <c r="AP308" s="1204"/>
    </row>
    <row r="309" spans="1:42" hidden="1">
      <c r="A309" s="1222"/>
      <c r="B309" s="1223"/>
      <c r="C309" s="1267"/>
      <c r="D309" s="1267"/>
      <c r="E309" s="1219"/>
      <c r="F309" s="2556"/>
      <c r="G309" s="2557"/>
      <c r="H309" s="2557"/>
      <c r="I309" s="2557"/>
      <c r="J309" s="2557"/>
      <c r="K309" s="2557"/>
      <c r="L309" s="2557"/>
      <c r="M309" s="2557"/>
      <c r="N309" s="2557"/>
      <c r="O309" s="2557"/>
      <c r="P309" s="2557"/>
      <c r="Q309" s="2557"/>
      <c r="R309" s="2557"/>
      <c r="S309" s="2557"/>
      <c r="T309" s="2557"/>
      <c r="U309" s="2557"/>
      <c r="V309" s="2557"/>
      <c r="W309" s="2557"/>
      <c r="X309" s="2557"/>
      <c r="Y309" s="2557"/>
      <c r="Z309" s="2557"/>
      <c r="AA309" s="2557"/>
      <c r="AB309" s="2557"/>
      <c r="AC309" s="2557"/>
      <c r="AD309" s="2558"/>
      <c r="AE309" s="1223"/>
      <c r="AF309" s="1223"/>
      <c r="AG309" s="1210"/>
      <c r="AH309" s="1223"/>
      <c r="AI309" s="1223"/>
      <c r="AJ309" s="1222"/>
      <c r="AK309" s="1222"/>
      <c r="AL309" s="1222"/>
      <c r="AM309" s="1222"/>
      <c r="AN309" s="1389"/>
      <c r="AO309" s="1205"/>
      <c r="AP309" s="1204"/>
    </row>
    <row r="310" spans="1:42" hidden="1">
      <c r="A310" s="1222"/>
      <c r="B310" s="1223"/>
      <c r="C310" s="1267"/>
      <c r="D310" s="1267"/>
      <c r="E310" s="1219"/>
      <c r="F310" s="1405"/>
      <c r="G310" s="1294"/>
      <c r="H310" s="1294"/>
      <c r="I310" s="1294"/>
      <c r="J310" s="1294"/>
      <c r="K310" s="1294"/>
      <c r="L310" s="1294"/>
      <c r="M310" s="1294"/>
      <c r="N310" s="1294"/>
      <c r="O310" s="1294"/>
      <c r="P310" s="1294"/>
      <c r="Q310" s="1294"/>
      <c r="R310" s="1294"/>
      <c r="S310" s="1294"/>
      <c r="T310" s="1294"/>
      <c r="U310" s="1294"/>
      <c r="V310" s="1294"/>
      <c r="W310" s="1294"/>
      <c r="X310" s="1294"/>
      <c r="Y310" s="1294"/>
      <c r="Z310" s="1294"/>
      <c r="AA310" s="1294"/>
      <c r="AB310" s="1294"/>
      <c r="AC310" s="1294"/>
      <c r="AD310" s="1404"/>
      <c r="AE310" s="1223"/>
      <c r="AF310" s="1223"/>
      <c r="AG310" s="1210"/>
      <c r="AH310" s="1223"/>
      <c r="AI310" s="1223"/>
      <c r="AJ310" s="1222"/>
      <c r="AK310" s="1222"/>
      <c r="AL310" s="1222"/>
      <c r="AM310" s="1222"/>
      <c r="AN310" s="1389"/>
      <c r="AO310" s="1205"/>
      <c r="AP310" s="1204"/>
    </row>
    <row r="311" spans="1:42" hidden="1">
      <c r="A311" s="1222"/>
      <c r="B311" s="1223"/>
      <c r="C311" s="1267"/>
      <c r="D311" s="1267"/>
      <c r="E311" s="1219"/>
      <c r="F311" s="1406" t="s">
        <v>2041</v>
      </c>
      <c r="G311" s="1223"/>
      <c r="H311" s="1223"/>
      <c r="I311" s="1223"/>
      <c r="J311" s="1223"/>
      <c r="K311" s="1223"/>
      <c r="L311" s="1223"/>
      <c r="M311" s="1223"/>
      <c r="N311" s="1223"/>
      <c r="O311" s="1223"/>
      <c r="P311" s="1223"/>
      <c r="Q311" s="1223"/>
      <c r="R311" s="1223"/>
      <c r="S311" s="1223"/>
      <c r="T311" s="1223"/>
      <c r="U311" s="1223"/>
      <c r="V311" s="1223"/>
      <c r="W311" s="1223"/>
      <c r="X311" s="1223"/>
      <c r="Y311" s="1223"/>
      <c r="Z311" s="1223"/>
      <c r="AA311" s="1223"/>
      <c r="AB311" s="1223"/>
      <c r="AC311" s="1223"/>
      <c r="AD311" s="1407"/>
      <c r="AE311" s="1223"/>
      <c r="AF311" s="1223"/>
      <c r="AG311" s="1210"/>
      <c r="AH311" s="1223"/>
      <c r="AI311" s="1223"/>
      <c r="AJ311" s="1222"/>
      <c r="AK311" s="1222"/>
      <c r="AL311" s="1222"/>
      <c r="AM311" s="1222"/>
      <c r="AN311" s="1389"/>
      <c r="AO311" s="1205"/>
      <c r="AP311" s="1204"/>
    </row>
    <row r="312" spans="1:42" hidden="1">
      <c r="A312" s="1222"/>
      <c r="B312" s="1223"/>
      <c r="C312" s="1267"/>
      <c r="D312" s="1267"/>
      <c r="E312" s="1219"/>
      <c r="F312" s="1406"/>
      <c r="G312" s="1223"/>
      <c r="H312" s="1223"/>
      <c r="I312" s="1223"/>
      <c r="J312" s="1223"/>
      <c r="K312" s="1223"/>
      <c r="L312" s="1223"/>
      <c r="M312" s="1223"/>
      <c r="N312" s="1223"/>
      <c r="O312" s="1223"/>
      <c r="P312" s="1223"/>
      <c r="Q312" s="1223"/>
      <c r="R312" s="1223"/>
      <c r="S312" s="1223"/>
      <c r="T312" s="1223"/>
      <c r="U312" s="1223"/>
      <c r="V312" s="1223"/>
      <c r="W312" s="1223"/>
      <c r="X312" s="1223"/>
      <c r="Y312" s="1223"/>
      <c r="Z312" s="1223"/>
      <c r="AA312" s="1223"/>
      <c r="AB312" s="1223"/>
      <c r="AC312" s="1223"/>
      <c r="AD312" s="1407"/>
      <c r="AE312" s="1223"/>
      <c r="AF312" s="1223"/>
      <c r="AG312" s="1210"/>
      <c r="AH312" s="1223"/>
      <c r="AI312" s="1223"/>
      <c r="AJ312" s="1222"/>
      <c r="AK312" s="1222"/>
      <c r="AL312" s="1222"/>
      <c r="AM312" s="1222"/>
      <c r="AN312" s="1389"/>
      <c r="AO312" s="1205"/>
      <c r="AP312" s="1231" t="s">
        <v>1345</v>
      </c>
    </row>
    <row r="313" spans="1:42" ht="12.75" hidden="1" customHeight="1">
      <c r="A313" s="1222"/>
      <c r="B313" s="1223"/>
      <c r="C313" s="1267"/>
      <c r="D313" s="1267"/>
      <c r="E313" s="1219"/>
      <c r="F313" s="1252"/>
      <c r="G313" s="1249" t="s">
        <v>713</v>
      </c>
      <c r="H313" s="1249"/>
      <c r="I313" s="2559" t="s">
        <v>1345</v>
      </c>
      <c r="J313" s="2559"/>
      <c r="K313" s="2559"/>
      <c r="L313" s="2559"/>
      <c r="M313" s="2559"/>
      <c r="N313" s="2559"/>
      <c r="O313" s="2559"/>
      <c r="P313" s="2559"/>
      <c r="Q313" s="2559"/>
      <c r="R313" s="2559"/>
      <c r="S313" s="2559"/>
      <c r="T313" s="2559"/>
      <c r="U313" s="2559"/>
      <c r="V313" s="2559"/>
      <c r="W313" s="2559"/>
      <c r="X313" s="2559"/>
      <c r="Y313" s="2559"/>
      <c r="Z313" s="2559"/>
      <c r="AA313" s="2559"/>
      <c r="AB313" s="2559"/>
      <c r="AC313" s="2559"/>
      <c r="AD313" s="2560"/>
      <c r="AE313" s="1223"/>
      <c r="AF313" s="1223"/>
      <c r="AG313" s="1210"/>
      <c r="AH313" s="1223"/>
      <c r="AI313" s="1223"/>
      <c r="AJ313" s="1222"/>
      <c r="AK313" s="1222"/>
      <c r="AL313" s="1222"/>
      <c r="AM313" s="1222"/>
      <c r="AN313" s="1389"/>
      <c r="AO313" s="1205"/>
      <c r="AP313" s="1231" t="s">
        <v>1840</v>
      </c>
    </row>
    <row r="314" spans="1:42" hidden="1">
      <c r="A314" s="1222"/>
      <c r="B314" s="1223"/>
      <c r="C314" s="1267"/>
      <c r="D314" s="1267"/>
      <c r="E314" s="1219"/>
      <c r="F314" s="1252"/>
      <c r="G314" s="1249"/>
      <c r="H314" s="1249"/>
      <c r="I314" s="2559"/>
      <c r="J314" s="2559"/>
      <c r="K314" s="2559"/>
      <c r="L314" s="2559"/>
      <c r="M314" s="2559"/>
      <c r="N314" s="2559"/>
      <c r="O314" s="2559"/>
      <c r="P314" s="2559"/>
      <c r="Q314" s="2559"/>
      <c r="R314" s="2559"/>
      <c r="S314" s="2559"/>
      <c r="T314" s="2559"/>
      <c r="U314" s="2559"/>
      <c r="V314" s="2559"/>
      <c r="W314" s="2559"/>
      <c r="X314" s="2559"/>
      <c r="Y314" s="2559"/>
      <c r="Z314" s="2559"/>
      <c r="AA314" s="2559"/>
      <c r="AB314" s="2559"/>
      <c r="AC314" s="2559"/>
      <c r="AD314" s="2560"/>
      <c r="AE314" s="1223"/>
      <c r="AF314" s="1223"/>
      <c r="AG314" s="1210"/>
      <c r="AH314" s="1223"/>
      <c r="AI314" s="1223"/>
      <c r="AJ314" s="1222"/>
      <c r="AK314" s="1222"/>
      <c r="AL314" s="1222"/>
      <c r="AM314" s="1222"/>
      <c r="AN314" s="1389"/>
      <c r="AO314" s="1205"/>
      <c r="AP314" s="1231" t="s">
        <v>2043</v>
      </c>
    </row>
    <row r="315" spans="1:42" hidden="1">
      <c r="A315" s="1222"/>
      <c r="B315" s="1223"/>
      <c r="C315" s="1408"/>
      <c r="D315" s="1408"/>
      <c r="E315" s="1219"/>
      <c r="F315" s="1252"/>
      <c r="G315" s="1249"/>
      <c r="H315" s="1249"/>
      <c r="I315" s="2559"/>
      <c r="J315" s="2559"/>
      <c r="K315" s="2559"/>
      <c r="L315" s="2559"/>
      <c r="M315" s="2559"/>
      <c r="N315" s="2559"/>
      <c r="O315" s="2559"/>
      <c r="P315" s="2559"/>
      <c r="Q315" s="2559"/>
      <c r="R315" s="2559"/>
      <c r="S315" s="2559"/>
      <c r="T315" s="2559"/>
      <c r="U315" s="2559"/>
      <c r="V315" s="2559"/>
      <c r="W315" s="2559"/>
      <c r="X315" s="2559"/>
      <c r="Y315" s="2559"/>
      <c r="Z315" s="2559"/>
      <c r="AA315" s="2559"/>
      <c r="AB315" s="2559"/>
      <c r="AC315" s="2559"/>
      <c r="AD315" s="2560"/>
      <c r="AE315" s="1223"/>
      <c r="AF315" s="1223"/>
      <c r="AG315" s="1210"/>
      <c r="AH315" s="1223"/>
      <c r="AI315" s="1223"/>
      <c r="AJ315" s="1222"/>
      <c r="AK315" s="1222"/>
      <c r="AL315" s="1222"/>
      <c r="AM315" s="1222"/>
      <c r="AN315" s="1389"/>
      <c r="AO315" s="1205"/>
      <c r="AP315" s="1231" t="s">
        <v>2045</v>
      </c>
    </row>
    <row r="316" spans="1:42" hidden="1">
      <c r="A316" s="1222"/>
      <c r="B316" s="1223"/>
      <c r="C316" s="1408"/>
      <c r="D316" s="1408"/>
      <c r="E316" s="1219"/>
      <c r="F316" s="1406"/>
      <c r="G316" s="1223"/>
      <c r="H316" s="1223"/>
      <c r="I316" s="2561"/>
      <c r="J316" s="2561"/>
      <c r="K316" s="2561"/>
      <c r="L316" s="2561"/>
      <c r="M316" s="2561"/>
      <c r="N316" s="2561"/>
      <c r="O316" s="2561"/>
      <c r="P316" s="2561"/>
      <c r="Q316" s="2561"/>
      <c r="R316" s="2561"/>
      <c r="S316" s="2561"/>
      <c r="T316" s="2561"/>
      <c r="U316" s="2561"/>
      <c r="V316" s="2561"/>
      <c r="W316" s="2561"/>
      <c r="X316" s="2561"/>
      <c r="Y316" s="2561"/>
      <c r="Z316" s="2561"/>
      <c r="AA316" s="2561"/>
      <c r="AB316" s="2561"/>
      <c r="AC316" s="2561"/>
      <c r="AD316" s="2562"/>
      <c r="AE316" s="1223"/>
      <c r="AF316" s="1223"/>
      <c r="AG316" s="1210"/>
      <c r="AH316" s="1223"/>
      <c r="AI316" s="1223"/>
      <c r="AJ316" s="1222"/>
      <c r="AK316" s="1222"/>
      <c r="AL316" s="1222"/>
      <c r="AM316" s="1222"/>
      <c r="AN316" s="1389"/>
      <c r="AO316" s="1205"/>
      <c r="AP316" s="1231" t="s">
        <v>2044</v>
      </c>
    </row>
    <row r="317" spans="1:42" hidden="1">
      <c r="A317" s="1222"/>
      <c r="B317" s="1223"/>
      <c r="C317" s="1408"/>
      <c r="D317" s="1408"/>
      <c r="E317" s="1219"/>
      <c r="F317" s="1406"/>
      <c r="G317" s="1223"/>
      <c r="H317" s="1223"/>
      <c r="I317" s="1223"/>
      <c r="J317" s="1223"/>
      <c r="K317" s="1223"/>
      <c r="L317" s="1223"/>
      <c r="M317" s="1223"/>
      <c r="N317" s="1223"/>
      <c r="O317" s="1223"/>
      <c r="P317" s="1223"/>
      <c r="Q317" s="1223"/>
      <c r="R317" s="1223"/>
      <c r="S317" s="1223"/>
      <c r="T317" s="1223"/>
      <c r="U317" s="1223"/>
      <c r="V317" s="1223"/>
      <c r="W317" s="1223"/>
      <c r="X317" s="1223"/>
      <c r="Y317" s="1223"/>
      <c r="Z317" s="1223"/>
      <c r="AA317" s="1223"/>
      <c r="AB317" s="1223"/>
      <c r="AC317" s="1223"/>
      <c r="AD317" s="1407"/>
      <c r="AE317" s="1223"/>
      <c r="AF317" s="1223"/>
      <c r="AG317" s="1210"/>
      <c r="AH317" s="1223"/>
      <c r="AI317" s="1223"/>
      <c r="AJ317" s="1222"/>
      <c r="AK317" s="1222"/>
      <c r="AL317" s="1222"/>
      <c r="AM317" s="1222"/>
      <c r="AN317" s="1389"/>
      <c r="AO317" s="1205"/>
      <c r="AP317" s="1204"/>
    </row>
    <row r="318" spans="1:42" hidden="1">
      <c r="A318" s="1222"/>
      <c r="B318" s="1223"/>
      <c r="C318" s="1408"/>
      <c r="D318" s="1408"/>
      <c r="E318" s="1219"/>
      <c r="F318" s="1406"/>
      <c r="G318" s="1223" t="s">
        <v>533</v>
      </c>
      <c r="H318" s="1223"/>
      <c r="I318" s="2559" t="s">
        <v>1345</v>
      </c>
      <c r="J318" s="2559"/>
      <c r="K318" s="2559"/>
      <c r="L318" s="2559"/>
      <c r="M318" s="2559"/>
      <c r="N318" s="2559"/>
      <c r="O318" s="2559"/>
      <c r="P318" s="2559"/>
      <c r="Q318" s="2559"/>
      <c r="R318" s="2559"/>
      <c r="S318" s="2559"/>
      <c r="T318" s="2559"/>
      <c r="U318" s="2559"/>
      <c r="V318" s="2559"/>
      <c r="W318" s="2559"/>
      <c r="X318" s="2559"/>
      <c r="Y318" s="2559"/>
      <c r="Z318" s="2559"/>
      <c r="AA318" s="2559"/>
      <c r="AB318" s="2559"/>
      <c r="AC318" s="2559"/>
      <c r="AD318" s="2560"/>
      <c r="AE318" s="1223"/>
      <c r="AF318" s="1223"/>
      <c r="AG318" s="1210"/>
      <c r="AH318" s="1223"/>
      <c r="AI318" s="1223"/>
      <c r="AJ318" s="1222"/>
      <c r="AK318" s="1222"/>
      <c r="AL318" s="1222"/>
      <c r="AM318" s="1222"/>
      <c r="AN318" s="1389"/>
      <c r="AO318" s="1205"/>
    </row>
    <row r="319" spans="1:42" hidden="1">
      <c r="A319" s="1222"/>
      <c r="B319" s="1223"/>
      <c r="C319" s="1408"/>
      <c r="D319" s="1408"/>
      <c r="E319" s="1219"/>
      <c r="F319" s="1406"/>
      <c r="G319" s="1223"/>
      <c r="H319" s="1223"/>
      <c r="I319" s="2559"/>
      <c r="J319" s="2559"/>
      <c r="K319" s="2559"/>
      <c r="L319" s="2559"/>
      <c r="M319" s="2559"/>
      <c r="N319" s="2559"/>
      <c r="O319" s="2559"/>
      <c r="P319" s="2559"/>
      <c r="Q319" s="2559"/>
      <c r="R319" s="2559"/>
      <c r="S319" s="2559"/>
      <c r="T319" s="2559"/>
      <c r="U319" s="2559"/>
      <c r="V319" s="2559"/>
      <c r="W319" s="2559"/>
      <c r="X319" s="2559"/>
      <c r="Y319" s="2559"/>
      <c r="Z319" s="2559"/>
      <c r="AA319" s="2559"/>
      <c r="AB319" s="2559"/>
      <c r="AC319" s="2559"/>
      <c r="AD319" s="2560"/>
      <c r="AE319" s="1223"/>
      <c r="AF319" s="1223"/>
      <c r="AG319" s="1210"/>
      <c r="AH319" s="1223"/>
      <c r="AI319" s="1223"/>
      <c r="AJ319" s="1222"/>
      <c r="AK319" s="1222"/>
      <c r="AL319" s="1222"/>
      <c r="AM319" s="1222"/>
      <c r="AN319" s="1389"/>
      <c r="AO319" s="1205"/>
      <c r="AP319" s="1231" t="s">
        <v>1345</v>
      </c>
    </row>
    <row r="320" spans="1:42" hidden="1">
      <c r="A320" s="1222"/>
      <c r="B320" s="1223"/>
      <c r="C320" s="1408"/>
      <c r="D320" s="1408"/>
      <c r="E320" s="1219"/>
      <c r="F320" s="1409"/>
      <c r="G320" s="1410"/>
      <c r="H320" s="1410"/>
      <c r="I320" s="2561"/>
      <c r="J320" s="2561"/>
      <c r="K320" s="2561"/>
      <c r="L320" s="2561"/>
      <c r="M320" s="2561"/>
      <c r="N320" s="2561"/>
      <c r="O320" s="2561"/>
      <c r="P320" s="2561"/>
      <c r="Q320" s="2561"/>
      <c r="R320" s="2561"/>
      <c r="S320" s="2561"/>
      <c r="T320" s="2561"/>
      <c r="U320" s="2561"/>
      <c r="V320" s="2561"/>
      <c r="W320" s="2561"/>
      <c r="X320" s="2561"/>
      <c r="Y320" s="2561"/>
      <c r="Z320" s="2561"/>
      <c r="AA320" s="2561"/>
      <c r="AB320" s="2561"/>
      <c r="AC320" s="2561"/>
      <c r="AD320" s="2562"/>
      <c r="AE320" s="1223"/>
      <c r="AF320" s="1223"/>
      <c r="AG320" s="1210"/>
      <c r="AH320" s="1223"/>
      <c r="AI320" s="1223"/>
      <c r="AJ320" s="1222"/>
      <c r="AK320" s="1222"/>
      <c r="AL320" s="1222"/>
      <c r="AM320" s="1222"/>
      <c r="AN320" s="1389"/>
      <c r="AO320" s="1205"/>
      <c r="AP320" s="1231" t="s">
        <v>1582</v>
      </c>
    </row>
    <row r="321" spans="1:44" hidden="1">
      <c r="A321" s="1222"/>
      <c r="B321" s="1223"/>
      <c r="C321" s="1222"/>
      <c r="D321" s="1223"/>
      <c r="E321" s="1222"/>
      <c r="F321" s="1310"/>
      <c r="G321" s="1223"/>
      <c r="H321" s="1223"/>
      <c r="I321" s="1223"/>
      <c r="J321" s="1223"/>
      <c r="K321" s="1223"/>
      <c r="L321" s="1223"/>
      <c r="M321" s="1223"/>
      <c r="N321" s="1223"/>
      <c r="O321" s="1223"/>
      <c r="P321" s="1223"/>
      <c r="Q321" s="1223"/>
      <c r="R321" s="1223"/>
      <c r="S321" s="1223"/>
      <c r="T321" s="1223"/>
      <c r="U321" s="1223"/>
      <c r="V321" s="1223"/>
      <c r="W321" s="1223"/>
      <c r="X321" s="1223"/>
      <c r="Y321" s="1223"/>
      <c r="Z321" s="1223"/>
      <c r="AA321" s="1223"/>
      <c r="AB321" s="1223"/>
      <c r="AC321" s="1223"/>
      <c r="AD321" s="1223"/>
      <c r="AE321" s="1223"/>
      <c r="AF321" s="1223"/>
      <c r="AG321" s="1223"/>
      <c r="AH321" s="1223"/>
      <c r="AI321" s="1223"/>
      <c r="AJ321" s="1222"/>
      <c r="AK321" s="1222"/>
      <c r="AL321" s="1222"/>
      <c r="AM321" s="1222"/>
      <c r="AN321" s="1389"/>
      <c r="AO321" s="1205"/>
      <c r="AP321" s="1231" t="s">
        <v>1841</v>
      </c>
    </row>
    <row r="322" spans="1:44" ht="12.75" hidden="1" customHeight="1">
      <c r="A322" s="2563" t="s">
        <v>1583</v>
      </c>
      <c r="B322" s="2563"/>
      <c r="C322" s="2482" t="s">
        <v>616</v>
      </c>
      <c r="D322" s="2482"/>
      <c r="E322" s="1219"/>
      <c r="F322" s="2564" t="s">
        <v>2715</v>
      </c>
      <c r="G322" s="2565"/>
      <c r="H322" s="2565"/>
      <c r="I322" s="2565"/>
      <c r="J322" s="2565"/>
      <c r="K322" s="2565"/>
      <c r="L322" s="2565"/>
      <c r="M322" s="2565"/>
      <c r="N322" s="2565"/>
      <c r="O322" s="2565"/>
      <c r="P322" s="2565"/>
      <c r="Q322" s="2565"/>
      <c r="R322" s="2565"/>
      <c r="S322" s="2565"/>
      <c r="T322" s="2565"/>
      <c r="U322" s="2565"/>
      <c r="V322" s="2565"/>
      <c r="W322" s="2565"/>
      <c r="X322" s="2565"/>
      <c r="Y322" s="2565"/>
      <c r="Z322" s="2565"/>
      <c r="AA322" s="2565"/>
      <c r="AB322" s="2565"/>
      <c r="AC322" s="2565"/>
      <c r="AD322" s="2566"/>
      <c r="AE322" s="1223"/>
      <c r="AF322" s="1223"/>
      <c r="AG322" s="1210" t="s">
        <v>1579</v>
      </c>
      <c r="AH322" s="1223"/>
      <c r="AI322" s="1223"/>
      <c r="AJ322" s="1222"/>
      <c r="AK322" s="1222"/>
      <c r="AL322" s="1222"/>
      <c r="AM322" s="1222"/>
      <c r="AN322" s="1389"/>
      <c r="AO322" s="1205"/>
    </row>
    <row r="323" spans="1:44" ht="15" hidden="1" customHeight="1">
      <c r="A323" s="1222"/>
      <c r="B323" s="1223"/>
      <c r="C323" s="1223"/>
      <c r="D323" s="1223"/>
      <c r="E323" s="1223"/>
      <c r="F323" s="2567"/>
      <c r="G323" s="2568"/>
      <c r="H323" s="2568"/>
      <c r="I323" s="2568"/>
      <c r="J323" s="2568"/>
      <c r="K323" s="2568"/>
      <c r="L323" s="2568"/>
      <c r="M323" s="2568"/>
      <c r="N323" s="2568"/>
      <c r="O323" s="2568"/>
      <c r="P323" s="2568"/>
      <c r="Q323" s="2568"/>
      <c r="R323" s="2568"/>
      <c r="S323" s="2568"/>
      <c r="T323" s="2568"/>
      <c r="U323" s="2568"/>
      <c r="V323" s="2568"/>
      <c r="W323" s="2568"/>
      <c r="X323" s="2568"/>
      <c r="Y323" s="2568"/>
      <c r="Z323" s="2568"/>
      <c r="AA323" s="2568"/>
      <c r="AB323" s="2568"/>
      <c r="AC323" s="2568"/>
      <c r="AD323" s="2569"/>
      <c r="AE323" s="1223"/>
      <c r="AF323" s="1223"/>
      <c r="AG323" s="1223"/>
      <c r="AH323" s="1223"/>
      <c r="AI323" s="1223"/>
      <c r="AJ323" s="1222"/>
      <c r="AK323" s="1222"/>
      <c r="AL323" s="1222"/>
      <c r="AM323" s="1222"/>
      <c r="AN323" s="1389"/>
      <c r="AO323" s="1205"/>
    </row>
    <row r="324" spans="1:44" ht="15" hidden="1" customHeight="1">
      <c r="A324" s="1222"/>
      <c r="B324" s="1223"/>
      <c r="C324" s="1223"/>
      <c r="D324" s="1223"/>
      <c r="E324" s="1223"/>
      <c r="F324" s="2567"/>
      <c r="G324" s="2568"/>
      <c r="H324" s="2568"/>
      <c r="I324" s="2568"/>
      <c r="J324" s="2568"/>
      <c r="K324" s="2568"/>
      <c r="L324" s="2568"/>
      <c r="M324" s="2568"/>
      <c r="N324" s="2568"/>
      <c r="O324" s="2568"/>
      <c r="P324" s="2568"/>
      <c r="Q324" s="2568"/>
      <c r="R324" s="2568"/>
      <c r="S324" s="2568"/>
      <c r="T324" s="2568"/>
      <c r="U324" s="2568"/>
      <c r="V324" s="2568"/>
      <c r="W324" s="2568"/>
      <c r="X324" s="2568"/>
      <c r="Y324" s="2568"/>
      <c r="Z324" s="2568"/>
      <c r="AA324" s="2568"/>
      <c r="AB324" s="2568"/>
      <c r="AC324" s="2568"/>
      <c r="AD324" s="2569"/>
      <c r="AE324" s="1223"/>
      <c r="AF324" s="1223"/>
      <c r="AG324" s="1223"/>
      <c r="AH324" s="1223"/>
      <c r="AI324" s="1223"/>
      <c r="AJ324" s="1222"/>
      <c r="AK324" s="1222"/>
      <c r="AL324" s="1222"/>
      <c r="AM324" s="1411"/>
      <c r="AN324" s="1205"/>
      <c r="AO324" s="1205"/>
    </row>
    <row r="325" spans="1:44" hidden="1">
      <c r="A325" s="1222"/>
      <c r="B325" s="1223"/>
      <c r="C325" s="1222"/>
      <c r="D325" s="1223"/>
      <c r="E325" s="1222"/>
      <c r="F325" s="1412" t="s">
        <v>1584</v>
      </c>
      <c r="G325" s="1413"/>
      <c r="H325" s="1413"/>
      <c r="I325" s="1413"/>
      <c r="J325" s="1413"/>
      <c r="K325" s="1413"/>
      <c r="L325" s="1413"/>
      <c r="M325" s="1413"/>
      <c r="N325" s="1413"/>
      <c r="O325" s="1413"/>
      <c r="P325" s="1413"/>
      <c r="Q325" s="1413"/>
      <c r="R325" s="1413"/>
      <c r="S325" s="1413"/>
      <c r="T325" s="1413"/>
      <c r="U325" s="1413"/>
      <c r="V325" s="1413"/>
      <c r="W325" s="1413"/>
      <c r="X325" s="1413"/>
      <c r="Y325" s="1413"/>
      <c r="Z325" s="1413"/>
      <c r="AA325" s="1413"/>
      <c r="AB325" s="1413"/>
      <c r="AC325" s="1413"/>
      <c r="AD325" s="1414"/>
      <c r="AE325" s="1223"/>
      <c r="AF325" s="1223"/>
      <c r="AG325" s="1223"/>
      <c r="AH325" s="1223"/>
      <c r="AI325" s="1223"/>
      <c r="AJ325" s="1222"/>
      <c r="AK325" s="1222"/>
      <c r="AL325" s="1222"/>
      <c r="AM325" s="1411"/>
      <c r="AN325" s="1204"/>
    </row>
    <row r="326" spans="1:44" hidden="1">
      <c r="A326" s="1222"/>
      <c r="B326" s="1223"/>
      <c r="C326" s="1222"/>
      <c r="D326" s="1223"/>
      <c r="E326" s="1222"/>
      <c r="F326" s="1317"/>
      <c r="G326" s="1317"/>
      <c r="H326" s="1317"/>
      <c r="I326" s="1317"/>
      <c r="J326" s="1317"/>
      <c r="K326" s="1317"/>
      <c r="L326" s="1317"/>
      <c r="M326" s="1317"/>
      <c r="N326" s="1317"/>
      <c r="O326" s="1317"/>
      <c r="P326" s="1317"/>
      <c r="Q326" s="1317"/>
      <c r="R326" s="1317"/>
      <c r="S326" s="1317"/>
      <c r="T326" s="1317"/>
      <c r="U326" s="1317"/>
      <c r="V326" s="1317"/>
      <c r="W326" s="1317"/>
      <c r="X326" s="1317"/>
      <c r="Y326" s="1317"/>
      <c r="Z326" s="1317"/>
      <c r="AA326" s="1317"/>
      <c r="AB326" s="1317"/>
      <c r="AC326" s="1317"/>
      <c r="AD326" s="1317"/>
      <c r="AE326" s="1223"/>
      <c r="AF326" s="1223"/>
      <c r="AG326" s="1223"/>
      <c r="AH326" s="1223"/>
      <c r="AI326" s="1223"/>
      <c r="AJ326" s="1222"/>
      <c r="AK326" s="1222"/>
      <c r="AL326" s="1222"/>
      <c r="AM326" s="1411"/>
      <c r="AN326" s="1204"/>
    </row>
    <row r="327" spans="1:44">
      <c r="A327" s="1300"/>
      <c r="B327" s="1415"/>
      <c r="C327" s="1415"/>
      <c r="D327" s="1415"/>
      <c r="E327" s="1415"/>
      <c r="F327" s="1415"/>
      <c r="G327" s="1415"/>
      <c r="H327" s="1415"/>
      <c r="I327" s="1415"/>
      <c r="J327" s="1415"/>
      <c r="K327" s="1415"/>
      <c r="L327" s="1415"/>
      <c r="M327" s="1415"/>
      <c r="N327" s="1415"/>
      <c r="O327" s="1415"/>
      <c r="P327" s="1415"/>
      <c r="Q327" s="1415"/>
      <c r="R327" s="1415"/>
      <c r="S327" s="1415"/>
      <c r="T327" s="1415"/>
      <c r="U327" s="1415"/>
      <c r="V327" s="1415"/>
      <c r="W327" s="1415"/>
      <c r="X327" s="1415"/>
      <c r="Y327" s="1415"/>
      <c r="Z327" s="1415"/>
      <c r="AA327" s="1415"/>
      <c r="AB327" s="1415"/>
      <c r="AC327" s="1416"/>
      <c r="AD327" s="1415"/>
      <c r="AE327" s="1238"/>
      <c r="AF327" s="1238"/>
      <c r="AG327" s="1238"/>
      <c r="AH327" s="1238"/>
      <c r="AI327" s="1239"/>
      <c r="AJ327" s="1239" t="s">
        <v>1647</v>
      </c>
      <c r="AK327" s="2455">
        <f>AP284</f>
        <v>9</v>
      </c>
      <c r="AL327" s="2456"/>
      <c r="AM327" s="2457"/>
      <c r="AN327" s="1204"/>
    </row>
    <row r="328" spans="1:44" s="1222" customFormat="1" ht="12.75" customHeight="1" thickBot="1">
      <c r="A328" s="1315"/>
      <c r="B328" s="1315"/>
      <c r="C328" s="1315"/>
      <c r="D328" s="1315"/>
      <c r="E328" s="1315"/>
      <c r="F328" s="1315"/>
      <c r="G328" s="1315"/>
      <c r="H328" s="1315"/>
      <c r="I328" s="1315"/>
      <c r="J328" s="1315"/>
      <c r="K328" s="1315"/>
      <c r="L328" s="1315"/>
      <c r="M328" s="1315"/>
      <c r="N328" s="1315"/>
      <c r="O328" s="1315"/>
      <c r="P328" s="1315"/>
      <c r="Q328" s="1315"/>
      <c r="R328" s="1315"/>
      <c r="S328" s="1315"/>
      <c r="T328" s="1315"/>
      <c r="U328" s="1315"/>
      <c r="V328" s="1315"/>
      <c r="W328" s="1315"/>
      <c r="X328" s="1315"/>
      <c r="Y328" s="1315"/>
      <c r="Z328" s="1315"/>
      <c r="AA328" s="1315"/>
      <c r="AB328" s="1315"/>
      <c r="AC328" s="1315"/>
      <c r="AD328" s="1315"/>
      <c r="AE328" s="1315"/>
      <c r="AF328" s="1315"/>
      <c r="AG328" s="1315"/>
      <c r="AH328" s="1315"/>
      <c r="AI328" s="1315"/>
      <c r="AJ328" s="1315"/>
      <c r="AK328" s="1315"/>
      <c r="AL328" s="1315"/>
      <c r="AM328" s="1315"/>
      <c r="AN328" s="1296"/>
    </row>
    <row r="329" spans="1:44" s="1222" customFormat="1" ht="12.75" customHeight="1" thickTop="1">
      <c r="A329" s="1205"/>
      <c r="B329" s="1205"/>
      <c r="C329" s="1205"/>
      <c r="D329" s="1205"/>
      <c r="E329" s="1205"/>
      <c r="F329" s="1205"/>
      <c r="G329" s="1205"/>
      <c r="H329" s="1205"/>
      <c r="I329" s="1205"/>
      <c r="J329" s="1205"/>
      <c r="K329" s="1205"/>
      <c r="L329" s="1205"/>
      <c r="M329" s="1205"/>
      <c r="N329" s="1205"/>
      <c r="O329" s="1205"/>
      <c r="P329" s="1205"/>
      <c r="Q329" s="1205"/>
      <c r="R329" s="1205"/>
      <c r="S329" s="1205"/>
      <c r="T329" s="1205"/>
      <c r="U329" s="1205"/>
      <c r="V329" s="1205"/>
      <c r="W329" s="1205"/>
      <c r="X329" s="1205"/>
      <c r="Y329" s="1205"/>
      <c r="Z329" s="1205"/>
      <c r="AA329" s="1205"/>
      <c r="AB329" s="1205"/>
      <c r="AC329" s="1205"/>
      <c r="AD329" s="1205"/>
      <c r="AE329" s="1205"/>
      <c r="AF329" s="1205"/>
      <c r="AG329" s="1205"/>
      <c r="AH329" s="1205"/>
      <c r="AI329" s="1205"/>
      <c r="AJ329" s="1205"/>
      <c r="AK329" s="1205"/>
      <c r="AL329" s="1205"/>
      <c r="AM329" s="1205"/>
      <c r="AN329" s="1296"/>
    </row>
    <row r="330" spans="1:44" s="1222" customFormat="1" ht="12.75" customHeight="1">
      <c r="A330" s="1210" t="s">
        <v>1648</v>
      </c>
      <c r="B330" s="1210" t="s">
        <v>890</v>
      </c>
      <c r="C330" s="1207"/>
      <c r="AC330" s="1210"/>
      <c r="AE330" s="2491" t="s">
        <v>1505</v>
      </c>
      <c r="AF330" s="2491"/>
      <c r="AG330" s="2491"/>
      <c r="AH330" s="2491"/>
      <c r="AI330" s="2491"/>
      <c r="AJ330" s="2491"/>
      <c r="AK330" s="2491"/>
      <c r="AL330" s="1210"/>
      <c r="AM330" s="1210"/>
      <c r="AN330" s="1287"/>
    </row>
    <row r="331" spans="1:44" s="1222" customFormat="1" ht="12.75" customHeight="1">
      <c r="A331" s="1210"/>
      <c r="B331" s="1210"/>
      <c r="C331" s="1207"/>
      <c r="AC331" s="1210"/>
      <c r="AE331" s="1214"/>
      <c r="AF331" s="1214"/>
      <c r="AG331" s="1214"/>
      <c r="AH331" s="1214"/>
      <c r="AI331" s="1214"/>
      <c r="AJ331" s="1214"/>
      <c r="AK331" s="1214"/>
      <c r="AL331" s="1210"/>
      <c r="AM331" s="1210"/>
      <c r="AN331" s="1287"/>
    </row>
    <row r="332" spans="1:44" s="1222" customFormat="1" ht="12.75" customHeight="1">
      <c r="A332" s="1295"/>
      <c r="B332" s="1305"/>
      <c r="C332" s="2552" t="s">
        <v>1649</v>
      </c>
      <c r="D332" s="2552"/>
      <c r="E332" s="2552"/>
      <c r="F332" s="2552"/>
      <c r="G332" s="2552"/>
      <c r="H332" s="2552"/>
      <c r="I332" s="2552"/>
      <c r="J332" s="2552"/>
      <c r="K332" s="2552"/>
      <c r="L332" s="2552"/>
      <c r="M332" s="2552"/>
      <c r="N332" s="2552"/>
      <c r="O332" s="2552"/>
      <c r="P332" s="2552"/>
      <c r="Q332" s="2552"/>
      <c r="R332" s="2552"/>
      <c r="S332" s="2552"/>
      <c r="T332" s="2552"/>
      <c r="U332" s="2552"/>
      <c r="V332" s="2552"/>
      <c r="W332" s="2552"/>
      <c r="X332" s="2552"/>
      <c r="Y332" s="2552"/>
      <c r="Z332" s="2552"/>
      <c r="AA332" s="2552"/>
      <c r="AB332" s="2552"/>
      <c r="AC332" s="2552"/>
      <c r="AD332" s="2552"/>
      <c r="AE332" s="2552"/>
      <c r="AF332" s="2552"/>
      <c r="AG332" s="2552"/>
      <c r="AH332" s="2552"/>
      <c r="AI332" s="2552"/>
      <c r="AJ332" s="2552"/>
      <c r="AK332" s="1295"/>
      <c r="AL332" s="1295"/>
      <c r="AM332" s="1295"/>
      <c r="AN332" s="1296"/>
    </row>
    <row r="333" spans="1:44" s="1222" customFormat="1" ht="12.75" customHeight="1">
      <c r="A333" s="1295"/>
      <c r="B333" s="1305"/>
      <c r="C333" s="2552"/>
      <c r="D333" s="2552"/>
      <c r="E333" s="2552"/>
      <c r="F333" s="2552"/>
      <c r="G333" s="2552"/>
      <c r="H333" s="2552"/>
      <c r="I333" s="2552"/>
      <c r="J333" s="2552"/>
      <c r="K333" s="2552"/>
      <c r="L333" s="2552"/>
      <c r="M333" s="2552"/>
      <c r="N333" s="2552"/>
      <c r="O333" s="2552"/>
      <c r="P333" s="2552"/>
      <c r="Q333" s="2552"/>
      <c r="R333" s="2552"/>
      <c r="S333" s="2552"/>
      <c r="T333" s="2552"/>
      <c r="U333" s="2552"/>
      <c r="V333" s="2552"/>
      <c r="W333" s="2552"/>
      <c r="X333" s="2552"/>
      <c r="Y333" s="2552"/>
      <c r="Z333" s="2552"/>
      <c r="AA333" s="2552"/>
      <c r="AB333" s="2552"/>
      <c r="AC333" s="2552"/>
      <c r="AD333" s="2552"/>
      <c r="AE333" s="2552"/>
      <c r="AF333" s="2552"/>
      <c r="AG333" s="2552"/>
      <c r="AH333" s="2552"/>
      <c r="AI333" s="2552"/>
      <c r="AJ333" s="2552"/>
      <c r="AK333" s="1295"/>
      <c r="AL333" s="1295"/>
      <c r="AM333" s="1295"/>
      <c r="AN333" s="1296"/>
    </row>
    <row r="334" spans="1:44" s="1222" customFormat="1" ht="12.75" customHeight="1">
      <c r="A334" s="1295"/>
      <c r="B334" s="1305"/>
      <c r="C334" s="2552"/>
      <c r="D334" s="2552"/>
      <c r="E334" s="2552"/>
      <c r="F334" s="2552"/>
      <c r="G334" s="2552"/>
      <c r="H334" s="2552"/>
      <c r="I334" s="2552"/>
      <c r="J334" s="2552"/>
      <c r="K334" s="2552"/>
      <c r="L334" s="2552"/>
      <c r="M334" s="2552"/>
      <c r="N334" s="2552"/>
      <c r="O334" s="2552"/>
      <c r="P334" s="2552"/>
      <c r="Q334" s="2552"/>
      <c r="R334" s="2552"/>
      <c r="S334" s="2552"/>
      <c r="T334" s="2552"/>
      <c r="U334" s="2552"/>
      <c r="V334" s="2552"/>
      <c r="W334" s="2552"/>
      <c r="X334" s="2552"/>
      <c r="Y334" s="2552"/>
      <c r="Z334" s="2552"/>
      <c r="AA334" s="2552"/>
      <c r="AB334" s="2552"/>
      <c r="AC334" s="2552"/>
      <c r="AD334" s="2552"/>
      <c r="AE334" s="2552"/>
      <c r="AF334" s="2552"/>
      <c r="AG334" s="2552"/>
      <c r="AH334" s="2552"/>
      <c r="AI334" s="2552"/>
      <c r="AJ334" s="2552"/>
      <c r="AK334" s="1295"/>
      <c r="AL334" s="1295"/>
      <c r="AM334" s="1295"/>
      <c r="AN334" s="1296"/>
      <c r="AQ334" s="1207"/>
    </row>
    <row r="335" spans="1:44" s="1222" customFormat="1" ht="12.75" customHeight="1">
      <c r="A335" s="1295"/>
      <c r="B335" s="1305"/>
      <c r="C335" s="2552"/>
      <c r="D335" s="2552"/>
      <c r="E335" s="2552"/>
      <c r="F335" s="2552"/>
      <c r="G335" s="2552"/>
      <c r="H335" s="2552"/>
      <c r="I335" s="2552"/>
      <c r="J335" s="2552"/>
      <c r="K335" s="2552"/>
      <c r="L335" s="2552"/>
      <c r="M335" s="2552"/>
      <c r="N335" s="2552"/>
      <c r="O335" s="2552"/>
      <c r="P335" s="2552"/>
      <c r="Q335" s="2552"/>
      <c r="R335" s="2552"/>
      <c r="S335" s="2552"/>
      <c r="T335" s="2552"/>
      <c r="U335" s="2552"/>
      <c r="V335" s="2552"/>
      <c r="W335" s="2552"/>
      <c r="X335" s="2552"/>
      <c r="Y335" s="2552"/>
      <c r="Z335" s="2552"/>
      <c r="AA335" s="2552"/>
      <c r="AB335" s="2552"/>
      <c r="AC335" s="2552"/>
      <c r="AD335" s="2552"/>
      <c r="AE335" s="2552"/>
      <c r="AF335" s="2552"/>
      <c r="AG335" s="2552"/>
      <c r="AH335" s="2552"/>
      <c r="AI335" s="2552"/>
      <c r="AJ335" s="2552"/>
      <c r="AK335" s="1295"/>
      <c r="AL335" s="1295"/>
      <c r="AM335" s="1295"/>
      <c r="AN335" s="1296"/>
      <c r="AQ335" s="1207"/>
    </row>
    <row r="336" spans="1:44" s="1222" customFormat="1" ht="12.6" customHeight="1">
      <c r="A336" s="1295"/>
      <c r="B336" s="1305"/>
      <c r="C336" s="2552"/>
      <c r="D336" s="2552"/>
      <c r="E336" s="2552"/>
      <c r="F336" s="2552"/>
      <c r="G336" s="2552"/>
      <c r="H336" s="2552"/>
      <c r="I336" s="2552"/>
      <c r="J336" s="2552"/>
      <c r="K336" s="2552"/>
      <c r="L336" s="2552"/>
      <c r="M336" s="2552"/>
      <c r="N336" s="2552"/>
      <c r="O336" s="2552"/>
      <c r="P336" s="2552"/>
      <c r="Q336" s="2552"/>
      <c r="R336" s="2552"/>
      <c r="S336" s="2552"/>
      <c r="T336" s="2552"/>
      <c r="U336" s="2552"/>
      <c r="V336" s="2552"/>
      <c r="W336" s="2552"/>
      <c r="X336" s="2552"/>
      <c r="Y336" s="2552"/>
      <c r="Z336" s="2552"/>
      <c r="AA336" s="2552"/>
      <c r="AB336" s="2552"/>
      <c r="AC336" s="2552"/>
      <c r="AD336" s="2552"/>
      <c r="AE336" s="2552"/>
      <c r="AF336" s="2552"/>
      <c r="AG336" s="2552"/>
      <c r="AH336" s="2552"/>
      <c r="AI336" s="2552"/>
      <c r="AJ336" s="2552"/>
      <c r="AK336" s="1295"/>
      <c r="AL336" s="1295"/>
      <c r="AM336" s="1295"/>
      <c r="AN336" s="1296"/>
      <c r="AQ336" s="1207"/>
      <c r="AR336" s="1207"/>
    </row>
    <row r="337" spans="1:46" s="1222" customFormat="1" ht="45.75" customHeight="1">
      <c r="A337" s="1295"/>
      <c r="B337" s="1305"/>
      <c r="C337" s="2552" t="s">
        <v>2716</v>
      </c>
      <c r="D337" s="2552"/>
      <c r="E337" s="2552"/>
      <c r="F337" s="2552"/>
      <c r="G337" s="2552"/>
      <c r="H337" s="2552"/>
      <c r="I337" s="2552"/>
      <c r="J337" s="2552"/>
      <c r="K337" s="2552"/>
      <c r="L337" s="2552"/>
      <c r="M337" s="2552"/>
      <c r="N337" s="2552"/>
      <c r="O337" s="2552"/>
      <c r="P337" s="2552"/>
      <c r="Q337" s="2552"/>
      <c r="R337" s="2552"/>
      <c r="S337" s="2552"/>
      <c r="T337" s="2552"/>
      <c r="U337" s="2552"/>
      <c r="V337" s="2552"/>
      <c r="W337" s="2552"/>
      <c r="X337" s="2552"/>
      <c r="Y337" s="2552"/>
      <c r="Z337" s="2552"/>
      <c r="AA337" s="2552"/>
      <c r="AB337" s="2552"/>
      <c r="AC337" s="2552"/>
      <c r="AD337" s="2552"/>
      <c r="AE337" s="2552"/>
      <c r="AF337" s="2552"/>
      <c r="AG337" s="2552"/>
      <c r="AH337" s="2552"/>
      <c r="AI337" s="2552"/>
      <c r="AJ337" s="2552"/>
      <c r="AK337" s="1295"/>
      <c r="AL337" s="1295"/>
      <c r="AM337" s="1295"/>
      <c r="AN337" s="1296"/>
      <c r="AQ337" s="1207"/>
      <c r="AR337" s="1207"/>
    </row>
    <row r="338" spans="1:46" s="1222" customFormat="1" ht="12.6" customHeight="1">
      <c r="A338" s="1295"/>
      <c r="B338" s="1305"/>
      <c r="C338" s="1417"/>
      <c r="D338" s="1417"/>
      <c r="E338" s="1417"/>
      <c r="F338" s="1417"/>
      <c r="G338" s="1417"/>
      <c r="H338" s="1417"/>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c r="AJ338" s="1417"/>
      <c r="AK338" s="1295"/>
      <c r="AL338" s="1295"/>
      <c r="AM338" s="1295"/>
      <c r="AN338" s="1296"/>
      <c r="AQ338" s="1207"/>
      <c r="AR338" s="1207"/>
    </row>
    <row r="339" spans="1:46" s="1222" customFormat="1" ht="12.75" customHeight="1">
      <c r="A339" s="1295"/>
      <c r="B339" s="1305"/>
      <c r="C339" s="2552" t="s">
        <v>2177</v>
      </c>
      <c r="D339" s="2552"/>
      <c r="E339" s="2552"/>
      <c r="F339" s="2552"/>
      <c r="G339" s="2552"/>
      <c r="H339" s="2552"/>
      <c r="I339" s="2552"/>
      <c r="J339" s="2552"/>
      <c r="K339" s="2552"/>
      <c r="L339" s="2552"/>
      <c r="M339" s="2552"/>
      <c r="N339" s="2552"/>
      <c r="O339" s="2552"/>
      <c r="P339" s="2552"/>
      <c r="Q339" s="2552"/>
      <c r="R339" s="2552"/>
      <c r="S339" s="2552"/>
      <c r="T339" s="2552"/>
      <c r="U339" s="2552"/>
      <c r="V339" s="2552"/>
      <c r="W339" s="2552"/>
      <c r="X339" s="2552"/>
      <c r="Y339" s="2552"/>
      <c r="Z339" s="2552"/>
      <c r="AA339" s="2552"/>
      <c r="AB339" s="2552"/>
      <c r="AC339" s="2552"/>
      <c r="AD339" s="2552"/>
      <c r="AE339" s="2552"/>
      <c r="AF339" s="2552"/>
      <c r="AG339" s="2552"/>
      <c r="AH339" s="2552"/>
      <c r="AI339" s="2552"/>
      <c r="AJ339" s="2552"/>
      <c r="AK339" s="1295"/>
      <c r="AL339" s="1295"/>
      <c r="AM339" s="1295"/>
      <c r="AN339" s="1296"/>
      <c r="AQ339" s="1207"/>
      <c r="AR339" s="1207"/>
    </row>
    <row r="340" spans="1:46" s="1222" customFormat="1" ht="30" customHeight="1">
      <c r="A340" s="1295"/>
      <c r="B340" s="1305"/>
      <c r="C340" s="2552"/>
      <c r="D340" s="2552"/>
      <c r="E340" s="2552"/>
      <c r="F340" s="2552"/>
      <c r="G340" s="2552"/>
      <c r="H340" s="2552"/>
      <c r="I340" s="2552"/>
      <c r="J340" s="2552"/>
      <c r="K340" s="2552"/>
      <c r="L340" s="2552"/>
      <c r="M340" s="2552"/>
      <c r="N340" s="2552"/>
      <c r="O340" s="2552"/>
      <c r="P340" s="2552"/>
      <c r="Q340" s="2552"/>
      <c r="R340" s="2552"/>
      <c r="S340" s="2552"/>
      <c r="T340" s="2552"/>
      <c r="U340" s="2552"/>
      <c r="V340" s="2552"/>
      <c r="W340" s="2552"/>
      <c r="X340" s="2552"/>
      <c r="Y340" s="2552"/>
      <c r="Z340" s="2552"/>
      <c r="AA340" s="2552"/>
      <c r="AB340" s="2552"/>
      <c r="AC340" s="2552"/>
      <c r="AD340" s="2552"/>
      <c r="AE340" s="2552"/>
      <c r="AF340" s="2552"/>
      <c r="AG340" s="2552"/>
      <c r="AH340" s="2552"/>
      <c r="AI340" s="2552"/>
      <c r="AJ340" s="2552"/>
      <c r="AK340" s="1295"/>
      <c r="AL340" s="1295"/>
      <c r="AM340" s="1295"/>
      <c r="AN340" s="1296"/>
      <c r="AR340" s="1207"/>
    </row>
    <row r="341" spans="1:46" s="1222" customFormat="1" ht="12.75" customHeight="1">
      <c r="A341" s="1295"/>
      <c r="B341" s="1305"/>
      <c r="C341" s="2552"/>
      <c r="D341" s="2552"/>
      <c r="E341" s="2552"/>
      <c r="F341" s="2552"/>
      <c r="G341" s="2552"/>
      <c r="H341" s="2552"/>
      <c r="I341" s="2552"/>
      <c r="J341" s="2552"/>
      <c r="K341" s="2552"/>
      <c r="L341" s="2552"/>
      <c r="M341" s="2552"/>
      <c r="N341" s="2552"/>
      <c r="O341" s="2552"/>
      <c r="P341" s="2552"/>
      <c r="Q341" s="2552"/>
      <c r="R341" s="2552"/>
      <c r="S341" s="2552"/>
      <c r="T341" s="2552"/>
      <c r="U341" s="2552"/>
      <c r="V341" s="2552"/>
      <c r="W341" s="2552"/>
      <c r="X341" s="2552"/>
      <c r="Y341" s="2552"/>
      <c r="Z341" s="2552"/>
      <c r="AA341" s="2552"/>
      <c r="AB341" s="2552"/>
      <c r="AC341" s="2552"/>
      <c r="AD341" s="2552"/>
      <c r="AE341" s="2552"/>
      <c r="AF341" s="2552"/>
      <c r="AG341" s="2552"/>
      <c r="AH341" s="2552"/>
      <c r="AI341" s="2552"/>
      <c r="AJ341" s="2552"/>
      <c r="AK341" s="1295"/>
      <c r="AL341" s="1295"/>
      <c r="AM341" s="1295"/>
      <c r="AN341" s="1296"/>
      <c r="AR341" s="1207"/>
    </row>
    <row r="342" spans="1:46" s="1222" customFormat="1" ht="12.75" customHeight="1">
      <c r="A342" s="1295"/>
      <c r="B342" s="1305"/>
      <c r="C342" s="2552" t="s">
        <v>1650</v>
      </c>
      <c r="D342" s="2552"/>
      <c r="E342" s="2552"/>
      <c r="F342" s="2552"/>
      <c r="G342" s="2552"/>
      <c r="H342" s="2552"/>
      <c r="I342" s="2552"/>
      <c r="J342" s="2552"/>
      <c r="K342" s="2552"/>
      <c r="L342" s="2552"/>
      <c r="M342" s="2552"/>
      <c r="N342" s="2552"/>
      <c r="O342" s="2552"/>
      <c r="P342" s="2552"/>
      <c r="Q342" s="2552"/>
      <c r="R342" s="2552"/>
      <c r="S342" s="2552"/>
      <c r="T342" s="2552"/>
      <c r="U342" s="2552"/>
      <c r="V342" s="2552"/>
      <c r="W342" s="2552"/>
      <c r="X342" s="2552"/>
      <c r="Y342" s="2552"/>
      <c r="Z342" s="2552"/>
      <c r="AA342" s="2552"/>
      <c r="AB342" s="2552"/>
      <c r="AC342" s="2552"/>
      <c r="AD342" s="2552"/>
      <c r="AE342" s="2552"/>
      <c r="AF342" s="2552"/>
      <c r="AG342" s="2552"/>
      <c r="AH342" s="2552"/>
      <c r="AI342" s="2552"/>
      <c r="AJ342" s="2552"/>
      <c r="AK342" s="1295"/>
      <c r="AL342" s="1295"/>
      <c r="AM342" s="1295"/>
      <c r="AN342" s="1296"/>
      <c r="AQ342" s="1207"/>
      <c r="AR342" s="1207"/>
    </row>
    <row r="343" spans="1:46" s="1222" customFormat="1" ht="12.75" customHeight="1">
      <c r="A343" s="1295"/>
      <c r="B343" s="1305"/>
      <c r="C343" s="2552"/>
      <c r="D343" s="2552"/>
      <c r="E343" s="2552"/>
      <c r="F343" s="2552"/>
      <c r="G343" s="2552"/>
      <c r="H343" s="2552"/>
      <c r="I343" s="2552"/>
      <c r="J343" s="2552"/>
      <c r="K343" s="2552"/>
      <c r="L343" s="2552"/>
      <c r="M343" s="2552"/>
      <c r="N343" s="2552"/>
      <c r="O343" s="2552"/>
      <c r="P343" s="2552"/>
      <c r="Q343" s="2552"/>
      <c r="R343" s="2552"/>
      <c r="S343" s="2552"/>
      <c r="T343" s="2552"/>
      <c r="U343" s="2552"/>
      <c r="V343" s="2552"/>
      <c r="W343" s="2552"/>
      <c r="X343" s="2552"/>
      <c r="Y343" s="2552"/>
      <c r="Z343" s="2552"/>
      <c r="AA343" s="2552"/>
      <c r="AB343" s="2552"/>
      <c r="AC343" s="2552"/>
      <c r="AD343" s="2552"/>
      <c r="AE343" s="2552"/>
      <c r="AF343" s="2552"/>
      <c r="AG343" s="2552"/>
      <c r="AH343" s="2552"/>
      <c r="AI343" s="2552"/>
      <c r="AJ343" s="2552"/>
      <c r="AK343" s="1295"/>
      <c r="AL343" s="1295"/>
      <c r="AM343" s="1295"/>
      <c r="AN343" s="1296"/>
      <c r="AQ343" s="1207"/>
      <c r="AR343" s="1207"/>
    </row>
    <row r="344" spans="1:46" s="1222" customFormat="1" ht="13.35" customHeight="1">
      <c r="A344" s="1295"/>
      <c r="B344" s="1305"/>
      <c r="C344" s="2552"/>
      <c r="D344" s="2552"/>
      <c r="E344" s="2552"/>
      <c r="F344" s="2552"/>
      <c r="G344" s="2552"/>
      <c r="H344" s="2552"/>
      <c r="I344" s="2552"/>
      <c r="J344" s="2552"/>
      <c r="K344" s="2552"/>
      <c r="L344" s="2552"/>
      <c r="M344" s="2552"/>
      <c r="N344" s="2552"/>
      <c r="O344" s="2552"/>
      <c r="P344" s="2552"/>
      <c r="Q344" s="2552"/>
      <c r="R344" s="2552"/>
      <c r="S344" s="2552"/>
      <c r="T344" s="2552"/>
      <c r="U344" s="2552"/>
      <c r="V344" s="2552"/>
      <c r="W344" s="2552"/>
      <c r="X344" s="2552"/>
      <c r="Y344" s="2552"/>
      <c r="Z344" s="2552"/>
      <c r="AA344" s="2552"/>
      <c r="AB344" s="2552"/>
      <c r="AC344" s="2552"/>
      <c r="AD344" s="2552"/>
      <c r="AE344" s="2552"/>
      <c r="AF344" s="2552"/>
      <c r="AG344" s="2552"/>
      <c r="AH344" s="2552"/>
      <c r="AI344" s="2552"/>
      <c r="AJ344" s="2552"/>
      <c r="AK344" s="1295"/>
      <c r="AL344" s="1295"/>
      <c r="AM344" s="1295"/>
      <c r="AN344" s="1296"/>
      <c r="AQ344" s="1207"/>
      <c r="AR344" s="1207"/>
    </row>
    <row r="345" spans="1:46" s="1222" customFormat="1" ht="12.75" customHeight="1">
      <c r="A345" s="1295"/>
      <c r="B345" s="1305"/>
      <c r="C345" s="2552"/>
      <c r="D345" s="2552"/>
      <c r="E345" s="2552"/>
      <c r="F345" s="2552"/>
      <c r="G345" s="2552"/>
      <c r="H345" s="2552"/>
      <c r="I345" s="2552"/>
      <c r="J345" s="2552"/>
      <c r="K345" s="2552"/>
      <c r="L345" s="2552"/>
      <c r="M345" s="2552"/>
      <c r="N345" s="2552"/>
      <c r="O345" s="2552"/>
      <c r="P345" s="2552"/>
      <c r="Q345" s="2552"/>
      <c r="R345" s="2552"/>
      <c r="S345" s="2552"/>
      <c r="T345" s="2552"/>
      <c r="U345" s="2552"/>
      <c r="V345" s="2552"/>
      <c r="W345" s="2552"/>
      <c r="X345" s="2552"/>
      <c r="Y345" s="2552"/>
      <c r="Z345" s="2552"/>
      <c r="AA345" s="2552"/>
      <c r="AB345" s="2552"/>
      <c r="AC345" s="2552"/>
      <c r="AD345" s="2552"/>
      <c r="AE345" s="2552"/>
      <c r="AF345" s="2552"/>
      <c r="AG345" s="2552"/>
      <c r="AH345" s="2552"/>
      <c r="AI345" s="2552"/>
      <c r="AJ345" s="2552"/>
      <c r="AK345" s="1295"/>
      <c r="AL345" s="1295"/>
      <c r="AM345" s="1295"/>
      <c r="AN345" s="1296"/>
      <c r="AO345" s="1418"/>
      <c r="AP345" s="1418"/>
      <c r="AQ345" s="1207"/>
    </row>
    <row r="346" spans="1:46" s="1222" customFormat="1" ht="11.85" customHeight="1">
      <c r="A346" s="1295"/>
      <c r="B346" s="1305"/>
      <c r="C346" s="2552"/>
      <c r="D346" s="2552"/>
      <c r="E346" s="2552"/>
      <c r="F346" s="2552"/>
      <c r="G346" s="2552"/>
      <c r="H346" s="2552"/>
      <c r="I346" s="2552"/>
      <c r="J346" s="2552"/>
      <c r="K346" s="2552"/>
      <c r="L346" s="2552"/>
      <c r="M346" s="2552"/>
      <c r="N346" s="2552"/>
      <c r="O346" s="2552"/>
      <c r="P346" s="2552"/>
      <c r="Q346" s="2552"/>
      <c r="R346" s="2552"/>
      <c r="S346" s="2552"/>
      <c r="T346" s="2552"/>
      <c r="U346" s="2552"/>
      <c r="V346" s="2552"/>
      <c r="W346" s="2552"/>
      <c r="X346" s="2552"/>
      <c r="Y346" s="2552"/>
      <c r="Z346" s="2552"/>
      <c r="AA346" s="2552"/>
      <c r="AB346" s="2552"/>
      <c r="AC346" s="2552"/>
      <c r="AD346" s="2552"/>
      <c r="AE346" s="2552"/>
      <c r="AF346" s="2552"/>
      <c r="AG346" s="2552"/>
      <c r="AH346" s="2552"/>
      <c r="AI346" s="2552"/>
      <c r="AJ346" s="2552"/>
      <c r="AK346" s="1295"/>
      <c r="AL346" s="1295"/>
      <c r="AM346" s="1295"/>
      <c r="AN346" s="1296"/>
      <c r="AO346" s="1419" t="s">
        <v>117</v>
      </c>
      <c r="AP346" s="1420">
        <f>IF(C370="Yes",5,0)</f>
        <v>5</v>
      </c>
      <c r="AS346" s="1210" t="s">
        <v>1651</v>
      </c>
    </row>
    <row r="347" spans="1:46" s="1222" customFormat="1" ht="12.75" customHeight="1">
      <c r="A347" s="1295"/>
      <c r="B347" s="1305"/>
      <c r="C347" s="2552"/>
      <c r="D347" s="2552"/>
      <c r="E347" s="2552"/>
      <c r="F347" s="2552"/>
      <c r="G347" s="2552"/>
      <c r="H347" s="2552"/>
      <c r="I347" s="2552"/>
      <c r="J347" s="2552"/>
      <c r="K347" s="2552"/>
      <c r="L347" s="2552"/>
      <c r="M347" s="2552"/>
      <c r="N347" s="2552"/>
      <c r="O347" s="2552"/>
      <c r="P347" s="2552"/>
      <c r="Q347" s="2552"/>
      <c r="R347" s="2552"/>
      <c r="S347" s="2552"/>
      <c r="T347" s="2552"/>
      <c r="U347" s="2552"/>
      <c r="V347" s="2552"/>
      <c r="W347" s="2552"/>
      <c r="X347" s="2552"/>
      <c r="Y347" s="2552"/>
      <c r="Z347" s="2552"/>
      <c r="AA347" s="2552"/>
      <c r="AB347" s="2552"/>
      <c r="AC347" s="2552"/>
      <c r="AD347" s="2552"/>
      <c r="AE347" s="2552"/>
      <c r="AF347" s="2552"/>
      <c r="AG347" s="2552"/>
      <c r="AH347" s="2552"/>
      <c r="AI347" s="2552"/>
      <c r="AJ347" s="2552"/>
      <c r="AK347" s="1295"/>
      <c r="AL347" s="1295"/>
      <c r="AM347" s="1295"/>
      <c r="AN347" s="1296"/>
      <c r="AO347" s="1419" t="s">
        <v>118</v>
      </c>
      <c r="AP347" s="1420">
        <f>IF(C378="Yes",5,0)</f>
        <v>0</v>
      </c>
      <c r="AS347" s="2550">
        <f>IF(Application!D210="Non-Targeted",(SUM(AQ355+AQ364)),AS351)</f>
        <v>10</v>
      </c>
      <c r="AT347" s="2550"/>
    </row>
    <row r="348" spans="1:46" s="1222" customFormat="1" ht="12.75" customHeight="1">
      <c r="A348" s="1295"/>
      <c r="B348" s="1305"/>
      <c r="C348" s="2552"/>
      <c r="D348" s="2552"/>
      <c r="E348" s="2552"/>
      <c r="F348" s="2552"/>
      <c r="G348" s="2552"/>
      <c r="H348" s="2552"/>
      <c r="I348" s="2552"/>
      <c r="J348" s="2552"/>
      <c r="K348" s="2552"/>
      <c r="L348" s="2552"/>
      <c r="M348" s="2552"/>
      <c r="N348" s="2552"/>
      <c r="O348" s="2552"/>
      <c r="P348" s="2552"/>
      <c r="Q348" s="2552"/>
      <c r="R348" s="2552"/>
      <c r="S348" s="2552"/>
      <c r="T348" s="2552"/>
      <c r="U348" s="2552"/>
      <c r="V348" s="2552"/>
      <c r="W348" s="2552"/>
      <c r="X348" s="2552"/>
      <c r="Y348" s="2552"/>
      <c r="Z348" s="2552"/>
      <c r="AA348" s="2552"/>
      <c r="AB348" s="2552"/>
      <c r="AC348" s="2552"/>
      <c r="AD348" s="2552"/>
      <c r="AE348" s="2552"/>
      <c r="AF348" s="2552"/>
      <c r="AG348" s="2552"/>
      <c r="AH348" s="2552"/>
      <c r="AI348" s="2552"/>
      <c r="AJ348" s="2552"/>
      <c r="AK348" s="1295"/>
      <c r="AL348" s="1295"/>
      <c r="AM348" s="1295"/>
      <c r="AN348" s="1296"/>
      <c r="AO348" s="1419" t="s">
        <v>124</v>
      </c>
      <c r="AP348" s="1420">
        <f>IF(C386="Yes",7,0)</f>
        <v>0</v>
      </c>
      <c r="AS348" s="1210" t="s">
        <v>1652</v>
      </c>
    </row>
    <row r="349" spans="1:46" s="1222" customFormat="1" ht="12.75" customHeight="1">
      <c r="A349" s="1295"/>
      <c r="B349" s="1305"/>
      <c r="C349" s="2552"/>
      <c r="D349" s="2552"/>
      <c r="E349" s="2552"/>
      <c r="F349" s="2552"/>
      <c r="G349" s="2552"/>
      <c r="H349" s="2552"/>
      <c r="I349" s="2552"/>
      <c r="J349" s="2552"/>
      <c r="K349" s="2552"/>
      <c r="L349" s="2552"/>
      <c r="M349" s="2552"/>
      <c r="N349" s="2552"/>
      <c r="O349" s="2552"/>
      <c r="P349" s="2552"/>
      <c r="Q349" s="2552"/>
      <c r="R349" s="2552"/>
      <c r="S349" s="2552"/>
      <c r="T349" s="2552"/>
      <c r="U349" s="2552"/>
      <c r="V349" s="2552"/>
      <c r="W349" s="2552"/>
      <c r="X349" s="2552"/>
      <c r="Y349" s="2552"/>
      <c r="Z349" s="2552"/>
      <c r="AA349" s="2552"/>
      <c r="AB349" s="2552"/>
      <c r="AC349" s="2552"/>
      <c r="AD349" s="2552"/>
      <c r="AE349" s="2552"/>
      <c r="AF349" s="2552"/>
      <c r="AG349" s="2552"/>
      <c r="AH349" s="2552"/>
      <c r="AI349" s="2552"/>
      <c r="AJ349" s="2552"/>
      <c r="AK349" s="1295"/>
      <c r="AL349" s="1295"/>
      <c r="AM349" s="1295"/>
      <c r="AN349" s="1296"/>
      <c r="AO349" s="1296"/>
      <c r="AP349" s="1420">
        <f>IF(C388="Yes",5,0)</f>
        <v>5</v>
      </c>
      <c r="AS349" s="2550">
        <f>IF(AND(AQ355&gt;0,AQ364&gt;0),(AQ355+AQ364)/2,0)</f>
        <v>0</v>
      </c>
      <c r="AT349" s="2550"/>
    </row>
    <row r="350" spans="1:46" s="1222" customFormat="1" ht="12.75" customHeight="1">
      <c r="A350" s="1295"/>
      <c r="B350" s="1305"/>
      <c r="C350" s="2552"/>
      <c r="D350" s="2552"/>
      <c r="E350" s="2552"/>
      <c r="F350" s="2552"/>
      <c r="G350" s="2552"/>
      <c r="H350" s="2552"/>
      <c r="I350" s="2552"/>
      <c r="J350" s="2552"/>
      <c r="K350" s="2552"/>
      <c r="L350" s="2552"/>
      <c r="M350" s="2552"/>
      <c r="N350" s="2552"/>
      <c r="O350" s="2552"/>
      <c r="P350" s="2552"/>
      <c r="Q350" s="2552"/>
      <c r="R350" s="2552"/>
      <c r="S350" s="2552"/>
      <c r="T350" s="2552"/>
      <c r="U350" s="2552"/>
      <c r="V350" s="2552"/>
      <c r="W350" s="2552"/>
      <c r="X350" s="2552"/>
      <c r="Y350" s="2552"/>
      <c r="Z350" s="2552"/>
      <c r="AA350" s="2552"/>
      <c r="AB350" s="2552"/>
      <c r="AC350" s="2552"/>
      <c r="AD350" s="2552"/>
      <c r="AE350" s="2552"/>
      <c r="AF350" s="2552"/>
      <c r="AG350" s="2552"/>
      <c r="AH350" s="2552"/>
      <c r="AI350" s="2552"/>
      <c r="AJ350" s="2552"/>
      <c r="AK350" s="1295"/>
      <c r="AL350" s="1295"/>
      <c r="AM350" s="1295"/>
      <c r="AN350" s="1296"/>
      <c r="AO350" s="1419" t="s">
        <v>606</v>
      </c>
      <c r="AP350" s="1420">
        <f>IF(C396="Yes",5,0)</f>
        <v>0</v>
      </c>
      <c r="AS350" s="1210" t="s">
        <v>2195</v>
      </c>
    </row>
    <row r="351" spans="1:46" s="1222" customFormat="1" ht="12.75" customHeight="1">
      <c r="A351" s="1295"/>
      <c r="B351" s="1305"/>
      <c r="C351" s="2551" t="s">
        <v>1653</v>
      </c>
      <c r="D351" s="2551"/>
      <c r="E351" s="2551"/>
      <c r="F351" s="2551"/>
      <c r="G351" s="2551"/>
      <c r="H351" s="2551"/>
      <c r="I351" s="2551"/>
      <c r="J351" s="2551"/>
      <c r="K351" s="2551"/>
      <c r="L351" s="2551"/>
      <c r="M351" s="2551"/>
      <c r="N351" s="2551"/>
      <c r="O351" s="2551"/>
      <c r="P351" s="2551"/>
      <c r="Q351" s="2551"/>
      <c r="R351" s="2551"/>
      <c r="S351" s="2551"/>
      <c r="T351" s="2551"/>
      <c r="U351" s="2551"/>
      <c r="V351" s="2551"/>
      <c r="W351" s="2551"/>
      <c r="X351" s="2551"/>
      <c r="Y351" s="2551"/>
      <c r="Z351" s="2551"/>
      <c r="AA351" s="2551"/>
      <c r="AB351" s="2551"/>
      <c r="AC351" s="2551"/>
      <c r="AD351" s="2551"/>
      <c r="AE351" s="2551"/>
      <c r="AF351" s="2551"/>
      <c r="AG351" s="2551"/>
      <c r="AH351" s="2551"/>
      <c r="AI351" s="2551"/>
      <c r="AJ351" s="2551"/>
      <c r="AK351" s="1295"/>
      <c r="AL351" s="1295"/>
      <c r="AM351" s="1295"/>
      <c r="AN351" s="1296"/>
      <c r="AO351" s="1296"/>
      <c r="AP351" s="1420">
        <f>IF(C398="Yes",3,0)</f>
        <v>0</v>
      </c>
      <c r="AS351" s="2550">
        <f>IF(AQ355=0,AQ364,AQ355)</f>
        <v>10</v>
      </c>
      <c r="AT351" s="2550"/>
    </row>
    <row r="352" spans="1:46" s="1222" customFormat="1" ht="12.75" customHeight="1">
      <c r="A352" s="1295"/>
      <c r="B352" s="1305"/>
      <c r="C352" s="2551"/>
      <c r="D352" s="2551"/>
      <c r="E352" s="2551"/>
      <c r="F352" s="2551"/>
      <c r="G352" s="2551"/>
      <c r="H352" s="2551"/>
      <c r="I352" s="2551"/>
      <c r="J352" s="2551"/>
      <c r="K352" s="2551"/>
      <c r="L352" s="2551"/>
      <c r="M352" s="2551"/>
      <c r="N352" s="2551"/>
      <c r="O352" s="2551"/>
      <c r="P352" s="2551"/>
      <c r="Q352" s="2551"/>
      <c r="R352" s="2551"/>
      <c r="S352" s="2551"/>
      <c r="T352" s="2551"/>
      <c r="U352" s="2551"/>
      <c r="V352" s="2551"/>
      <c r="W352" s="2551"/>
      <c r="X352" s="2551"/>
      <c r="Y352" s="2551"/>
      <c r="Z352" s="2551"/>
      <c r="AA352" s="2551"/>
      <c r="AB352" s="2551"/>
      <c r="AC352" s="2551"/>
      <c r="AD352" s="2551"/>
      <c r="AE352" s="2551"/>
      <c r="AF352" s="2551"/>
      <c r="AG352" s="2551"/>
      <c r="AH352" s="2551"/>
      <c r="AI352" s="2551"/>
      <c r="AJ352" s="2551"/>
      <c r="AK352" s="1295"/>
      <c r="AL352" s="1295"/>
      <c r="AM352" s="1295"/>
      <c r="AN352" s="1296"/>
      <c r="AO352" s="1419" t="s">
        <v>804</v>
      </c>
      <c r="AP352" s="1420">
        <f>IF(C401="Yes",5,0)</f>
        <v>0</v>
      </c>
    </row>
    <row r="353" spans="1:81" s="1222" customFormat="1" ht="12.75" customHeight="1">
      <c r="A353" s="1295"/>
      <c r="B353" s="1305"/>
      <c r="C353" s="2551"/>
      <c r="D353" s="2551"/>
      <c r="E353" s="2551"/>
      <c r="F353" s="2551"/>
      <c r="G353" s="2551"/>
      <c r="H353" s="2551"/>
      <c r="I353" s="2551"/>
      <c r="J353" s="2551"/>
      <c r="K353" s="2551"/>
      <c r="L353" s="2551"/>
      <c r="M353" s="2551"/>
      <c r="N353" s="2551"/>
      <c r="O353" s="2551"/>
      <c r="P353" s="2551"/>
      <c r="Q353" s="2551"/>
      <c r="R353" s="2551"/>
      <c r="S353" s="2551"/>
      <c r="T353" s="2551"/>
      <c r="U353" s="2551"/>
      <c r="V353" s="2551"/>
      <c r="W353" s="2551"/>
      <c r="X353" s="2551"/>
      <c r="Y353" s="2551"/>
      <c r="Z353" s="2551"/>
      <c r="AA353" s="2551"/>
      <c r="AB353" s="2551"/>
      <c r="AC353" s="2551"/>
      <c r="AD353" s="2551"/>
      <c r="AE353" s="2551"/>
      <c r="AF353" s="2551"/>
      <c r="AG353" s="2551"/>
      <c r="AH353" s="2551"/>
      <c r="AI353" s="2551"/>
      <c r="AJ353" s="2551"/>
      <c r="AK353" s="1295"/>
      <c r="AL353" s="1295"/>
      <c r="AM353" s="1295"/>
      <c r="AN353" s="1296"/>
      <c r="AO353" s="1419" t="s">
        <v>609</v>
      </c>
      <c r="AP353" s="1420">
        <f>IF(C410="Yes",5,0)</f>
        <v>0</v>
      </c>
    </row>
    <row r="354" spans="1:81" s="1222" customFormat="1" ht="11.85" customHeight="1">
      <c r="A354" s="1295"/>
      <c r="B354" s="1305"/>
      <c r="C354" s="2551"/>
      <c r="D354" s="2551"/>
      <c r="E354" s="2551"/>
      <c r="F354" s="2551"/>
      <c r="G354" s="2551"/>
      <c r="H354" s="2551"/>
      <c r="I354" s="2551"/>
      <c r="J354" s="2551"/>
      <c r="K354" s="2551"/>
      <c r="L354" s="2551"/>
      <c r="M354" s="2551"/>
      <c r="N354" s="2551"/>
      <c r="O354" s="2551"/>
      <c r="P354" s="2551"/>
      <c r="Q354" s="2551"/>
      <c r="R354" s="2551"/>
      <c r="S354" s="2551"/>
      <c r="T354" s="2551"/>
      <c r="U354" s="2551"/>
      <c r="V354" s="2551"/>
      <c r="W354" s="2551"/>
      <c r="X354" s="2551"/>
      <c r="Y354" s="2551"/>
      <c r="Z354" s="2551"/>
      <c r="AA354" s="2551"/>
      <c r="AB354" s="2551"/>
      <c r="AC354" s="2551"/>
      <c r="AD354" s="2551"/>
      <c r="AE354" s="2551"/>
      <c r="AF354" s="2551"/>
      <c r="AG354" s="2551"/>
      <c r="AH354" s="2551"/>
      <c r="AI354" s="2551"/>
      <c r="AJ354" s="2551"/>
      <c r="AK354" s="1295"/>
      <c r="AL354" s="1295"/>
      <c r="AM354" s="1295"/>
      <c r="AN354" s="1296"/>
      <c r="AO354" s="1421"/>
      <c r="AP354" s="1422">
        <f>IF(C412="Yes",3,0)</f>
        <v>0</v>
      </c>
    </row>
    <row r="355" spans="1:81" s="1222" customFormat="1" ht="12.6" customHeight="1">
      <c r="A355" s="1295"/>
      <c r="B355" s="1305"/>
      <c r="C355" s="2551"/>
      <c r="D355" s="2551"/>
      <c r="E355" s="2551"/>
      <c r="F355" s="2551"/>
      <c r="G355" s="2551"/>
      <c r="H355" s="2551"/>
      <c r="I355" s="2551"/>
      <c r="J355" s="2551"/>
      <c r="K355" s="2551"/>
      <c r="L355" s="2551"/>
      <c r="M355" s="2551"/>
      <c r="N355" s="2551"/>
      <c r="O355" s="2551"/>
      <c r="P355" s="2551"/>
      <c r="Q355" s="2551"/>
      <c r="R355" s="2551"/>
      <c r="S355" s="2551"/>
      <c r="T355" s="2551"/>
      <c r="U355" s="2551"/>
      <c r="V355" s="2551"/>
      <c r="W355" s="2551"/>
      <c r="X355" s="2551"/>
      <c r="Y355" s="2551"/>
      <c r="Z355" s="2551"/>
      <c r="AA355" s="2551"/>
      <c r="AB355" s="2551"/>
      <c r="AC355" s="2551"/>
      <c r="AD355" s="2551"/>
      <c r="AE355" s="2551"/>
      <c r="AF355" s="2551"/>
      <c r="AG355" s="2551"/>
      <c r="AH355" s="2551"/>
      <c r="AI355" s="2551"/>
      <c r="AJ355" s="2551"/>
      <c r="AK355" s="1295"/>
      <c r="AL355" s="1295"/>
      <c r="AM355" s="1295"/>
      <c r="AN355" s="1296"/>
      <c r="AO355" s="1423" t="s">
        <v>232</v>
      </c>
      <c r="AP355" s="1424">
        <f>SUM(AP346:AP354)</f>
        <v>10</v>
      </c>
      <c r="AQ355" s="2453">
        <f>IF(AP355&gt;0,AP355,0)</f>
        <v>10</v>
      </c>
      <c r="AR355" s="2453"/>
    </row>
    <row r="356" spans="1:81" s="1222" customFormat="1" ht="12.75" customHeight="1">
      <c r="A356" s="1295"/>
      <c r="B356" s="1305"/>
      <c r="C356" s="2551"/>
      <c r="D356" s="2551"/>
      <c r="E356" s="2551"/>
      <c r="F356" s="2551"/>
      <c r="G356" s="2551"/>
      <c r="H356" s="2551"/>
      <c r="I356" s="2551"/>
      <c r="J356" s="2551"/>
      <c r="K356" s="2551"/>
      <c r="L356" s="2551"/>
      <c r="M356" s="2551"/>
      <c r="N356" s="2551"/>
      <c r="O356" s="2551"/>
      <c r="P356" s="2551"/>
      <c r="Q356" s="2551"/>
      <c r="R356" s="2551"/>
      <c r="S356" s="2551"/>
      <c r="T356" s="2551"/>
      <c r="U356" s="2551"/>
      <c r="V356" s="2551"/>
      <c r="W356" s="2551"/>
      <c r="X356" s="2551"/>
      <c r="Y356" s="2551"/>
      <c r="Z356" s="2551"/>
      <c r="AA356" s="2551"/>
      <c r="AB356" s="2551"/>
      <c r="AC356" s="2551"/>
      <c r="AD356" s="2551"/>
      <c r="AE356" s="2551"/>
      <c r="AF356" s="2551"/>
      <c r="AG356" s="2551"/>
      <c r="AH356" s="2551"/>
      <c r="AI356" s="2551"/>
      <c r="AJ356" s="2551"/>
      <c r="AK356" s="1295"/>
      <c r="AL356" s="1295"/>
      <c r="AM356" s="1295"/>
      <c r="AN356" s="1296"/>
      <c r="AP356" s="1207"/>
    </row>
    <row r="357" spans="1:81" s="1222" customFormat="1" ht="12.75" customHeight="1">
      <c r="A357" s="1295"/>
      <c r="B357" s="1305"/>
      <c r="C357" s="1425"/>
      <c r="D357" s="1425"/>
      <c r="E357" s="1425"/>
      <c r="F357" s="1425"/>
      <c r="G357" s="1425"/>
      <c r="H357" s="1425"/>
      <c r="I357" s="1425"/>
      <c r="J357" s="1425"/>
      <c r="K357" s="1425"/>
      <c r="L357" s="1425"/>
      <c r="M357" s="1425"/>
      <c r="N357" s="1425"/>
      <c r="O357" s="1425"/>
      <c r="P357" s="1425"/>
      <c r="Q357" s="1425"/>
      <c r="R357" s="1425"/>
      <c r="S357" s="1425"/>
      <c r="T357" s="1425"/>
      <c r="U357" s="1425"/>
      <c r="V357" s="1425"/>
      <c r="W357" s="1425"/>
      <c r="X357" s="1425"/>
      <c r="Y357" s="1425"/>
      <c r="Z357" s="1425"/>
      <c r="AA357" s="1425"/>
      <c r="AB357" s="1425"/>
      <c r="AC357" s="1425"/>
      <c r="AD357" s="1425"/>
      <c r="AE357" s="1425"/>
      <c r="AF357" s="1425"/>
      <c r="AG357" s="1425"/>
      <c r="AH357" s="1425"/>
      <c r="AI357" s="1425"/>
      <c r="AJ357" s="1425"/>
      <c r="AK357" s="1295"/>
      <c r="AL357" s="1295"/>
      <c r="AM357" s="1295"/>
      <c r="AN357" s="1296"/>
      <c r="AO357" s="1419" t="s">
        <v>479</v>
      </c>
      <c r="AP357" s="1420">
        <f>IF(C419="Yes",5,0)</f>
        <v>0</v>
      </c>
    </row>
    <row r="358" spans="1:81" s="1222" customFormat="1" ht="12.75" customHeight="1">
      <c r="A358" s="1295"/>
      <c r="B358" s="1305"/>
      <c r="C358" s="2552" t="s">
        <v>1654</v>
      </c>
      <c r="D358" s="2552"/>
      <c r="E358" s="2552"/>
      <c r="F358" s="2552"/>
      <c r="G358" s="2552"/>
      <c r="H358" s="2552"/>
      <c r="I358" s="2552"/>
      <c r="J358" s="2552"/>
      <c r="K358" s="2552"/>
      <c r="L358" s="2552"/>
      <c r="M358" s="2552"/>
      <c r="N358" s="2552"/>
      <c r="O358" s="2552"/>
      <c r="P358" s="2552"/>
      <c r="Q358" s="2552"/>
      <c r="R358" s="2552"/>
      <c r="S358" s="2552"/>
      <c r="T358" s="2552"/>
      <c r="U358" s="2552"/>
      <c r="V358" s="2552"/>
      <c r="W358" s="2552"/>
      <c r="X358" s="2552"/>
      <c r="Y358" s="2552"/>
      <c r="Z358" s="2552"/>
      <c r="AA358" s="2552"/>
      <c r="AB358" s="2552"/>
      <c r="AC358" s="2552"/>
      <c r="AD358" s="2552"/>
      <c r="AE358" s="2552"/>
      <c r="AF358" s="2552"/>
      <c r="AG358" s="2552"/>
      <c r="AH358" s="2552"/>
      <c r="AI358" s="2552"/>
      <c r="AJ358" s="2552"/>
      <c r="AK358" s="1295"/>
      <c r="AL358" s="1295"/>
      <c r="AM358" s="1295"/>
      <c r="AN358" s="1296"/>
      <c r="AO358" s="1419" t="s">
        <v>480</v>
      </c>
      <c r="AP358" s="1420">
        <f>IF(C431="Yes",5,0)</f>
        <v>0</v>
      </c>
    </row>
    <row r="359" spans="1:81" s="1222" customFormat="1" ht="12.75" customHeight="1">
      <c r="A359" s="1295"/>
      <c r="B359" s="1305"/>
      <c r="C359" s="2552"/>
      <c r="D359" s="2552"/>
      <c r="E359" s="2552"/>
      <c r="F359" s="2552"/>
      <c r="G359" s="2552"/>
      <c r="H359" s="2552"/>
      <c r="I359" s="2552"/>
      <c r="J359" s="2552"/>
      <c r="K359" s="2552"/>
      <c r="L359" s="2552"/>
      <c r="M359" s="2552"/>
      <c r="N359" s="2552"/>
      <c r="O359" s="2552"/>
      <c r="P359" s="2552"/>
      <c r="Q359" s="2552"/>
      <c r="R359" s="2552"/>
      <c r="S359" s="2552"/>
      <c r="T359" s="2552"/>
      <c r="U359" s="2552"/>
      <c r="V359" s="2552"/>
      <c r="W359" s="2552"/>
      <c r="X359" s="2552"/>
      <c r="Y359" s="2552"/>
      <c r="Z359" s="2552"/>
      <c r="AA359" s="2552"/>
      <c r="AB359" s="2552"/>
      <c r="AC359" s="2552"/>
      <c r="AD359" s="2552"/>
      <c r="AE359" s="2552"/>
      <c r="AF359" s="2552"/>
      <c r="AG359" s="2552"/>
      <c r="AH359" s="2552"/>
      <c r="AI359" s="2552"/>
      <c r="AJ359" s="2552"/>
      <c r="AK359" s="1295"/>
      <c r="AL359" s="1295"/>
      <c r="AM359" s="1295"/>
      <c r="AN359" s="1296"/>
      <c r="AO359" s="1419" t="s">
        <v>485</v>
      </c>
      <c r="AP359" s="1420">
        <f>IF(C438="Yes",5,0)</f>
        <v>0</v>
      </c>
    </row>
    <row r="360" spans="1:81" s="1222" customFormat="1" ht="68.099999999999994" customHeight="1">
      <c r="A360" s="1295"/>
      <c r="B360" s="1305"/>
      <c r="C360" s="2552"/>
      <c r="D360" s="2552"/>
      <c r="E360" s="2552"/>
      <c r="F360" s="2552"/>
      <c r="G360" s="2552"/>
      <c r="H360" s="2552"/>
      <c r="I360" s="2552"/>
      <c r="J360" s="2552"/>
      <c r="K360" s="2552"/>
      <c r="L360" s="2552"/>
      <c r="M360" s="2552"/>
      <c r="N360" s="2552"/>
      <c r="O360" s="2552"/>
      <c r="P360" s="2552"/>
      <c r="Q360" s="2552"/>
      <c r="R360" s="2552"/>
      <c r="S360" s="2552"/>
      <c r="T360" s="2552"/>
      <c r="U360" s="2552"/>
      <c r="V360" s="2552"/>
      <c r="W360" s="2552"/>
      <c r="X360" s="2552"/>
      <c r="Y360" s="2552"/>
      <c r="Z360" s="2552"/>
      <c r="AA360" s="2552"/>
      <c r="AB360" s="2552"/>
      <c r="AC360" s="2552"/>
      <c r="AD360" s="2552"/>
      <c r="AE360" s="2552"/>
      <c r="AF360" s="2552"/>
      <c r="AG360" s="2552"/>
      <c r="AH360" s="2552"/>
      <c r="AI360" s="2552"/>
      <c r="AJ360" s="2552"/>
      <c r="AK360" s="1295"/>
      <c r="AL360" s="1295"/>
      <c r="AM360" s="1295"/>
      <c r="AN360" s="1296"/>
      <c r="AO360" s="1419" t="s">
        <v>671</v>
      </c>
      <c r="AP360" s="1426">
        <f>IF(C442="Yes",5,0)</f>
        <v>0</v>
      </c>
    </row>
    <row r="361" spans="1:81" s="1222" customFormat="1" ht="12.6" customHeight="1">
      <c r="A361" s="1295"/>
      <c r="B361" s="1305"/>
      <c r="C361" s="1222" t="s">
        <v>1655</v>
      </c>
      <c r="AF361" s="1295"/>
      <c r="AG361" s="1295"/>
      <c r="AH361" s="1295"/>
      <c r="AI361" s="1295"/>
      <c r="AJ361" s="1295"/>
      <c r="AK361" s="1295"/>
      <c r="AL361" s="1295"/>
      <c r="AM361" s="1295"/>
      <c r="AN361" s="1296"/>
      <c r="AO361" s="1419" t="s">
        <v>368</v>
      </c>
      <c r="AP361" s="1420">
        <f>IF(C446="Yes",5,0)</f>
        <v>0</v>
      </c>
    </row>
    <row r="362" spans="1:81" s="1222" customFormat="1" ht="12.75" customHeight="1">
      <c r="A362" s="1295"/>
      <c r="B362" s="1305"/>
      <c r="C362" s="1427" t="s">
        <v>1656</v>
      </c>
      <c r="D362" s="1428"/>
      <c r="E362" s="1428"/>
      <c r="F362" s="1428"/>
      <c r="G362" s="1428"/>
      <c r="H362" s="1428"/>
      <c r="I362" s="1428"/>
      <c r="J362" s="1428"/>
      <c r="K362" s="1428"/>
      <c r="L362" s="1428"/>
      <c r="M362" s="1429"/>
      <c r="N362" s="1429"/>
      <c r="O362" s="1430"/>
      <c r="P362" s="1428"/>
      <c r="Q362" s="1428"/>
      <c r="R362" s="1429"/>
      <c r="S362" s="1429"/>
      <c r="T362" s="1428"/>
      <c r="U362" s="2548">
        <f>Application!CS663-U363</f>
        <v>125</v>
      </c>
      <c r="V362" s="2548"/>
      <c r="W362" s="2548"/>
      <c r="X362" s="1428"/>
      <c r="Y362" s="1428"/>
      <c r="Z362" s="1428"/>
      <c r="AA362" s="1431"/>
      <c r="AB362" s="1432"/>
      <c r="AC362" s="1432"/>
      <c r="AD362" s="1432"/>
      <c r="AE362" s="1295"/>
      <c r="AF362" s="1295"/>
      <c r="AG362" s="1295"/>
      <c r="AH362" s="1295"/>
      <c r="AI362" s="1295"/>
      <c r="AJ362" s="1295"/>
      <c r="AK362" s="1295"/>
      <c r="AL362" s="1295"/>
      <c r="AM362" s="1295"/>
      <c r="AN362" s="1296"/>
      <c r="AO362" s="1419" t="s">
        <v>369</v>
      </c>
      <c r="AP362" s="1420">
        <f>IF(C455="Yes",5,0)</f>
        <v>0</v>
      </c>
    </row>
    <row r="363" spans="1:81" s="1222" customFormat="1" ht="12.75" customHeight="1">
      <c r="A363" s="1295"/>
      <c r="B363" s="1305"/>
      <c r="C363" s="1433" t="s">
        <v>1657</v>
      </c>
      <c r="D363" s="1418"/>
      <c r="E363" s="1418"/>
      <c r="F363" s="1418"/>
      <c r="G363" s="1418"/>
      <c r="H363" s="1418"/>
      <c r="I363" s="1418"/>
      <c r="J363" s="1418"/>
      <c r="K363" s="1418"/>
      <c r="L363" s="1418"/>
      <c r="M363" s="1418"/>
      <c r="N363" s="1418"/>
      <c r="O363" s="1418"/>
      <c r="P363" s="1418"/>
      <c r="Q363" s="1418"/>
      <c r="R363" s="1418"/>
      <c r="S363" s="1418"/>
      <c r="T363" s="1418"/>
      <c r="U363" s="2549">
        <f>Application!AG756</f>
        <v>16</v>
      </c>
      <c r="V363" s="2549"/>
      <c r="W363" s="2549"/>
      <c r="X363" s="1418"/>
      <c r="Y363" s="1418"/>
      <c r="Z363" s="1418"/>
      <c r="AA363" s="1434"/>
      <c r="AC363" s="1435"/>
      <c r="AD363" s="1435"/>
      <c r="AE363" s="1295"/>
      <c r="AF363" s="1295"/>
      <c r="AG363" s="1295"/>
      <c r="AH363" s="1295"/>
      <c r="AI363" s="1295"/>
      <c r="AJ363" s="1295"/>
      <c r="AK363" s="1295"/>
      <c r="AL363" s="1295"/>
      <c r="AM363" s="1295"/>
      <c r="AN363" s="1296"/>
      <c r="AO363" s="1421"/>
      <c r="AP363" s="1422"/>
    </row>
    <row r="364" spans="1:81" s="1222" customFormat="1" ht="12.75" customHeight="1">
      <c r="A364" s="1295"/>
      <c r="B364" s="1305"/>
      <c r="C364" s="1382"/>
      <c r="U364" s="1436"/>
      <c r="V364" s="1436"/>
      <c r="W364" s="1436"/>
      <c r="AC364" s="1435"/>
      <c r="AD364" s="1435"/>
      <c r="AE364" s="1295"/>
      <c r="AF364" s="1295"/>
      <c r="AG364" s="1295"/>
      <c r="AH364" s="1295"/>
      <c r="AI364" s="1295"/>
      <c r="AJ364" s="1295"/>
      <c r="AK364" s="1295"/>
      <c r="AL364" s="1295"/>
      <c r="AM364" s="1295"/>
      <c r="AN364" s="1296"/>
      <c r="AO364" s="1437" t="s">
        <v>232</v>
      </c>
      <c r="AP364" s="1438">
        <f>SUM(AP357:AP362)</f>
        <v>0</v>
      </c>
      <c r="AQ364" s="2453">
        <f>IF(AP364&gt;0,AP364,0)</f>
        <v>0</v>
      </c>
      <c r="AR364" s="2453"/>
    </row>
    <row r="365" spans="1:81" s="1222" customFormat="1" ht="12.75" customHeight="1">
      <c r="A365" s="1295"/>
      <c r="B365" s="1205"/>
      <c r="C365" s="1439" t="s">
        <v>1658</v>
      </c>
      <c r="D365" s="1295"/>
      <c r="E365" s="1295"/>
      <c r="F365" s="1295"/>
      <c r="G365" s="1295"/>
      <c r="H365" s="1295"/>
      <c r="I365" s="1295"/>
      <c r="J365" s="1295"/>
      <c r="K365" s="1295"/>
      <c r="L365" s="1295"/>
      <c r="M365" s="1295"/>
      <c r="N365" s="1295"/>
      <c r="O365" s="1295"/>
      <c r="P365" s="1295"/>
      <c r="Q365" s="1295"/>
      <c r="R365" s="1295"/>
      <c r="S365" s="1295"/>
      <c r="T365" s="1295"/>
      <c r="U365" s="1295"/>
      <c r="V365" s="1295"/>
      <c r="W365" s="1295"/>
      <c r="X365" s="1295"/>
      <c r="Y365" s="1295"/>
      <c r="Z365" s="1295"/>
      <c r="AA365" s="1295"/>
      <c r="AB365" s="1295"/>
      <c r="AC365" s="1295"/>
      <c r="AD365" s="1295"/>
      <c r="AE365" s="1295"/>
      <c r="AF365" s="1295"/>
      <c r="AG365" s="1295"/>
      <c r="AH365" s="1295"/>
      <c r="AI365" s="1295"/>
      <c r="AJ365" s="1295"/>
      <c r="AK365" s="1295"/>
      <c r="AL365" s="1295"/>
      <c r="AM365" s="1295"/>
      <c r="AN365" s="1296"/>
      <c r="BS365" s="1204"/>
      <c r="BT365" s="1204"/>
      <c r="BU365" s="1205"/>
      <c r="BV365" s="1205"/>
      <c r="BW365" s="1205"/>
    </row>
    <row r="366" spans="1:81" s="1222" customFormat="1" ht="12.75" customHeight="1">
      <c r="A366" s="1207"/>
      <c r="B366" s="1205"/>
      <c r="C366" s="1440"/>
      <c r="D366" s="1441"/>
      <c r="E366" s="1442" t="s">
        <v>1506</v>
      </c>
      <c r="F366" s="2541" t="s">
        <v>1659</v>
      </c>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1443"/>
      <c r="AH366" s="1443"/>
      <c r="AI366" s="1443"/>
      <c r="AJ366" s="1443"/>
      <c r="AK366" s="1443"/>
      <c r="AL366" s="1444"/>
      <c r="AM366" s="1207"/>
      <c r="AN366" s="1296"/>
      <c r="AP366" s="1207"/>
      <c r="BS366" s="1204"/>
      <c r="BT366" s="1204"/>
      <c r="BU366" s="1205"/>
      <c r="BV366" s="1205"/>
      <c r="BW366" s="1205"/>
      <c r="BX366" s="1205"/>
      <c r="BY366" s="1205"/>
      <c r="BZ366" s="1205"/>
      <c r="CA366" s="1205"/>
      <c r="CB366" s="1205"/>
      <c r="CC366" s="1205"/>
    </row>
    <row r="367" spans="1:81" s="1222" customFormat="1" ht="12.75" customHeight="1">
      <c r="A367" s="1207"/>
      <c r="B367" s="1205"/>
      <c r="C367" s="1445"/>
      <c r="D367" s="1207"/>
      <c r="E367" s="1446"/>
      <c r="F367" s="2528"/>
      <c r="G367" s="2528"/>
      <c r="H367" s="2528"/>
      <c r="I367" s="2528"/>
      <c r="J367" s="2528"/>
      <c r="K367" s="2528"/>
      <c r="L367" s="2528"/>
      <c r="M367" s="2528"/>
      <c r="N367" s="2528"/>
      <c r="O367" s="2528"/>
      <c r="P367" s="2528"/>
      <c r="Q367" s="2528"/>
      <c r="R367" s="2528"/>
      <c r="S367" s="2528"/>
      <c r="T367" s="2528"/>
      <c r="U367" s="2528"/>
      <c r="V367" s="2528"/>
      <c r="W367" s="2528"/>
      <c r="X367" s="2528"/>
      <c r="Y367" s="2528"/>
      <c r="Z367" s="2528"/>
      <c r="AA367" s="2528"/>
      <c r="AB367" s="2528"/>
      <c r="AC367" s="2528"/>
      <c r="AD367" s="2528"/>
      <c r="AE367" s="2528"/>
      <c r="AF367" s="2528"/>
      <c r="AG367" s="1210"/>
      <c r="AH367" s="1210"/>
      <c r="AI367" s="1210"/>
      <c r="AJ367" s="1210"/>
      <c r="AK367" s="1210"/>
      <c r="AL367" s="1447"/>
      <c r="AM367" s="1207"/>
      <c r="AN367" s="1296"/>
      <c r="AP367" s="1207"/>
      <c r="BS367" s="1204"/>
      <c r="BT367" s="1204"/>
      <c r="BU367" s="1205"/>
      <c r="BV367" s="1205"/>
      <c r="BW367" s="1205"/>
      <c r="BX367" s="1205"/>
      <c r="BY367" s="1205"/>
      <c r="BZ367" s="1205"/>
      <c r="CA367" s="1205"/>
      <c r="CB367" s="1205"/>
      <c r="CC367" s="1205"/>
    </row>
    <row r="368" spans="1:81" s="1222" customFormat="1" ht="12.75" customHeight="1">
      <c r="A368" s="1207"/>
      <c r="B368" s="1205"/>
      <c r="C368" s="1445"/>
      <c r="D368" s="1207"/>
      <c r="E368" s="1446"/>
      <c r="F368" s="2528"/>
      <c r="G368" s="2528"/>
      <c r="H368" s="2528"/>
      <c r="I368" s="2528"/>
      <c r="J368" s="2528"/>
      <c r="K368" s="2528"/>
      <c r="L368" s="2528"/>
      <c r="M368" s="2528"/>
      <c r="N368" s="2528"/>
      <c r="O368" s="2528"/>
      <c r="P368" s="2528"/>
      <c r="Q368" s="2528"/>
      <c r="R368" s="2528"/>
      <c r="S368" s="2528"/>
      <c r="T368" s="2528"/>
      <c r="U368" s="2528"/>
      <c r="V368" s="2528"/>
      <c r="W368" s="2528"/>
      <c r="X368" s="2528"/>
      <c r="Y368" s="2528"/>
      <c r="Z368" s="2528"/>
      <c r="AA368" s="2528"/>
      <c r="AB368" s="2528"/>
      <c r="AC368" s="2528"/>
      <c r="AD368" s="2528"/>
      <c r="AE368" s="2528"/>
      <c r="AF368" s="2528"/>
      <c r="AG368" s="1210"/>
      <c r="AH368" s="1210"/>
      <c r="AI368" s="1210"/>
      <c r="AJ368" s="1210"/>
      <c r="AK368" s="1210"/>
      <c r="AL368" s="1447"/>
      <c r="AM368" s="1207"/>
      <c r="AN368" s="1296"/>
      <c r="BS368" s="1204"/>
      <c r="BT368" s="1204"/>
      <c r="BU368" s="1205"/>
      <c r="BV368" s="1205"/>
      <c r="BW368" s="1205"/>
      <c r="BX368" s="1205"/>
      <c r="BY368" s="1205"/>
      <c r="BZ368" s="1205"/>
      <c r="CA368" s="1205"/>
      <c r="CB368" s="1205"/>
      <c r="CC368" s="1205"/>
    </row>
    <row r="369" spans="1:81" s="1222" customFormat="1" ht="12.75" customHeight="1">
      <c r="A369" s="1207"/>
      <c r="B369" s="1205"/>
      <c r="C369" s="1445"/>
      <c r="D369" s="1207"/>
      <c r="E369" s="1446"/>
      <c r="F369" s="2528"/>
      <c r="G369" s="2528"/>
      <c r="H369" s="2528"/>
      <c r="I369" s="2528"/>
      <c r="J369" s="2528"/>
      <c r="K369" s="2528"/>
      <c r="L369" s="2528"/>
      <c r="M369" s="2528"/>
      <c r="N369" s="2528"/>
      <c r="O369" s="2528"/>
      <c r="P369" s="2528"/>
      <c r="Q369" s="2528"/>
      <c r="R369" s="2528"/>
      <c r="S369" s="2528"/>
      <c r="T369" s="2528"/>
      <c r="U369" s="2528"/>
      <c r="V369" s="2528"/>
      <c r="W369" s="2528"/>
      <c r="X369" s="2528"/>
      <c r="Y369" s="2528"/>
      <c r="Z369" s="2528"/>
      <c r="AA369" s="2528"/>
      <c r="AB369" s="2528"/>
      <c r="AC369" s="2528"/>
      <c r="AD369" s="2528"/>
      <c r="AE369" s="2528"/>
      <c r="AF369" s="2528"/>
      <c r="AG369" s="1210"/>
      <c r="AH369" s="1210"/>
      <c r="AI369" s="1210"/>
      <c r="AJ369" s="1210"/>
      <c r="AK369" s="1210"/>
      <c r="AL369" s="1447"/>
      <c r="AM369" s="1207"/>
      <c r="AN369" s="1296"/>
      <c r="BS369" s="1204"/>
      <c r="BT369" s="1204"/>
      <c r="BU369" s="1205"/>
      <c r="BV369" s="1205"/>
      <c r="BW369" s="1205"/>
      <c r="BX369" s="1205"/>
      <c r="BY369" s="1205"/>
      <c r="BZ369" s="1205"/>
      <c r="CA369" s="1205"/>
      <c r="CB369" s="1205"/>
      <c r="CC369" s="1205"/>
    </row>
    <row r="370" spans="1:81" s="1222" customFormat="1" ht="12.75" customHeight="1">
      <c r="A370" s="1207"/>
      <c r="B370" s="1205"/>
      <c r="C370" s="2540" t="s">
        <v>569</v>
      </c>
      <c r="D370" s="2482"/>
      <c r="E370" s="1446"/>
      <c r="F370" s="1448" t="s">
        <v>1660</v>
      </c>
      <c r="G370" s="1295"/>
      <c r="H370" s="1295"/>
      <c r="I370" s="1295"/>
      <c r="J370" s="1295"/>
      <c r="K370" s="1295"/>
      <c r="L370" s="1295"/>
      <c r="M370" s="1295"/>
      <c r="N370" s="1295"/>
      <c r="O370" s="1295"/>
      <c r="P370" s="1295"/>
      <c r="Q370" s="1295"/>
      <c r="R370" s="1295"/>
      <c r="S370" s="1295"/>
      <c r="T370" s="1295"/>
      <c r="U370" s="1295"/>
      <c r="V370" s="1295"/>
      <c r="W370" s="1295"/>
      <c r="X370" s="1295"/>
      <c r="Y370" s="1295"/>
      <c r="Z370" s="1295"/>
      <c r="AA370" s="1295"/>
      <c r="AB370" s="1295"/>
      <c r="AC370" s="1295"/>
      <c r="AD370" s="1295"/>
      <c r="AF370" s="2468" t="s">
        <v>1661</v>
      </c>
      <c r="AG370" s="2468"/>
      <c r="AH370" s="2468"/>
      <c r="AI370" s="2468"/>
      <c r="AJ370" s="2468"/>
      <c r="AK370" s="2468"/>
      <c r="AL370" s="2544"/>
      <c r="AM370" s="1449"/>
      <c r="BS370" s="1204"/>
      <c r="BT370" s="1204"/>
      <c r="BU370" s="1205"/>
      <c r="BV370" s="1205"/>
      <c r="BW370" s="1205"/>
      <c r="BX370" s="1205"/>
      <c r="BY370" s="1205"/>
      <c r="BZ370" s="1205"/>
      <c r="CA370" s="1205"/>
      <c r="CB370" s="1205"/>
      <c r="CC370" s="1205"/>
    </row>
    <row r="371" spans="1:81" s="1222" customFormat="1" ht="12.75" customHeight="1">
      <c r="A371" s="1207"/>
      <c r="B371" s="1205"/>
      <c r="C371" s="1450"/>
      <c r="D371" s="1451"/>
      <c r="E371" s="1452"/>
      <c r="F371" s="1453"/>
      <c r="G371" s="1454"/>
      <c r="H371" s="1454"/>
      <c r="I371" s="1454"/>
      <c r="J371" s="1454"/>
      <c r="K371" s="1454"/>
      <c r="L371" s="1454"/>
      <c r="M371" s="1454"/>
      <c r="N371" s="1454"/>
      <c r="O371" s="1454"/>
      <c r="P371" s="1454"/>
      <c r="Q371" s="1454"/>
      <c r="R371" s="1454"/>
      <c r="S371" s="1454"/>
      <c r="T371" s="1454"/>
      <c r="U371" s="1454"/>
      <c r="V371" s="1454"/>
      <c r="W371" s="1454"/>
      <c r="X371" s="1454"/>
      <c r="Y371" s="1454"/>
      <c r="Z371" s="1454"/>
      <c r="AA371" s="1454"/>
      <c r="AB371" s="1454"/>
      <c r="AC371" s="1454"/>
      <c r="AD371" s="1454"/>
      <c r="AE371" s="1455"/>
      <c r="AF371" s="1455"/>
      <c r="AG371" s="1455"/>
      <c r="AH371" s="1455"/>
      <c r="AI371" s="1455"/>
      <c r="AJ371" s="1455"/>
      <c r="AK371" s="1455"/>
      <c r="AL371" s="1456"/>
      <c r="AM371" s="1457"/>
      <c r="AN371" s="1296"/>
      <c r="CC371" s="1205"/>
    </row>
    <row r="372" spans="1:81" s="1222" customFormat="1" ht="12.75" customHeight="1">
      <c r="A372" s="1207"/>
      <c r="B372" s="1205"/>
      <c r="C372" s="1267"/>
      <c r="D372" s="1267"/>
      <c r="E372" s="1446"/>
      <c r="F372" s="1294"/>
      <c r="G372" s="1294"/>
      <c r="H372" s="1294"/>
      <c r="I372" s="1294"/>
      <c r="J372" s="1294"/>
      <c r="K372" s="1294"/>
      <c r="L372" s="1294"/>
      <c r="M372" s="1294"/>
      <c r="N372" s="1294"/>
      <c r="O372" s="1294"/>
      <c r="P372" s="1294"/>
      <c r="Q372" s="1294"/>
      <c r="R372" s="1294"/>
      <c r="S372" s="1294"/>
      <c r="T372" s="1294"/>
      <c r="U372" s="1294"/>
      <c r="V372" s="1294"/>
      <c r="W372" s="1294"/>
      <c r="X372" s="1294"/>
      <c r="Y372" s="1294"/>
      <c r="Z372" s="1294"/>
      <c r="AA372" s="1294"/>
      <c r="AB372" s="1294"/>
      <c r="AC372" s="1294"/>
      <c r="AD372" s="1294"/>
      <c r="AE372" s="1286"/>
      <c r="AF372" s="1286"/>
      <c r="AG372" s="1286"/>
      <c r="AH372" s="1286"/>
      <c r="AI372" s="1286"/>
      <c r="AJ372" s="1286"/>
      <c r="AK372" s="1286"/>
      <c r="AL372" s="1286"/>
      <c r="AM372" s="1207"/>
      <c r="AN372" s="1296"/>
      <c r="BS372" s="1204"/>
      <c r="BT372" s="1204"/>
      <c r="BU372" s="1205"/>
      <c r="BV372" s="1205"/>
      <c r="BW372" s="1205"/>
      <c r="BX372" s="1205"/>
      <c r="BY372" s="1205"/>
      <c r="BZ372" s="1205"/>
      <c r="CA372" s="1205"/>
      <c r="CB372" s="1205"/>
      <c r="CC372" s="1205"/>
    </row>
    <row r="373" spans="1:81" s="1222" customFormat="1" ht="12.75" customHeight="1">
      <c r="A373" s="1207"/>
      <c r="B373" s="1205"/>
      <c r="C373" s="1440"/>
      <c r="D373" s="1441"/>
      <c r="E373" s="1442" t="s">
        <v>1508</v>
      </c>
      <c r="F373" s="2541" t="s">
        <v>1662</v>
      </c>
      <c r="G373" s="2541"/>
      <c r="H373" s="2541"/>
      <c r="I373" s="2541"/>
      <c r="J373" s="2541"/>
      <c r="K373" s="2541"/>
      <c r="L373" s="2541"/>
      <c r="M373" s="2541"/>
      <c r="N373" s="2541"/>
      <c r="O373" s="2541"/>
      <c r="P373" s="2541"/>
      <c r="Q373" s="2541"/>
      <c r="R373" s="2541"/>
      <c r="S373" s="2541"/>
      <c r="T373" s="2541"/>
      <c r="U373" s="2541"/>
      <c r="V373" s="2541"/>
      <c r="W373" s="2541"/>
      <c r="X373" s="2541"/>
      <c r="Y373" s="2541"/>
      <c r="Z373" s="2541"/>
      <c r="AA373" s="2541"/>
      <c r="AB373" s="2541"/>
      <c r="AC373" s="2541"/>
      <c r="AD373" s="2541"/>
      <c r="AE373" s="2541"/>
      <c r="AF373" s="2541"/>
      <c r="AG373" s="1443"/>
      <c r="AH373" s="1443"/>
      <c r="AI373" s="1443"/>
      <c r="AJ373" s="1443"/>
      <c r="AK373" s="1443"/>
      <c r="AL373" s="1444"/>
      <c r="AM373" s="1207"/>
      <c r="AN373" s="1296"/>
      <c r="BS373" s="1204"/>
      <c r="BT373" s="1204"/>
      <c r="BU373" s="1205"/>
      <c r="BV373" s="1205"/>
      <c r="BW373" s="1205"/>
      <c r="BX373" s="1205"/>
      <c r="BY373" s="1205"/>
      <c r="BZ373" s="1205"/>
      <c r="CA373" s="1205"/>
      <c r="CB373" s="1205"/>
      <c r="CC373" s="1205"/>
    </row>
    <row r="374" spans="1:81" s="1222" customFormat="1" ht="12.75" customHeight="1">
      <c r="A374" s="1207"/>
      <c r="B374" s="1205"/>
      <c r="C374" s="1458"/>
      <c r="D374" s="1205"/>
      <c r="E374" s="1459"/>
      <c r="F374" s="2528"/>
      <c r="G374" s="2528"/>
      <c r="H374" s="2528"/>
      <c r="I374" s="2528"/>
      <c r="J374" s="2528"/>
      <c r="K374" s="2528"/>
      <c r="L374" s="2528"/>
      <c r="M374" s="2528"/>
      <c r="N374" s="2528"/>
      <c r="O374" s="2528"/>
      <c r="P374" s="2528"/>
      <c r="Q374" s="2528"/>
      <c r="R374" s="2528"/>
      <c r="S374" s="2528"/>
      <c r="T374" s="2528"/>
      <c r="U374" s="2528"/>
      <c r="V374" s="2528"/>
      <c r="W374" s="2528"/>
      <c r="X374" s="2528"/>
      <c r="Y374" s="2528"/>
      <c r="Z374" s="2528"/>
      <c r="AA374" s="2528"/>
      <c r="AB374" s="2528"/>
      <c r="AC374" s="2528"/>
      <c r="AD374" s="2528"/>
      <c r="AE374" s="2528"/>
      <c r="AF374" s="2528"/>
      <c r="AG374" s="1210"/>
      <c r="AH374" s="1210"/>
      <c r="AI374" s="1210"/>
      <c r="AJ374" s="1210"/>
      <c r="AK374" s="1210"/>
      <c r="AL374" s="1447"/>
      <c r="AM374" s="1207"/>
      <c r="AN374" s="1296"/>
      <c r="BS374" s="1204"/>
      <c r="BT374" s="1204"/>
      <c r="BU374" s="1205"/>
      <c r="BV374" s="1205"/>
      <c r="BW374" s="1205"/>
      <c r="BX374" s="1205"/>
      <c r="BY374" s="1205"/>
      <c r="BZ374" s="1205"/>
      <c r="CA374" s="1205"/>
      <c r="CB374" s="1205"/>
      <c r="CC374" s="1205"/>
    </row>
    <row r="375" spans="1:81" s="1222" customFormat="1" ht="12.75" customHeight="1">
      <c r="A375" s="1207"/>
      <c r="B375" s="1205"/>
      <c r="C375" s="1458"/>
      <c r="D375" s="1205"/>
      <c r="E375" s="1459"/>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1210"/>
      <c r="AH375" s="1210"/>
      <c r="AI375" s="1210"/>
      <c r="AJ375" s="1210"/>
      <c r="AK375" s="1210"/>
      <c r="AL375" s="1447"/>
      <c r="AM375" s="1207"/>
      <c r="AN375" s="1296"/>
      <c r="BS375" s="1204"/>
      <c r="BT375" s="1204"/>
      <c r="BU375" s="1205"/>
      <c r="BV375" s="1205"/>
      <c r="BW375" s="1205"/>
      <c r="BX375" s="1205"/>
      <c r="BY375" s="1205"/>
      <c r="BZ375" s="1205"/>
      <c r="CA375" s="1205"/>
      <c r="CB375" s="1205"/>
      <c r="CC375" s="1205"/>
    </row>
    <row r="376" spans="1:81" s="1222" customFormat="1" ht="12.75" customHeight="1">
      <c r="A376" s="1207"/>
      <c r="B376" s="1205"/>
      <c r="C376" s="1458"/>
      <c r="D376" s="1205"/>
      <c r="E376" s="1459"/>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1210"/>
      <c r="AH376" s="1210"/>
      <c r="AI376" s="1210"/>
      <c r="AJ376" s="1210"/>
      <c r="AK376" s="1210"/>
      <c r="AL376" s="1447"/>
      <c r="AM376" s="1207"/>
      <c r="AN376" s="1296"/>
      <c r="BS376" s="1204"/>
      <c r="BT376" s="1204"/>
      <c r="BU376" s="1205"/>
      <c r="BV376" s="1205"/>
      <c r="BW376" s="1205"/>
      <c r="BX376" s="1205"/>
      <c r="BY376" s="1205"/>
      <c r="BZ376" s="1205"/>
      <c r="CA376" s="1205"/>
      <c r="CB376" s="1205"/>
      <c r="CC376" s="1205"/>
    </row>
    <row r="377" spans="1:81" s="1222" customFormat="1" ht="12.75" customHeight="1">
      <c r="A377" s="1207"/>
      <c r="B377" s="1205"/>
      <c r="C377" s="1458"/>
      <c r="D377" s="1205"/>
      <c r="E377" s="1459"/>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L377" s="1460"/>
      <c r="AN377" s="1296"/>
      <c r="BS377" s="1204"/>
      <c r="BT377" s="1204"/>
      <c r="BU377" s="1205"/>
      <c r="BV377" s="1205"/>
      <c r="BW377" s="1205"/>
      <c r="BX377" s="1205"/>
      <c r="BY377" s="1205"/>
      <c r="BZ377" s="1205"/>
      <c r="CA377" s="1205"/>
      <c r="CB377" s="1205"/>
      <c r="CC377" s="1205"/>
    </row>
    <row r="378" spans="1:81" s="1222" customFormat="1" ht="12.75" customHeight="1">
      <c r="A378" s="1207"/>
      <c r="B378" s="1205"/>
      <c r="C378" s="2540" t="s">
        <v>616</v>
      </c>
      <c r="D378" s="2482"/>
      <c r="E378" s="1459"/>
      <c r="F378" s="1448" t="s">
        <v>1663</v>
      </c>
      <c r="G378" s="1295"/>
      <c r="H378" s="1295"/>
      <c r="I378" s="1295"/>
      <c r="J378" s="1295"/>
      <c r="K378" s="1295"/>
      <c r="L378" s="1295"/>
      <c r="M378" s="1295"/>
      <c r="N378" s="1295"/>
      <c r="O378" s="1295"/>
      <c r="P378" s="1295"/>
      <c r="Q378" s="1295"/>
      <c r="R378" s="1295"/>
      <c r="S378" s="1295"/>
      <c r="T378" s="1295"/>
      <c r="U378" s="1295"/>
      <c r="V378" s="1295"/>
      <c r="W378" s="1295"/>
      <c r="X378" s="1295"/>
      <c r="Y378" s="1295"/>
      <c r="Z378" s="1295"/>
      <c r="AA378" s="1295"/>
      <c r="AB378" s="1295"/>
      <c r="AC378" s="1295"/>
      <c r="AD378" s="1295"/>
      <c r="AF378" s="2468" t="s">
        <v>1661</v>
      </c>
      <c r="AG378" s="2468"/>
      <c r="AH378" s="2468"/>
      <c r="AI378" s="2468"/>
      <c r="AJ378" s="2468"/>
      <c r="AK378" s="2468"/>
      <c r="AL378" s="2544"/>
      <c r="AM378" s="1457"/>
      <c r="AN378" s="1296"/>
      <c r="BS378" s="1204"/>
      <c r="BT378" s="1204"/>
      <c r="BU378" s="1205"/>
      <c r="BV378" s="1205"/>
      <c r="BW378" s="1205"/>
      <c r="BX378" s="1205"/>
      <c r="BY378" s="1205"/>
      <c r="BZ378" s="1205"/>
      <c r="CA378" s="1205"/>
      <c r="CB378" s="1205"/>
      <c r="CC378" s="1205"/>
    </row>
    <row r="379" spans="1:81" s="1222" customFormat="1" ht="12.75" customHeight="1">
      <c r="A379" s="1207"/>
      <c r="B379" s="1205"/>
      <c r="C379" s="1461"/>
      <c r="D379" s="1462"/>
      <c r="E379" s="1463"/>
      <c r="F379" s="1464"/>
      <c r="G379" s="1465"/>
      <c r="H379" s="1465"/>
      <c r="I379" s="1465"/>
      <c r="J379" s="1465"/>
      <c r="K379" s="1465"/>
      <c r="L379" s="1465"/>
      <c r="M379" s="1465"/>
      <c r="N379" s="1465"/>
      <c r="O379" s="1465"/>
      <c r="P379" s="1465"/>
      <c r="Q379" s="1465"/>
      <c r="R379" s="1465"/>
      <c r="S379" s="1465"/>
      <c r="T379" s="1465"/>
      <c r="U379" s="1465"/>
      <c r="V379" s="1465"/>
      <c r="W379" s="1465"/>
      <c r="X379" s="1465"/>
      <c r="Y379" s="1465"/>
      <c r="Z379" s="1465"/>
      <c r="AA379" s="1465"/>
      <c r="AB379" s="1465"/>
      <c r="AC379" s="1465"/>
      <c r="AD379" s="1465"/>
      <c r="AE379" s="1343"/>
      <c r="AF379" s="1261"/>
      <c r="AG379" s="1343"/>
      <c r="AH379" s="1455"/>
      <c r="AI379" s="1455"/>
      <c r="AJ379" s="1455"/>
      <c r="AK379" s="1455"/>
      <c r="AL379" s="1466"/>
      <c r="AM379" s="1457"/>
      <c r="AN379" s="1296"/>
      <c r="BS379" s="1204"/>
      <c r="BT379" s="1204"/>
      <c r="BU379" s="1205"/>
      <c r="BV379" s="1205"/>
      <c r="BW379" s="1205"/>
      <c r="BX379" s="1205"/>
      <c r="BY379" s="1205"/>
      <c r="BZ379" s="1205"/>
      <c r="CA379" s="1205"/>
      <c r="CB379" s="1205"/>
      <c r="CC379" s="1205"/>
    </row>
    <row r="380" spans="1:81" s="1222" customFormat="1" ht="12.75" customHeight="1">
      <c r="A380" s="1207"/>
      <c r="B380" s="1205"/>
      <c r="C380" s="1205"/>
      <c r="D380" s="1205"/>
      <c r="E380" s="1459"/>
      <c r="F380" s="1294"/>
      <c r="G380" s="1294"/>
      <c r="H380" s="1294"/>
      <c r="I380" s="1294"/>
      <c r="J380" s="1294"/>
      <c r="K380" s="1294"/>
      <c r="L380" s="1294"/>
      <c r="M380" s="1294"/>
      <c r="N380" s="1294"/>
      <c r="O380" s="1294"/>
      <c r="P380" s="1294"/>
      <c r="Q380" s="1294"/>
      <c r="R380" s="1294"/>
      <c r="S380" s="1294"/>
      <c r="T380" s="1294"/>
      <c r="U380" s="1294"/>
      <c r="V380" s="1294"/>
      <c r="W380" s="1294"/>
      <c r="X380" s="1294"/>
      <c r="Y380" s="1294"/>
      <c r="Z380" s="1294"/>
      <c r="AA380" s="1294"/>
      <c r="AB380" s="1294"/>
      <c r="AC380" s="1294"/>
      <c r="AD380" s="1294"/>
      <c r="AE380" s="1207"/>
      <c r="AF380" s="1210"/>
      <c r="AG380" s="1207"/>
      <c r="AM380" s="1207"/>
      <c r="AN380" s="1296"/>
      <c r="BS380" s="1204"/>
      <c r="BT380" s="1204"/>
      <c r="BU380" s="1205"/>
      <c r="BV380" s="1205"/>
      <c r="BW380" s="1205"/>
      <c r="BX380" s="1205"/>
      <c r="BY380" s="1205"/>
      <c r="BZ380" s="1205"/>
      <c r="CA380" s="1205"/>
      <c r="CB380" s="1205"/>
      <c r="CC380" s="1205"/>
    </row>
    <row r="381" spans="1:81" s="1222" customFormat="1" ht="12.75" customHeight="1">
      <c r="A381" s="1207"/>
      <c r="B381" s="1205"/>
      <c r="C381" s="1440"/>
      <c r="D381" s="1441"/>
      <c r="E381" s="1442" t="s">
        <v>1511</v>
      </c>
      <c r="F381" s="2541" t="s">
        <v>1664</v>
      </c>
      <c r="G381" s="2541"/>
      <c r="H381" s="2541"/>
      <c r="I381" s="2541"/>
      <c r="J381" s="2541"/>
      <c r="K381" s="2541"/>
      <c r="L381" s="2541"/>
      <c r="M381" s="2541"/>
      <c r="N381" s="2541"/>
      <c r="O381" s="2541"/>
      <c r="P381" s="2541"/>
      <c r="Q381" s="2541"/>
      <c r="R381" s="2541"/>
      <c r="S381" s="2541"/>
      <c r="T381" s="2541"/>
      <c r="U381" s="2541"/>
      <c r="V381" s="2541"/>
      <c r="W381" s="2541"/>
      <c r="X381" s="2541"/>
      <c r="Y381" s="2541"/>
      <c r="Z381" s="2541"/>
      <c r="AA381" s="2541"/>
      <c r="AB381" s="2541"/>
      <c r="AC381" s="2541"/>
      <c r="AD381" s="2541"/>
      <c r="AE381" s="2541"/>
      <c r="AF381" s="2541"/>
      <c r="AG381" s="1443"/>
      <c r="AH381" s="1443"/>
      <c r="AI381" s="1443"/>
      <c r="AJ381" s="1443"/>
      <c r="AK381" s="1443"/>
      <c r="AL381" s="1444"/>
      <c r="AM381" s="1207"/>
      <c r="AN381" s="1296"/>
      <c r="BS381" s="1207"/>
      <c r="BT381" s="1207"/>
      <c r="BU381" s="1207"/>
      <c r="BV381" s="1207"/>
      <c r="BW381" s="1207"/>
      <c r="BX381" s="1207"/>
      <c r="BY381" s="1207"/>
      <c r="BZ381" s="1207"/>
      <c r="CA381" s="1207"/>
      <c r="CB381" s="1207"/>
      <c r="CC381" s="1207"/>
    </row>
    <row r="382" spans="1:81" s="1222" customFormat="1" ht="12.75" customHeight="1">
      <c r="A382" s="1207"/>
      <c r="B382" s="1205"/>
      <c r="C382" s="1458"/>
      <c r="D382" s="1205"/>
      <c r="E382" s="1459"/>
      <c r="F382" s="2528"/>
      <c r="G382" s="2528"/>
      <c r="H382" s="2528"/>
      <c r="I382" s="2528"/>
      <c r="J382" s="2528"/>
      <c r="K382" s="2528"/>
      <c r="L382" s="2528"/>
      <c r="M382" s="2528"/>
      <c r="N382" s="2528"/>
      <c r="O382" s="2528"/>
      <c r="P382" s="2528"/>
      <c r="Q382" s="2528"/>
      <c r="R382" s="2528"/>
      <c r="S382" s="2528"/>
      <c r="T382" s="2528"/>
      <c r="U382" s="2528"/>
      <c r="V382" s="2528"/>
      <c r="W382" s="2528"/>
      <c r="X382" s="2528"/>
      <c r="Y382" s="2528"/>
      <c r="Z382" s="2528"/>
      <c r="AA382" s="2528"/>
      <c r="AB382" s="2528"/>
      <c r="AC382" s="2528"/>
      <c r="AD382" s="2528"/>
      <c r="AE382" s="2528"/>
      <c r="AF382" s="2528"/>
      <c r="AG382" s="1210"/>
      <c r="AH382" s="1210"/>
      <c r="AI382" s="1210"/>
      <c r="AJ382" s="1210"/>
      <c r="AK382" s="1210"/>
      <c r="AL382" s="1447"/>
      <c r="AM382" s="1207"/>
      <c r="AN382" s="1296"/>
      <c r="BS382" s="1207"/>
      <c r="BT382" s="1207"/>
      <c r="BU382" s="1207"/>
      <c r="BV382" s="1207"/>
      <c r="BW382" s="1207"/>
      <c r="BX382" s="1207"/>
      <c r="BY382" s="1207"/>
      <c r="BZ382" s="1207"/>
      <c r="CA382" s="1207"/>
      <c r="CB382" s="1207"/>
      <c r="CC382" s="1207"/>
    </row>
    <row r="383" spans="1:81" s="1222" customFormat="1" ht="12.75" customHeight="1">
      <c r="A383" s="1207"/>
      <c r="B383" s="1205"/>
      <c r="C383" s="1458"/>
      <c r="D383" s="1205"/>
      <c r="E383" s="1459"/>
      <c r="F383" s="2528"/>
      <c r="G383" s="2528"/>
      <c r="H383" s="2528"/>
      <c r="I383" s="2528"/>
      <c r="J383" s="2528"/>
      <c r="K383" s="2528"/>
      <c r="L383" s="2528"/>
      <c r="M383" s="2528"/>
      <c r="N383" s="2528"/>
      <c r="O383" s="2528"/>
      <c r="P383" s="2528"/>
      <c r="Q383" s="2528"/>
      <c r="R383" s="2528"/>
      <c r="S383" s="2528"/>
      <c r="T383" s="2528"/>
      <c r="U383" s="2528"/>
      <c r="V383" s="2528"/>
      <c r="W383" s="2528"/>
      <c r="X383" s="2528"/>
      <c r="Y383" s="2528"/>
      <c r="Z383" s="2528"/>
      <c r="AA383" s="2528"/>
      <c r="AB383" s="2528"/>
      <c r="AC383" s="2528"/>
      <c r="AD383" s="2528"/>
      <c r="AE383" s="2528"/>
      <c r="AF383" s="2528"/>
      <c r="AG383" s="1210"/>
      <c r="AH383" s="1210"/>
      <c r="AI383" s="1210"/>
      <c r="AJ383" s="1210"/>
      <c r="AK383" s="1210"/>
      <c r="AL383" s="1447"/>
      <c r="AM383" s="1207"/>
      <c r="AN383" s="1296"/>
      <c r="BS383" s="1207"/>
      <c r="BT383" s="1207"/>
      <c r="BU383" s="1207"/>
      <c r="BV383" s="1207"/>
      <c r="BW383" s="1207"/>
      <c r="BX383" s="1207"/>
      <c r="BY383" s="1207"/>
      <c r="BZ383" s="1207"/>
      <c r="CA383" s="1207"/>
      <c r="CB383" s="1207"/>
      <c r="CC383" s="1207"/>
    </row>
    <row r="384" spans="1:81" s="1222" customFormat="1" ht="12.75" customHeight="1">
      <c r="A384" s="1207"/>
      <c r="B384" s="1205"/>
      <c r="C384" s="1458"/>
      <c r="D384" s="1205"/>
      <c r="E384" s="1459"/>
      <c r="F384" s="2528"/>
      <c r="G384" s="2528"/>
      <c r="H384" s="2528"/>
      <c r="I384" s="2528"/>
      <c r="J384" s="2528"/>
      <c r="K384" s="2528"/>
      <c r="L384" s="2528"/>
      <c r="M384" s="2528"/>
      <c r="N384" s="2528"/>
      <c r="O384" s="2528"/>
      <c r="P384" s="2528"/>
      <c r="Q384" s="2528"/>
      <c r="R384" s="2528"/>
      <c r="S384" s="2528"/>
      <c r="T384" s="2528"/>
      <c r="U384" s="2528"/>
      <c r="V384" s="2528"/>
      <c r="W384" s="2528"/>
      <c r="X384" s="2528"/>
      <c r="Y384" s="2528"/>
      <c r="Z384" s="2528"/>
      <c r="AA384" s="2528"/>
      <c r="AB384" s="2528"/>
      <c r="AC384" s="2528"/>
      <c r="AD384" s="2528"/>
      <c r="AE384" s="2528"/>
      <c r="AF384" s="2528"/>
      <c r="AG384" s="1210"/>
      <c r="AH384" s="1210"/>
      <c r="AI384" s="1210"/>
      <c r="AJ384" s="1210"/>
      <c r="AK384" s="1210"/>
      <c r="AL384" s="1447"/>
      <c r="AM384" s="1207"/>
      <c r="AN384" s="1296"/>
      <c r="BS384" s="1207"/>
      <c r="BT384" s="1207"/>
      <c r="BU384" s="1207"/>
      <c r="BV384" s="1207"/>
      <c r="BW384" s="1207"/>
      <c r="BX384" s="1207"/>
      <c r="BY384" s="1207"/>
      <c r="BZ384" s="1207"/>
      <c r="CA384" s="1207"/>
      <c r="CB384" s="1207"/>
      <c r="CC384" s="1207"/>
    </row>
    <row r="385" spans="1:81" s="1222" customFormat="1" ht="12.75" customHeight="1">
      <c r="A385" s="1207"/>
      <c r="B385" s="1205"/>
      <c r="C385" s="1458"/>
      <c r="D385" s="1205"/>
      <c r="E385" s="1459"/>
      <c r="F385" s="2528"/>
      <c r="G385" s="2528"/>
      <c r="H385" s="2528"/>
      <c r="I385" s="2528"/>
      <c r="J385" s="2528"/>
      <c r="K385" s="2528"/>
      <c r="L385" s="2528"/>
      <c r="M385" s="2528"/>
      <c r="N385" s="2528"/>
      <c r="O385" s="2528"/>
      <c r="P385" s="2528"/>
      <c r="Q385" s="2528"/>
      <c r="R385" s="2528"/>
      <c r="S385" s="2528"/>
      <c r="T385" s="2528"/>
      <c r="U385" s="2528"/>
      <c r="V385" s="2528"/>
      <c r="W385" s="2528"/>
      <c r="X385" s="2528"/>
      <c r="Y385" s="2528"/>
      <c r="Z385" s="2528"/>
      <c r="AA385" s="2528"/>
      <c r="AB385" s="2528"/>
      <c r="AC385" s="2528"/>
      <c r="AD385" s="2528"/>
      <c r="AE385" s="2528"/>
      <c r="AF385" s="2528"/>
      <c r="AG385" s="1210"/>
      <c r="AH385" s="1210"/>
      <c r="AI385" s="1210"/>
      <c r="AJ385" s="1210"/>
      <c r="AK385" s="1210"/>
      <c r="AL385" s="1447"/>
      <c r="AM385" s="1207"/>
      <c r="AN385" s="1296"/>
      <c r="BS385" s="1207"/>
      <c r="BT385" s="1207"/>
      <c r="BU385" s="1207"/>
      <c r="BV385" s="1207"/>
      <c r="BW385" s="1207"/>
      <c r="BX385" s="1207"/>
      <c r="BY385" s="1207"/>
      <c r="BZ385" s="1207"/>
      <c r="CA385" s="1207"/>
      <c r="CB385" s="1207"/>
      <c r="CC385" s="1207"/>
    </row>
    <row r="386" spans="1:81" s="1222" customFormat="1" ht="12.75" customHeight="1">
      <c r="A386" s="1207"/>
      <c r="B386" s="1205"/>
      <c r="C386" s="2540" t="s">
        <v>616</v>
      </c>
      <c r="D386" s="2482"/>
      <c r="E386" s="1459"/>
      <c r="F386" s="1448" t="s">
        <v>1665</v>
      </c>
      <c r="G386" s="1295"/>
      <c r="H386" s="1295"/>
      <c r="I386" s="1295"/>
      <c r="J386" s="1295"/>
      <c r="K386" s="1295"/>
      <c r="L386" s="1295"/>
      <c r="M386" s="1295"/>
      <c r="N386" s="1295"/>
      <c r="O386" s="1295"/>
      <c r="P386" s="1295"/>
      <c r="Q386" s="1295"/>
      <c r="R386" s="1295"/>
      <c r="S386" s="1295"/>
      <c r="T386" s="1295"/>
      <c r="U386" s="1295"/>
      <c r="V386" s="1295"/>
      <c r="W386" s="1295"/>
      <c r="X386" s="1295"/>
      <c r="Y386" s="1295"/>
      <c r="Z386" s="1295"/>
      <c r="AA386" s="1295"/>
      <c r="AB386" s="1295"/>
      <c r="AC386" s="1295"/>
      <c r="AD386" s="1295"/>
      <c r="AF386" s="2468" t="s">
        <v>1666</v>
      </c>
      <c r="AG386" s="2468"/>
      <c r="AH386" s="2468"/>
      <c r="AI386" s="2468"/>
      <c r="AJ386" s="2468"/>
      <c r="AK386" s="2468"/>
      <c r="AL386" s="2544"/>
      <c r="AM386" s="1449"/>
      <c r="BS386" s="1207"/>
      <c r="BT386" s="1207"/>
      <c r="BU386" s="1207"/>
      <c r="BV386" s="1207"/>
      <c r="BW386" s="1207"/>
      <c r="BX386" s="1207"/>
      <c r="BY386" s="1207"/>
      <c r="BZ386" s="1207"/>
      <c r="CA386" s="1207"/>
      <c r="CB386" s="1207"/>
      <c r="CC386" s="1207"/>
    </row>
    <row r="387" spans="1:81" s="1222" customFormat="1" ht="12.75" customHeight="1">
      <c r="A387" s="1207"/>
      <c r="B387" s="1205"/>
      <c r="C387" s="1458"/>
      <c r="D387" s="1205"/>
      <c r="E387" s="1459"/>
      <c r="F387" s="1244"/>
      <c r="G387" s="1244"/>
      <c r="H387" s="1244"/>
      <c r="I387" s="1244"/>
      <c r="J387" s="1244"/>
      <c r="K387" s="1244"/>
      <c r="L387" s="1244"/>
      <c r="M387" s="1244"/>
      <c r="N387" s="1244"/>
      <c r="O387" s="1244"/>
      <c r="P387" s="1244"/>
      <c r="Q387" s="1244"/>
      <c r="R387" s="1244"/>
      <c r="S387" s="1244"/>
      <c r="T387" s="1244"/>
      <c r="U387" s="1244"/>
      <c r="V387" s="1244"/>
      <c r="W387" s="1244"/>
      <c r="X387" s="1244"/>
      <c r="Y387" s="1244"/>
      <c r="Z387" s="1244"/>
      <c r="AA387" s="1244"/>
      <c r="AB387" s="1244"/>
      <c r="AC387" s="1244"/>
      <c r="AD387" s="1244"/>
      <c r="AL387" s="1460"/>
      <c r="AM387" s="1207"/>
      <c r="AN387" s="1296"/>
      <c r="BS387" s="1207"/>
      <c r="BT387" s="1207"/>
      <c r="BU387" s="1207"/>
      <c r="BV387" s="1207"/>
      <c r="BW387" s="1207"/>
      <c r="BX387" s="1207"/>
      <c r="BY387" s="1207"/>
      <c r="BZ387" s="1207"/>
      <c r="CA387" s="1207"/>
      <c r="CB387" s="1207"/>
      <c r="CC387" s="1207"/>
    </row>
    <row r="388" spans="1:81" s="1222" customFormat="1" ht="12.75" customHeight="1">
      <c r="A388" s="1207"/>
      <c r="B388" s="1205"/>
      <c r="C388" s="2540" t="s">
        <v>569</v>
      </c>
      <c r="D388" s="2482"/>
      <c r="E388" s="1459"/>
      <c r="F388" s="1467" t="s">
        <v>1667</v>
      </c>
      <c r="G388" s="1244"/>
      <c r="H388" s="1244"/>
      <c r="I388" s="1244"/>
      <c r="J388" s="1244"/>
      <c r="K388" s="1244"/>
      <c r="L388" s="1244"/>
      <c r="M388" s="1244"/>
      <c r="N388" s="1244"/>
      <c r="O388" s="1244"/>
      <c r="P388" s="1244"/>
      <c r="Q388" s="1244"/>
      <c r="R388" s="1244"/>
      <c r="S388" s="1244"/>
      <c r="T388" s="1244"/>
      <c r="U388" s="1244"/>
      <c r="V388" s="1244"/>
      <c r="W388" s="1244"/>
      <c r="X388" s="1244"/>
      <c r="Y388" s="1244"/>
      <c r="Z388" s="1244"/>
      <c r="AA388" s="1244"/>
      <c r="AB388" s="1244"/>
      <c r="AC388" s="1244"/>
      <c r="AD388" s="1244"/>
      <c r="AF388" s="2468" t="s">
        <v>1661</v>
      </c>
      <c r="AG388" s="2468"/>
      <c r="AH388" s="2468"/>
      <c r="AI388" s="2468"/>
      <c r="AJ388" s="2468"/>
      <c r="AK388" s="2468"/>
      <c r="AL388" s="2544"/>
      <c r="AM388" s="1207"/>
      <c r="AN388" s="1296"/>
      <c r="BS388" s="1207"/>
      <c r="BT388" s="1207"/>
      <c r="BU388" s="1207"/>
    </row>
    <row r="389" spans="1:81" s="1222" customFormat="1" ht="12.75" customHeight="1">
      <c r="A389" s="1207"/>
      <c r="B389" s="1205"/>
      <c r="C389" s="1468"/>
      <c r="E389" s="1459"/>
      <c r="G389" s="1244"/>
      <c r="H389" s="1244"/>
      <c r="I389" s="1244"/>
      <c r="J389" s="1244"/>
      <c r="K389" s="1244"/>
      <c r="L389" s="1244"/>
      <c r="M389" s="1244"/>
      <c r="N389" s="1244"/>
      <c r="O389" s="1244"/>
      <c r="P389" s="1244"/>
      <c r="Q389" s="1244"/>
      <c r="R389" s="1244"/>
      <c r="S389" s="1244"/>
      <c r="T389" s="1244"/>
      <c r="U389" s="1244"/>
      <c r="V389" s="1244"/>
      <c r="W389" s="1244"/>
      <c r="X389" s="1244"/>
      <c r="Y389" s="1244"/>
      <c r="Z389" s="1244"/>
      <c r="AA389" s="1244"/>
      <c r="AB389" s="1244"/>
      <c r="AC389" s="1244"/>
      <c r="AD389" s="1244"/>
      <c r="AL389" s="1460"/>
      <c r="AM389" s="1207"/>
      <c r="AN389" s="1296"/>
      <c r="BS389" s="1207"/>
      <c r="BT389" s="1207"/>
      <c r="BU389" s="1207"/>
    </row>
    <row r="390" spans="1:81" s="1222" customFormat="1" ht="12.75" customHeight="1">
      <c r="A390" s="1207"/>
      <c r="B390" s="1205"/>
      <c r="C390" s="1461"/>
      <c r="D390" s="1462"/>
      <c r="E390" s="1463"/>
      <c r="F390" s="1469" t="s">
        <v>1668</v>
      </c>
      <c r="G390" s="1464"/>
      <c r="H390" s="1464"/>
      <c r="I390" s="1464"/>
      <c r="J390" s="1464"/>
      <c r="K390" s="1464"/>
      <c r="L390" s="1464"/>
      <c r="M390" s="1464"/>
      <c r="N390" s="1464"/>
      <c r="O390" s="1464"/>
      <c r="P390" s="1464"/>
      <c r="Q390" s="1464"/>
      <c r="R390" s="1464"/>
      <c r="S390" s="1464"/>
      <c r="T390" s="1464"/>
      <c r="U390" s="1464"/>
      <c r="V390" s="1464"/>
      <c r="W390" s="1464"/>
      <c r="X390" s="1464"/>
      <c r="Y390" s="1464"/>
      <c r="Z390" s="1464"/>
      <c r="AA390" s="1464"/>
      <c r="AB390" s="1464"/>
      <c r="AC390" s="1464"/>
      <c r="AD390" s="1464"/>
      <c r="AE390" s="1343"/>
      <c r="AF390" s="1261"/>
      <c r="AG390" s="1343"/>
      <c r="AH390" s="1455"/>
      <c r="AI390" s="1455"/>
      <c r="AJ390" s="1455"/>
      <c r="AK390" s="1455"/>
      <c r="AL390" s="1466"/>
      <c r="AM390" s="1207"/>
      <c r="AN390" s="1296"/>
      <c r="BS390" s="1207"/>
      <c r="BT390" s="1207"/>
      <c r="BU390" s="1207"/>
    </row>
    <row r="391" spans="1:81" s="1222" customFormat="1" ht="12.75" customHeight="1">
      <c r="A391" s="1207"/>
      <c r="B391" s="1205"/>
      <c r="C391" s="1205"/>
      <c r="D391" s="1205"/>
      <c r="E391" s="1459"/>
      <c r="F391" s="1294"/>
      <c r="G391" s="1294"/>
      <c r="H391" s="1294"/>
      <c r="I391" s="1294"/>
      <c r="J391" s="1294"/>
      <c r="K391" s="1294"/>
      <c r="L391" s="1294"/>
      <c r="M391" s="1294"/>
      <c r="N391" s="1294"/>
      <c r="O391" s="1294"/>
      <c r="P391" s="1294"/>
      <c r="Q391" s="1294"/>
      <c r="R391" s="1294"/>
      <c r="S391" s="1294"/>
      <c r="T391" s="1294"/>
      <c r="U391" s="1294"/>
      <c r="V391" s="1294"/>
      <c r="W391" s="1294"/>
      <c r="X391" s="1294"/>
      <c r="Y391" s="1294"/>
      <c r="Z391" s="1294"/>
      <c r="AA391" s="1294"/>
      <c r="AB391" s="1294"/>
      <c r="AC391" s="1294"/>
      <c r="AD391" s="1294"/>
      <c r="AE391" s="1207"/>
      <c r="AF391" s="1210"/>
      <c r="AG391" s="1207"/>
      <c r="AM391" s="1207"/>
      <c r="AN391" s="1296"/>
      <c r="BS391" s="1207"/>
      <c r="BT391" s="1207"/>
      <c r="BU391" s="1207"/>
    </row>
    <row r="392" spans="1:81" s="1222" customFormat="1" ht="12.75" customHeight="1">
      <c r="A392" s="1207"/>
      <c r="B392" s="1205"/>
      <c r="C392" s="1440"/>
      <c r="D392" s="1441"/>
      <c r="E392" s="1442" t="s">
        <v>1669</v>
      </c>
      <c r="F392" s="2541" t="s">
        <v>1670</v>
      </c>
      <c r="G392" s="2541"/>
      <c r="H392" s="2541"/>
      <c r="I392" s="2541"/>
      <c r="J392" s="2541"/>
      <c r="K392" s="2541"/>
      <c r="L392" s="2541"/>
      <c r="M392" s="2541"/>
      <c r="N392" s="2541"/>
      <c r="O392" s="2541"/>
      <c r="P392" s="2541"/>
      <c r="Q392" s="2541"/>
      <c r="R392" s="2541"/>
      <c r="S392" s="2541"/>
      <c r="T392" s="2541"/>
      <c r="U392" s="2541"/>
      <c r="V392" s="2541"/>
      <c r="W392" s="2541"/>
      <c r="X392" s="2541"/>
      <c r="Y392" s="2541"/>
      <c r="Z392" s="2541"/>
      <c r="AA392" s="2541"/>
      <c r="AB392" s="2541"/>
      <c r="AC392" s="2541"/>
      <c r="AD392" s="2541"/>
      <c r="AE392" s="2541"/>
      <c r="AF392" s="2541"/>
      <c r="AG392" s="1443"/>
      <c r="AH392" s="1443"/>
      <c r="AI392" s="1443"/>
      <c r="AJ392" s="1443"/>
      <c r="AK392" s="1443"/>
      <c r="AL392" s="1444"/>
      <c r="AM392" s="1207"/>
      <c r="AN392" s="1296"/>
      <c r="BS392" s="1207"/>
      <c r="BT392" s="1207"/>
      <c r="BU392" s="1207"/>
      <c r="BV392" s="1207"/>
      <c r="BW392" s="1207"/>
      <c r="BX392" s="1207"/>
      <c r="BY392" s="1207"/>
      <c r="BZ392" s="1207"/>
      <c r="CA392" s="1207"/>
      <c r="CB392" s="1207"/>
      <c r="CC392" s="1207"/>
    </row>
    <row r="393" spans="1:81" s="1222" customFormat="1" ht="12.75" customHeight="1">
      <c r="A393" s="1207"/>
      <c r="B393" s="1205"/>
      <c r="C393" s="1458"/>
      <c r="D393" s="1205"/>
      <c r="E393" s="1459"/>
      <c r="F393" s="2528"/>
      <c r="G393" s="2528"/>
      <c r="H393" s="2528"/>
      <c r="I393" s="2528"/>
      <c r="J393" s="2528"/>
      <c r="K393" s="2528"/>
      <c r="L393" s="2528"/>
      <c r="M393" s="2528"/>
      <c r="N393" s="2528"/>
      <c r="O393" s="2528"/>
      <c r="P393" s="2528"/>
      <c r="Q393" s="2528"/>
      <c r="R393" s="2528"/>
      <c r="S393" s="2528"/>
      <c r="T393" s="2528"/>
      <c r="U393" s="2528"/>
      <c r="V393" s="2528"/>
      <c r="W393" s="2528"/>
      <c r="X393" s="2528"/>
      <c r="Y393" s="2528"/>
      <c r="Z393" s="2528"/>
      <c r="AA393" s="2528"/>
      <c r="AB393" s="2528"/>
      <c r="AC393" s="2528"/>
      <c r="AD393" s="2528"/>
      <c r="AE393" s="2528"/>
      <c r="AF393" s="2528"/>
      <c r="AG393" s="1210"/>
      <c r="AH393" s="1210"/>
      <c r="AI393" s="1210"/>
      <c r="AJ393" s="1210"/>
      <c r="AK393" s="1210"/>
      <c r="AL393" s="1447"/>
      <c r="AM393" s="1207"/>
      <c r="AN393" s="1296"/>
      <c r="BS393" s="1207"/>
      <c r="BT393" s="1207"/>
      <c r="BU393" s="1207"/>
      <c r="BV393" s="1207"/>
      <c r="BW393" s="1207"/>
      <c r="BX393" s="1207"/>
      <c r="BY393" s="1207"/>
      <c r="BZ393" s="1207"/>
      <c r="CA393" s="1207"/>
      <c r="CB393" s="1207"/>
      <c r="CC393" s="1207"/>
    </row>
    <row r="394" spans="1:81">
      <c r="A394" s="1207"/>
      <c r="C394" s="1458"/>
      <c r="E394" s="1459"/>
      <c r="F394" s="2528"/>
      <c r="G394" s="2528"/>
      <c r="H394" s="2528"/>
      <c r="I394" s="2528"/>
      <c r="J394" s="2528"/>
      <c r="K394" s="2528"/>
      <c r="L394" s="2528"/>
      <c r="M394" s="2528"/>
      <c r="N394" s="2528"/>
      <c r="O394" s="2528"/>
      <c r="P394" s="2528"/>
      <c r="Q394" s="2528"/>
      <c r="R394" s="2528"/>
      <c r="S394" s="2528"/>
      <c r="T394" s="2528"/>
      <c r="U394" s="2528"/>
      <c r="V394" s="2528"/>
      <c r="W394" s="2528"/>
      <c r="X394" s="2528"/>
      <c r="Y394" s="2528"/>
      <c r="Z394" s="2528"/>
      <c r="AA394" s="2528"/>
      <c r="AB394" s="2528"/>
      <c r="AC394" s="2528"/>
      <c r="AD394" s="2528"/>
      <c r="AE394" s="2528"/>
      <c r="AF394" s="2528"/>
      <c r="AG394" s="1210"/>
      <c r="AH394" s="1210"/>
      <c r="AI394" s="1210"/>
      <c r="AJ394" s="1210"/>
      <c r="AK394" s="1210"/>
      <c r="AL394" s="1447"/>
      <c r="AM394" s="1207"/>
      <c r="BS394" s="1207"/>
      <c r="BT394" s="1207"/>
      <c r="BU394" s="1207"/>
      <c r="BV394" s="1207"/>
      <c r="BW394" s="1207"/>
      <c r="BX394" s="1207"/>
      <c r="BY394" s="1207"/>
      <c r="BZ394" s="1207"/>
      <c r="CA394" s="1207"/>
      <c r="CB394" s="1207"/>
      <c r="CC394" s="1207"/>
    </row>
    <row r="395" spans="1:81" s="1222" customFormat="1" ht="12.75" customHeight="1">
      <c r="A395" s="1207"/>
      <c r="B395" s="1205"/>
      <c r="C395" s="1458"/>
      <c r="D395" s="1205"/>
      <c r="E395" s="1459"/>
      <c r="F395" s="2528"/>
      <c r="G395" s="2528"/>
      <c r="H395" s="2528"/>
      <c r="I395" s="2528"/>
      <c r="J395" s="2528"/>
      <c r="K395" s="2528"/>
      <c r="L395" s="2528"/>
      <c r="M395" s="2528"/>
      <c r="N395" s="2528"/>
      <c r="O395" s="2528"/>
      <c r="P395" s="2528"/>
      <c r="Q395" s="2528"/>
      <c r="R395" s="2528"/>
      <c r="S395" s="2528"/>
      <c r="T395" s="2528"/>
      <c r="U395" s="2528"/>
      <c r="V395" s="2528"/>
      <c r="W395" s="2528"/>
      <c r="X395" s="2528"/>
      <c r="Y395" s="2528"/>
      <c r="Z395" s="2528"/>
      <c r="AA395" s="2528"/>
      <c r="AB395" s="2528"/>
      <c r="AC395" s="2528"/>
      <c r="AD395" s="2528"/>
      <c r="AE395" s="2528"/>
      <c r="AF395" s="2528"/>
      <c r="AG395" s="1210"/>
      <c r="AH395" s="1210"/>
      <c r="AI395" s="1210"/>
      <c r="AJ395" s="1210"/>
      <c r="AK395" s="1210"/>
      <c r="AL395" s="1447"/>
      <c r="AM395" s="1207"/>
      <c r="AN395" s="1296"/>
      <c r="BS395" s="1207"/>
      <c r="BT395" s="1207"/>
      <c r="BY395" s="1207"/>
      <c r="BZ395" s="1207"/>
      <c r="CA395" s="1207"/>
      <c r="CB395" s="1207"/>
      <c r="CC395" s="1207"/>
    </row>
    <row r="396" spans="1:81" s="1222" customFormat="1" ht="12.75" customHeight="1">
      <c r="A396" s="1207"/>
      <c r="B396" s="1205"/>
      <c r="C396" s="2540" t="s">
        <v>616</v>
      </c>
      <c r="D396" s="2482"/>
      <c r="E396" s="1459"/>
      <c r="F396" s="1448" t="s">
        <v>1671</v>
      </c>
      <c r="G396" s="1295"/>
      <c r="H396" s="1295"/>
      <c r="I396" s="1295"/>
      <c r="J396" s="1295"/>
      <c r="K396" s="1295"/>
      <c r="L396" s="1295"/>
      <c r="M396" s="1295"/>
      <c r="N396" s="1295"/>
      <c r="O396" s="1295"/>
      <c r="P396" s="1295"/>
      <c r="Q396" s="1295"/>
      <c r="R396" s="1295"/>
      <c r="S396" s="1295"/>
      <c r="T396" s="1295"/>
      <c r="U396" s="1295"/>
      <c r="V396" s="1295"/>
      <c r="W396" s="1295"/>
      <c r="X396" s="1295"/>
      <c r="Y396" s="1295"/>
      <c r="Z396" s="1295"/>
      <c r="AA396" s="1295"/>
      <c r="AB396" s="1295"/>
      <c r="AC396" s="1295"/>
      <c r="AD396" s="1295"/>
      <c r="AF396" s="2468" t="s">
        <v>1661</v>
      </c>
      <c r="AG396" s="2468"/>
      <c r="AH396" s="2468"/>
      <c r="AI396" s="2468"/>
      <c r="AJ396" s="2468"/>
      <c r="AK396" s="2468"/>
      <c r="AL396" s="2544"/>
      <c r="AM396" s="1207"/>
      <c r="AN396" s="1296"/>
      <c r="BS396" s="1207"/>
      <c r="BT396" s="1207"/>
      <c r="BY396" s="1207"/>
      <c r="BZ396" s="1207"/>
      <c r="CA396" s="1207"/>
      <c r="CB396" s="1207"/>
      <c r="CC396" s="1207"/>
    </row>
    <row r="397" spans="1:81" s="1222" customFormat="1" ht="12.75" customHeight="1">
      <c r="A397" s="1207"/>
      <c r="B397" s="1205"/>
      <c r="C397" s="1458"/>
      <c r="D397" s="1205"/>
      <c r="E397" s="1459"/>
      <c r="G397" s="1295"/>
      <c r="H397" s="1295"/>
      <c r="I397" s="1295"/>
      <c r="J397" s="1295"/>
      <c r="K397" s="1295"/>
      <c r="L397" s="1295"/>
      <c r="M397" s="1295"/>
      <c r="N397" s="1295"/>
      <c r="O397" s="1295"/>
      <c r="P397" s="1295"/>
      <c r="Q397" s="1295"/>
      <c r="R397" s="1295"/>
      <c r="S397" s="1295"/>
      <c r="T397" s="1295"/>
      <c r="U397" s="1295"/>
      <c r="V397" s="1295"/>
      <c r="W397" s="1295"/>
      <c r="X397" s="1295"/>
      <c r="Y397" s="1295"/>
      <c r="Z397" s="1295"/>
      <c r="AA397" s="1295"/>
      <c r="AB397" s="1295"/>
      <c r="AC397" s="1295"/>
      <c r="AD397" s="1295"/>
      <c r="AL397" s="1460"/>
      <c r="AM397" s="1207"/>
      <c r="AN397" s="1296"/>
      <c r="BS397" s="1207"/>
      <c r="BT397" s="1207"/>
      <c r="BY397" s="1207"/>
      <c r="BZ397" s="1207"/>
      <c r="CA397" s="1207"/>
      <c r="CB397" s="1207"/>
      <c r="CC397" s="1207"/>
    </row>
    <row r="398" spans="1:81" s="1222" customFormat="1" ht="12.75" customHeight="1">
      <c r="A398" s="1207"/>
      <c r="B398" s="1205"/>
      <c r="C398" s="2540" t="s">
        <v>616</v>
      </c>
      <c r="D398" s="2482"/>
      <c r="E398" s="1446"/>
      <c r="F398" s="1448" t="s">
        <v>1672</v>
      </c>
      <c r="G398" s="1295"/>
      <c r="H398" s="1295"/>
      <c r="I398" s="1295"/>
      <c r="J398" s="1295"/>
      <c r="K398" s="1295"/>
      <c r="L398" s="1295"/>
      <c r="M398" s="1295"/>
      <c r="N398" s="1295"/>
      <c r="O398" s="1295"/>
      <c r="P398" s="1295"/>
      <c r="Q398" s="1295"/>
      <c r="R398" s="1295"/>
      <c r="S398" s="1295"/>
      <c r="T398" s="1295"/>
      <c r="U398" s="1295"/>
      <c r="V398" s="1295"/>
      <c r="W398" s="1295"/>
      <c r="X398" s="1295"/>
      <c r="Y398" s="1295"/>
      <c r="Z398" s="1295"/>
      <c r="AA398" s="1295"/>
      <c r="AB398" s="1295"/>
      <c r="AC398" s="1295"/>
      <c r="AD398" s="1295"/>
      <c r="AF398" s="2468" t="s">
        <v>1673</v>
      </c>
      <c r="AG398" s="2468"/>
      <c r="AH398" s="2468"/>
      <c r="AI398" s="2468"/>
      <c r="AJ398" s="2468"/>
      <c r="AK398" s="2468"/>
      <c r="AL398" s="2544"/>
      <c r="AM398" s="1207"/>
      <c r="AN398" s="1296"/>
      <c r="BS398" s="1207"/>
      <c r="BT398" s="1207"/>
      <c r="BY398" s="1207"/>
      <c r="BZ398" s="1207"/>
      <c r="CA398" s="1207"/>
      <c r="CB398" s="1207"/>
      <c r="CC398" s="1207"/>
    </row>
    <row r="399" spans="1:81" s="1222" customFormat="1" ht="12.75" customHeight="1">
      <c r="A399" s="1207"/>
      <c r="B399" s="1205"/>
      <c r="C399" s="1470"/>
      <c r="D399" s="1455"/>
      <c r="E399" s="1452"/>
      <c r="F399" s="1455"/>
      <c r="G399" s="1454"/>
      <c r="H399" s="1454"/>
      <c r="I399" s="1454"/>
      <c r="J399" s="1454"/>
      <c r="K399" s="1454"/>
      <c r="L399" s="1454"/>
      <c r="M399" s="1454"/>
      <c r="N399" s="1454"/>
      <c r="O399" s="1454"/>
      <c r="P399" s="1454"/>
      <c r="Q399" s="1454"/>
      <c r="R399" s="1454"/>
      <c r="S399" s="1454"/>
      <c r="T399" s="1454"/>
      <c r="U399" s="1454"/>
      <c r="V399" s="1454"/>
      <c r="W399" s="1454"/>
      <c r="X399" s="1454"/>
      <c r="Y399" s="1454"/>
      <c r="Z399" s="1454"/>
      <c r="AA399" s="1454"/>
      <c r="AB399" s="1454"/>
      <c r="AC399" s="1454"/>
      <c r="AD399" s="1454"/>
      <c r="AE399" s="1455"/>
      <c r="AF399" s="1455"/>
      <c r="AG399" s="1455"/>
      <c r="AH399" s="1455"/>
      <c r="AI399" s="1455"/>
      <c r="AJ399" s="1455"/>
      <c r="AK399" s="1455"/>
      <c r="AL399" s="1466"/>
      <c r="AM399" s="1207"/>
      <c r="AN399" s="1296"/>
      <c r="BS399" s="1207"/>
      <c r="BT399" s="1207"/>
      <c r="BY399" s="1207"/>
      <c r="BZ399" s="1207"/>
      <c r="CA399" s="1207"/>
      <c r="CB399" s="1207"/>
      <c r="CC399" s="1207"/>
    </row>
    <row r="400" spans="1:81" s="1222" customFormat="1" ht="12.75" customHeight="1">
      <c r="A400" s="1207"/>
      <c r="B400" s="1205"/>
      <c r="C400" s="1205"/>
      <c r="D400" s="1205"/>
      <c r="E400" s="1459"/>
      <c r="G400" s="1295"/>
      <c r="H400" s="1295"/>
      <c r="I400" s="1295"/>
      <c r="J400" s="1295"/>
      <c r="K400" s="1295"/>
      <c r="L400" s="1295"/>
      <c r="M400" s="1295"/>
      <c r="N400" s="1295"/>
      <c r="O400" s="1295"/>
      <c r="P400" s="1295"/>
      <c r="Q400" s="1295"/>
      <c r="R400" s="1295"/>
      <c r="S400" s="1295"/>
      <c r="T400" s="1295"/>
      <c r="U400" s="1295"/>
      <c r="V400" s="1295"/>
      <c r="W400" s="1295"/>
      <c r="X400" s="1295"/>
      <c r="Y400" s="1295"/>
      <c r="Z400" s="1295"/>
      <c r="AA400" s="1295"/>
      <c r="AB400" s="1295"/>
      <c r="AC400" s="1295"/>
      <c r="AD400" s="1295"/>
      <c r="AE400" s="1207"/>
      <c r="AF400" s="1210"/>
      <c r="AG400" s="1207"/>
      <c r="AM400" s="1207"/>
      <c r="AN400" s="1296"/>
      <c r="BS400" s="1207"/>
      <c r="BT400" s="1207"/>
      <c r="BY400" s="1207"/>
      <c r="BZ400" s="1207"/>
      <c r="CA400" s="1207"/>
      <c r="CB400" s="1207"/>
      <c r="CC400" s="1207"/>
    </row>
    <row r="401" spans="1:81" s="1222" customFormat="1" ht="12.75" customHeight="1">
      <c r="A401" s="1207"/>
      <c r="B401" s="1205"/>
      <c r="C401" s="2540" t="s">
        <v>616</v>
      </c>
      <c r="D401" s="2482"/>
      <c r="E401" s="1442" t="s">
        <v>1674</v>
      </c>
      <c r="F401" s="2541" t="s">
        <v>1675</v>
      </c>
      <c r="G401" s="2541"/>
      <c r="H401" s="2541"/>
      <c r="I401" s="2541"/>
      <c r="J401" s="2541"/>
      <c r="K401" s="2541"/>
      <c r="L401" s="2541"/>
      <c r="M401" s="2541"/>
      <c r="N401" s="2541"/>
      <c r="O401" s="2541"/>
      <c r="P401" s="2541"/>
      <c r="Q401" s="2541"/>
      <c r="R401" s="2541"/>
      <c r="S401" s="2541"/>
      <c r="T401" s="2541"/>
      <c r="U401" s="2541"/>
      <c r="V401" s="2541"/>
      <c r="W401" s="2541"/>
      <c r="X401" s="2541"/>
      <c r="Y401" s="2541"/>
      <c r="Z401" s="2541"/>
      <c r="AA401" s="2541"/>
      <c r="AB401" s="2541"/>
      <c r="AC401" s="2541"/>
      <c r="AD401" s="2541"/>
      <c r="AE401" s="2541"/>
      <c r="AF401" s="1443"/>
      <c r="AG401" s="1329"/>
      <c r="AH401" s="1441"/>
      <c r="AI401" s="1441"/>
      <c r="AJ401" s="1441"/>
      <c r="AK401" s="1441"/>
      <c r="AL401" s="1471"/>
      <c r="AM401" s="1207"/>
      <c r="AN401" s="1296"/>
      <c r="BS401" s="1207"/>
      <c r="BT401" s="1207"/>
      <c r="BY401" s="1207"/>
      <c r="BZ401" s="1207"/>
      <c r="CA401" s="1207"/>
      <c r="CB401" s="1207"/>
      <c r="CC401" s="1207"/>
    </row>
    <row r="402" spans="1:81" s="1222" customFormat="1" ht="12.75" customHeight="1">
      <c r="A402" s="1207"/>
      <c r="B402" s="1205"/>
      <c r="C402" s="1468"/>
      <c r="F402" s="2528"/>
      <c r="G402" s="2528"/>
      <c r="H402" s="2528"/>
      <c r="I402" s="2528"/>
      <c r="J402" s="2528"/>
      <c r="K402" s="2528"/>
      <c r="L402" s="2528"/>
      <c r="M402" s="2528"/>
      <c r="N402" s="2528"/>
      <c r="O402" s="2528"/>
      <c r="P402" s="2528"/>
      <c r="Q402" s="2528"/>
      <c r="R402" s="2528"/>
      <c r="S402" s="2528"/>
      <c r="T402" s="2528"/>
      <c r="U402" s="2528"/>
      <c r="V402" s="2528"/>
      <c r="W402" s="2528"/>
      <c r="X402" s="2528"/>
      <c r="Y402" s="2528"/>
      <c r="Z402" s="2528"/>
      <c r="AA402" s="2528"/>
      <c r="AB402" s="2528"/>
      <c r="AC402" s="2528"/>
      <c r="AD402" s="2528"/>
      <c r="AE402" s="2528"/>
      <c r="AF402" s="2476" t="s">
        <v>1661</v>
      </c>
      <c r="AG402" s="2476"/>
      <c r="AH402" s="2476"/>
      <c r="AI402" s="2476"/>
      <c r="AJ402" s="2476"/>
      <c r="AK402" s="2476"/>
      <c r="AL402" s="2545"/>
      <c r="AM402" s="1207"/>
      <c r="AN402" s="1296"/>
      <c r="BS402" s="1207"/>
      <c r="BT402" s="1207"/>
      <c r="BY402" s="1207"/>
      <c r="BZ402" s="1207"/>
      <c r="CA402" s="1207"/>
      <c r="CB402" s="1207"/>
      <c r="CC402" s="1207"/>
    </row>
    <row r="403" spans="1:81" s="1222" customFormat="1" ht="12.75" customHeight="1">
      <c r="A403" s="1207"/>
      <c r="B403" s="1205"/>
      <c r="C403" s="1458"/>
      <c r="D403" s="1205"/>
      <c r="E403" s="1459"/>
      <c r="F403" s="2528"/>
      <c r="G403" s="2528"/>
      <c r="H403" s="2528"/>
      <c r="I403" s="2528"/>
      <c r="J403" s="2528"/>
      <c r="K403" s="2528"/>
      <c r="L403" s="2528"/>
      <c r="M403" s="2528"/>
      <c r="N403" s="2528"/>
      <c r="O403" s="2528"/>
      <c r="P403" s="2528"/>
      <c r="Q403" s="2528"/>
      <c r="R403" s="2528"/>
      <c r="S403" s="2528"/>
      <c r="T403" s="2528"/>
      <c r="U403" s="2528"/>
      <c r="V403" s="2528"/>
      <c r="W403" s="2528"/>
      <c r="X403" s="2528"/>
      <c r="Y403" s="2528"/>
      <c r="Z403" s="2528"/>
      <c r="AA403" s="2528"/>
      <c r="AB403" s="2528"/>
      <c r="AC403" s="2528"/>
      <c r="AD403" s="2528"/>
      <c r="AE403" s="2528"/>
      <c r="AL403" s="1460"/>
      <c r="AM403" s="1207"/>
      <c r="AN403" s="1296"/>
      <c r="BS403" s="1207"/>
      <c r="BT403" s="1207"/>
      <c r="BU403" s="1207"/>
      <c r="BV403" s="1207"/>
      <c r="BW403" s="1207"/>
      <c r="BX403" s="1207"/>
      <c r="BY403" s="1207"/>
      <c r="BZ403" s="1207"/>
      <c r="CA403" s="1207"/>
      <c r="CB403" s="1207"/>
      <c r="CC403" s="1207"/>
    </row>
    <row r="404" spans="1:81" s="1222" customFormat="1" ht="12.75" customHeight="1">
      <c r="A404" s="1207"/>
      <c r="B404" s="1205"/>
      <c r="C404" s="1461"/>
      <c r="D404" s="1462"/>
      <c r="E404" s="1463"/>
      <c r="F404" s="2529"/>
      <c r="G404" s="2529"/>
      <c r="H404" s="2529"/>
      <c r="I404" s="2529"/>
      <c r="J404" s="2529"/>
      <c r="K404" s="2529"/>
      <c r="L404" s="2529"/>
      <c r="M404" s="2529"/>
      <c r="N404" s="2529"/>
      <c r="O404" s="2529"/>
      <c r="P404" s="2529"/>
      <c r="Q404" s="2529"/>
      <c r="R404" s="2529"/>
      <c r="S404" s="2529"/>
      <c r="T404" s="2529"/>
      <c r="U404" s="2529"/>
      <c r="V404" s="2529"/>
      <c r="W404" s="2529"/>
      <c r="X404" s="2529"/>
      <c r="Y404" s="2529"/>
      <c r="Z404" s="2529"/>
      <c r="AA404" s="2529"/>
      <c r="AB404" s="2529"/>
      <c r="AC404" s="2529"/>
      <c r="AD404" s="2529"/>
      <c r="AE404" s="2529"/>
      <c r="AF404" s="1261"/>
      <c r="AG404" s="1343"/>
      <c r="AH404" s="1455"/>
      <c r="AI404" s="1455"/>
      <c r="AJ404" s="1455"/>
      <c r="AK404" s="1455"/>
      <c r="AL404" s="1466"/>
      <c r="AM404" s="1207"/>
      <c r="AN404" s="1296"/>
    </row>
    <row r="405" spans="1:81">
      <c r="A405" s="1207"/>
      <c r="E405" s="1459"/>
      <c r="F405" s="1295"/>
      <c r="G405" s="1295"/>
      <c r="H405" s="1295"/>
      <c r="I405" s="1295"/>
      <c r="J405" s="1295"/>
      <c r="K405" s="1295"/>
      <c r="L405" s="1295"/>
      <c r="M405" s="1295"/>
      <c r="N405" s="1295"/>
      <c r="O405" s="1295"/>
      <c r="P405" s="1295"/>
      <c r="Q405" s="1295"/>
      <c r="R405" s="1295"/>
      <c r="S405" s="1295"/>
      <c r="T405" s="1295"/>
      <c r="U405" s="1295"/>
      <c r="V405" s="1295"/>
      <c r="W405" s="1295"/>
      <c r="X405" s="1295"/>
      <c r="Y405" s="1295"/>
      <c r="Z405" s="1295"/>
      <c r="AA405" s="1295"/>
      <c r="AB405" s="1295"/>
      <c r="AC405" s="1295"/>
      <c r="AD405" s="1295"/>
      <c r="AE405" s="1207"/>
      <c r="AF405" s="1210"/>
      <c r="AG405" s="1207"/>
      <c r="AH405" s="1222"/>
      <c r="AI405" s="1222"/>
      <c r="AJ405" s="1222"/>
      <c r="AK405" s="1222"/>
      <c r="AL405" s="1222"/>
      <c r="AM405" s="1207"/>
    </row>
    <row r="406" spans="1:81" ht="12.75" customHeight="1">
      <c r="A406" s="1207"/>
      <c r="C406" s="1472"/>
      <c r="D406" s="1473"/>
      <c r="E406" s="1442" t="s">
        <v>1676</v>
      </c>
      <c r="F406" s="2541" t="s">
        <v>1677</v>
      </c>
      <c r="G406" s="2541"/>
      <c r="H406" s="2541"/>
      <c r="I406" s="2541"/>
      <c r="J406" s="2541"/>
      <c r="K406" s="2541"/>
      <c r="L406" s="2541"/>
      <c r="M406" s="2541"/>
      <c r="N406" s="2541"/>
      <c r="O406" s="2541"/>
      <c r="P406" s="2541"/>
      <c r="Q406" s="2541"/>
      <c r="R406" s="2541"/>
      <c r="S406" s="2541"/>
      <c r="T406" s="2541"/>
      <c r="U406" s="2541"/>
      <c r="V406" s="2541"/>
      <c r="W406" s="2541"/>
      <c r="X406" s="2541"/>
      <c r="Y406" s="2541"/>
      <c r="Z406" s="2541"/>
      <c r="AA406" s="2541"/>
      <c r="AB406" s="2541"/>
      <c r="AC406" s="2541"/>
      <c r="AD406" s="2541"/>
      <c r="AE406" s="2541"/>
      <c r="AF406" s="1473"/>
      <c r="AG406" s="1473"/>
      <c r="AH406" s="1473"/>
      <c r="AI406" s="1473"/>
      <c r="AJ406" s="1473"/>
      <c r="AK406" s="1473"/>
      <c r="AL406" s="1474"/>
      <c r="AM406" s="1207"/>
    </row>
    <row r="407" spans="1:81">
      <c r="A407" s="1207"/>
      <c r="C407" s="1458"/>
      <c r="E407" s="1459"/>
      <c r="F407" s="2528"/>
      <c r="G407" s="2528"/>
      <c r="H407" s="2528"/>
      <c r="I407" s="2528"/>
      <c r="J407" s="2528"/>
      <c r="K407" s="2528"/>
      <c r="L407" s="2528"/>
      <c r="M407" s="2528"/>
      <c r="N407" s="2528"/>
      <c r="O407" s="2528"/>
      <c r="P407" s="2528"/>
      <c r="Q407" s="2528"/>
      <c r="R407" s="2528"/>
      <c r="S407" s="2528"/>
      <c r="T407" s="2528"/>
      <c r="U407" s="2528"/>
      <c r="V407" s="2528"/>
      <c r="W407" s="2528"/>
      <c r="X407" s="2528"/>
      <c r="Y407" s="2528"/>
      <c r="Z407" s="2528"/>
      <c r="AA407" s="2528"/>
      <c r="AB407" s="2528"/>
      <c r="AC407" s="2528"/>
      <c r="AD407" s="2528"/>
      <c r="AE407" s="2528"/>
      <c r="AF407" s="1210"/>
      <c r="AG407" s="1207"/>
      <c r="AH407" s="1222"/>
      <c r="AI407" s="1222"/>
      <c r="AJ407" s="1222"/>
      <c r="AK407" s="1222"/>
      <c r="AL407" s="1460"/>
      <c r="AM407" s="1207"/>
    </row>
    <row r="408" spans="1:81" s="1222" customFormat="1" ht="12.75" customHeight="1">
      <c r="A408" s="1207"/>
      <c r="B408" s="1205"/>
      <c r="C408" s="1458"/>
      <c r="D408" s="1205"/>
      <c r="E408" s="1459"/>
      <c r="F408" s="2528"/>
      <c r="G408" s="2528"/>
      <c r="H408" s="2528"/>
      <c r="I408" s="2528"/>
      <c r="J408" s="2528"/>
      <c r="K408" s="2528"/>
      <c r="L408" s="2528"/>
      <c r="M408" s="2528"/>
      <c r="N408" s="2528"/>
      <c r="O408" s="2528"/>
      <c r="P408" s="2528"/>
      <c r="Q408" s="2528"/>
      <c r="R408" s="2528"/>
      <c r="S408" s="2528"/>
      <c r="T408" s="2528"/>
      <c r="U408" s="2528"/>
      <c r="V408" s="2528"/>
      <c r="W408" s="2528"/>
      <c r="X408" s="2528"/>
      <c r="Y408" s="2528"/>
      <c r="Z408" s="2528"/>
      <c r="AA408" s="2528"/>
      <c r="AB408" s="2528"/>
      <c r="AC408" s="2528"/>
      <c r="AD408" s="2528"/>
      <c r="AE408" s="2528"/>
      <c r="AL408" s="1460"/>
      <c r="AM408" s="1207"/>
      <c r="AN408" s="1296"/>
    </row>
    <row r="409" spans="1:81" s="1222" customFormat="1" ht="12.75" customHeight="1">
      <c r="A409" s="1207"/>
      <c r="B409" s="1205"/>
      <c r="C409" s="1468"/>
      <c r="F409" s="2528"/>
      <c r="G409" s="2528"/>
      <c r="H409" s="2528"/>
      <c r="I409" s="2528"/>
      <c r="J409" s="2528"/>
      <c r="K409" s="2528"/>
      <c r="L409" s="2528"/>
      <c r="M409" s="2528"/>
      <c r="N409" s="2528"/>
      <c r="O409" s="2528"/>
      <c r="P409" s="2528"/>
      <c r="Q409" s="2528"/>
      <c r="R409" s="2528"/>
      <c r="S409" s="2528"/>
      <c r="T409" s="2528"/>
      <c r="U409" s="2528"/>
      <c r="V409" s="2528"/>
      <c r="W409" s="2528"/>
      <c r="X409" s="2528"/>
      <c r="Y409" s="2528"/>
      <c r="Z409" s="2528"/>
      <c r="AA409" s="2528"/>
      <c r="AB409" s="2528"/>
      <c r="AC409" s="2528"/>
      <c r="AD409" s="2528"/>
      <c r="AE409" s="2528"/>
      <c r="AL409" s="1460"/>
      <c r="AM409" s="1207"/>
      <c r="AN409" s="1296"/>
    </row>
    <row r="410" spans="1:81" s="1222" customFormat="1" ht="12.75" customHeight="1">
      <c r="A410" s="1207"/>
      <c r="B410" s="1205"/>
      <c r="C410" s="2540" t="s">
        <v>616</v>
      </c>
      <c r="D410" s="2482"/>
      <c r="E410" s="1459"/>
      <c r="F410" s="1448" t="s">
        <v>1678</v>
      </c>
      <c r="G410" s="1295"/>
      <c r="H410" s="1295"/>
      <c r="I410" s="1295"/>
      <c r="J410" s="1295"/>
      <c r="K410" s="1295"/>
      <c r="L410" s="1295"/>
      <c r="M410" s="1295"/>
      <c r="N410" s="1295"/>
      <c r="O410" s="1295"/>
      <c r="P410" s="1295"/>
      <c r="Q410" s="1295"/>
      <c r="R410" s="1295"/>
      <c r="S410" s="1295"/>
      <c r="T410" s="1295"/>
      <c r="U410" s="1295"/>
      <c r="V410" s="1295"/>
      <c r="W410" s="1295"/>
      <c r="X410" s="1295"/>
      <c r="Y410" s="1295"/>
      <c r="Z410" s="1295"/>
      <c r="AA410" s="1295"/>
      <c r="AB410" s="1295"/>
      <c r="AC410" s="1295"/>
      <c r="AD410" s="1295"/>
      <c r="AF410" s="2476" t="s">
        <v>1661</v>
      </c>
      <c r="AG410" s="2476"/>
      <c r="AH410" s="2476"/>
      <c r="AI410" s="2476"/>
      <c r="AJ410" s="2476"/>
      <c r="AK410" s="2476"/>
      <c r="AL410" s="2545"/>
      <c r="AM410" s="1207"/>
      <c r="AN410" s="1296"/>
    </row>
    <row r="411" spans="1:81" s="1222" customFormat="1" ht="12.75" customHeight="1">
      <c r="A411" s="1207"/>
      <c r="B411" s="1205"/>
      <c r="C411" s="1468"/>
      <c r="AL411" s="1460"/>
      <c r="AM411" s="1207"/>
      <c r="AN411" s="1296"/>
    </row>
    <row r="412" spans="1:81" s="1222" customFormat="1" ht="12.75" customHeight="1">
      <c r="A412" s="1207"/>
      <c r="B412" s="1205"/>
      <c r="C412" s="2540" t="s">
        <v>616</v>
      </c>
      <c r="D412" s="2482"/>
      <c r="E412" s="1446"/>
      <c r="F412" s="1448" t="s">
        <v>1679</v>
      </c>
      <c r="G412" s="1295"/>
      <c r="H412" s="1295"/>
      <c r="I412" s="1295"/>
      <c r="J412" s="1295"/>
      <c r="K412" s="1295"/>
      <c r="L412" s="1295"/>
      <c r="M412" s="1295"/>
      <c r="N412" s="1295"/>
      <c r="O412" s="1295"/>
      <c r="P412" s="1295"/>
      <c r="Q412" s="1295"/>
      <c r="R412" s="1295"/>
      <c r="S412" s="1295"/>
      <c r="T412" s="1295"/>
      <c r="U412" s="1295"/>
      <c r="V412" s="1295"/>
      <c r="W412" s="1295"/>
      <c r="X412" s="1295"/>
      <c r="Y412" s="1295"/>
      <c r="Z412" s="1295"/>
      <c r="AA412" s="1295"/>
      <c r="AB412" s="1295"/>
      <c r="AC412" s="1295"/>
      <c r="AD412" s="1295"/>
      <c r="AF412" s="2476" t="s">
        <v>1673</v>
      </c>
      <c r="AG412" s="2476"/>
      <c r="AH412" s="2476"/>
      <c r="AI412" s="2476"/>
      <c r="AJ412" s="2476"/>
      <c r="AK412" s="2476"/>
      <c r="AL412" s="2545"/>
      <c r="AM412" s="1207"/>
      <c r="AN412" s="1296"/>
      <c r="AO412" s="1382"/>
      <c r="AP412" s="1382"/>
      <c r="BC412" s="1205"/>
    </row>
    <row r="413" spans="1:81" s="1222" customFormat="1" ht="12.75" customHeight="1">
      <c r="A413" s="1207"/>
      <c r="B413" s="1205"/>
      <c r="C413" s="1462"/>
      <c r="D413" s="1462"/>
      <c r="E413" s="1463"/>
      <c r="F413" s="1453"/>
      <c r="G413" s="1454"/>
      <c r="H413" s="1454"/>
      <c r="I413" s="1454"/>
      <c r="J413" s="1454"/>
      <c r="K413" s="1454"/>
      <c r="L413" s="1454"/>
      <c r="M413" s="1454"/>
      <c r="N413" s="1454"/>
      <c r="O413" s="1454"/>
      <c r="P413" s="1454"/>
      <c r="Q413" s="1454"/>
      <c r="R413" s="1454"/>
      <c r="S413" s="1454"/>
      <c r="T413" s="1454"/>
      <c r="U413" s="1454"/>
      <c r="V413" s="1454"/>
      <c r="W413" s="1454"/>
      <c r="X413" s="1454"/>
      <c r="Y413" s="1454"/>
      <c r="Z413" s="1454"/>
      <c r="AA413" s="1454"/>
      <c r="AB413" s="1454"/>
      <c r="AC413" s="1454"/>
      <c r="AD413" s="1454"/>
      <c r="AE413" s="1343"/>
      <c r="AF413" s="1261"/>
      <c r="AG413" s="1343"/>
      <c r="AH413" s="1455"/>
      <c r="AI413" s="1455"/>
      <c r="AJ413" s="1455"/>
      <c r="AK413" s="1455"/>
      <c r="AL413" s="1475"/>
      <c r="AM413" s="1207"/>
      <c r="AN413" s="1296"/>
    </row>
    <row r="414" spans="1:81" s="1222" customFormat="1" ht="12.75" customHeight="1">
      <c r="A414" s="1207"/>
      <c r="B414" s="1205"/>
      <c r="C414" s="1205"/>
      <c r="D414" s="1205"/>
      <c r="E414" s="1459"/>
      <c r="F414" s="1448"/>
      <c r="G414" s="1295"/>
      <c r="H414" s="1295"/>
      <c r="I414" s="1295"/>
      <c r="J414" s="1295"/>
      <c r="K414" s="1295"/>
      <c r="L414" s="1295"/>
      <c r="M414" s="1295"/>
      <c r="N414" s="1295"/>
      <c r="O414" s="1295"/>
      <c r="P414" s="1295"/>
      <c r="Q414" s="1295"/>
      <c r="R414" s="1295"/>
      <c r="S414" s="1295"/>
      <c r="T414" s="1295"/>
      <c r="U414" s="1295"/>
      <c r="V414" s="1295"/>
      <c r="W414" s="1295"/>
      <c r="X414" s="1295"/>
      <c r="Y414" s="1295"/>
      <c r="Z414" s="1295"/>
      <c r="AA414" s="1295"/>
      <c r="AB414" s="1295"/>
      <c r="AC414" s="1295"/>
      <c r="AD414" s="1295"/>
      <c r="AE414" s="1207"/>
      <c r="AF414" s="1210"/>
      <c r="AG414" s="1207"/>
      <c r="AM414" s="1207"/>
      <c r="AN414" s="1296"/>
    </row>
    <row r="415" spans="1:81" s="1222" customFormat="1" ht="12.75" customHeight="1">
      <c r="A415" s="1207"/>
      <c r="B415" s="1205"/>
      <c r="C415" s="1439" t="s">
        <v>1680</v>
      </c>
      <c r="D415" s="1205"/>
      <c r="E415" s="1459"/>
      <c r="F415" s="1295"/>
      <c r="G415" s="1295"/>
      <c r="H415" s="1295"/>
      <c r="I415" s="1295"/>
      <c r="J415" s="1295"/>
      <c r="K415" s="1295"/>
      <c r="L415" s="1295"/>
      <c r="M415" s="1295"/>
      <c r="N415" s="1295"/>
      <c r="O415" s="1295"/>
      <c r="P415" s="1295"/>
      <c r="Q415" s="1295"/>
      <c r="R415" s="1295"/>
      <c r="S415" s="1295"/>
      <c r="T415" s="1295"/>
      <c r="U415" s="1295"/>
      <c r="V415" s="1295"/>
      <c r="W415" s="1295"/>
      <c r="X415" s="1295"/>
      <c r="Y415" s="1295"/>
      <c r="Z415" s="1295"/>
      <c r="AA415" s="1295"/>
      <c r="AB415" s="1295"/>
      <c r="AC415" s="1295"/>
      <c r="AD415" s="1295"/>
      <c r="AE415" s="1207"/>
      <c r="AF415" s="1210"/>
      <c r="AG415" s="1207"/>
      <c r="AM415" s="1207"/>
      <c r="AN415" s="1296"/>
    </row>
    <row r="416" spans="1:81" s="1222" customFormat="1" ht="12.75" customHeight="1">
      <c r="A416" s="1207"/>
      <c r="B416" s="1205"/>
      <c r="C416" s="1440"/>
      <c r="D416" s="1441"/>
      <c r="E416" s="1442" t="s">
        <v>1681</v>
      </c>
      <c r="F416" s="2541" t="s">
        <v>1682</v>
      </c>
      <c r="G416" s="2541"/>
      <c r="H416" s="2541"/>
      <c r="I416" s="2541"/>
      <c r="J416" s="2541"/>
      <c r="K416" s="2541"/>
      <c r="L416" s="2541"/>
      <c r="M416" s="2541"/>
      <c r="N416" s="2541"/>
      <c r="O416" s="2541"/>
      <c r="P416" s="2541"/>
      <c r="Q416" s="2541"/>
      <c r="R416" s="2541"/>
      <c r="S416" s="2541"/>
      <c r="T416" s="2541"/>
      <c r="U416" s="2541"/>
      <c r="V416" s="2541"/>
      <c r="W416" s="2541"/>
      <c r="X416" s="2541"/>
      <c r="Y416" s="2541"/>
      <c r="Z416" s="2541"/>
      <c r="AA416" s="2541"/>
      <c r="AB416" s="2541"/>
      <c r="AC416" s="2541"/>
      <c r="AD416" s="2541"/>
      <c r="AE416" s="2541"/>
      <c r="AF416" s="1441"/>
      <c r="AG416" s="1441"/>
      <c r="AH416" s="1441"/>
      <c r="AI416" s="1441"/>
      <c r="AJ416" s="1441"/>
      <c r="AK416" s="1441"/>
      <c r="AL416" s="1471"/>
      <c r="AM416" s="1207"/>
      <c r="AN416" s="1296"/>
    </row>
    <row r="417" spans="1:60" s="1222" customFormat="1" ht="12.75" customHeight="1">
      <c r="A417" s="1207"/>
      <c r="B417" s="1205"/>
      <c r="C417" s="1458"/>
      <c r="D417" s="1205"/>
      <c r="E417" s="1459"/>
      <c r="F417" s="2528"/>
      <c r="G417" s="2528"/>
      <c r="H417" s="2528"/>
      <c r="I417" s="2528"/>
      <c r="J417" s="2528"/>
      <c r="K417" s="2528"/>
      <c r="L417" s="2528"/>
      <c r="M417" s="2528"/>
      <c r="N417" s="2528"/>
      <c r="O417" s="2528"/>
      <c r="P417" s="2528"/>
      <c r="Q417" s="2528"/>
      <c r="R417" s="2528"/>
      <c r="S417" s="2528"/>
      <c r="T417" s="2528"/>
      <c r="U417" s="2528"/>
      <c r="V417" s="2528"/>
      <c r="W417" s="2528"/>
      <c r="X417" s="2528"/>
      <c r="Y417" s="2528"/>
      <c r="Z417" s="2528"/>
      <c r="AA417" s="2528"/>
      <c r="AB417" s="2528"/>
      <c r="AC417" s="2528"/>
      <c r="AD417" s="2528"/>
      <c r="AE417" s="2528"/>
      <c r="AF417" s="1210"/>
      <c r="AG417" s="1207"/>
      <c r="AL417" s="1460"/>
      <c r="AM417" s="1207"/>
      <c r="AN417" s="1296"/>
    </row>
    <row r="418" spans="1:60" s="1222" customFormat="1" ht="12.6" customHeight="1">
      <c r="A418" s="1207"/>
      <c r="B418" s="1205"/>
      <c r="C418" s="1458"/>
      <c r="D418" s="1205"/>
      <c r="E418" s="1459"/>
      <c r="F418" s="2528"/>
      <c r="G418" s="2528"/>
      <c r="H418" s="2528"/>
      <c r="I418" s="2528"/>
      <c r="J418" s="2528"/>
      <c r="K418" s="2528"/>
      <c r="L418" s="2528"/>
      <c r="M418" s="2528"/>
      <c r="N418" s="2528"/>
      <c r="O418" s="2528"/>
      <c r="P418" s="2528"/>
      <c r="Q418" s="2528"/>
      <c r="R418" s="2528"/>
      <c r="S418" s="2528"/>
      <c r="T418" s="2528"/>
      <c r="U418" s="2528"/>
      <c r="V418" s="2528"/>
      <c r="W418" s="2528"/>
      <c r="X418" s="2528"/>
      <c r="Y418" s="2528"/>
      <c r="Z418" s="2528"/>
      <c r="AA418" s="2528"/>
      <c r="AB418" s="2528"/>
      <c r="AC418" s="2528"/>
      <c r="AD418" s="2528"/>
      <c r="AE418" s="2528"/>
      <c r="AL418" s="1460"/>
      <c r="AM418" s="1207"/>
      <c r="AN418" s="1296"/>
    </row>
    <row r="419" spans="1:60" s="1222" customFormat="1" ht="12.75" customHeight="1">
      <c r="A419" s="1207"/>
      <c r="B419" s="1205"/>
      <c r="C419" s="2540" t="s">
        <v>616</v>
      </c>
      <c r="D419" s="2482"/>
      <c r="E419" s="1459"/>
      <c r="F419" s="1448" t="s">
        <v>1683</v>
      </c>
      <c r="G419" s="1476"/>
      <c r="H419" s="1476"/>
      <c r="I419" s="1476"/>
      <c r="J419" s="1476"/>
      <c r="K419" s="1476"/>
      <c r="L419" s="1476"/>
      <c r="M419" s="1476"/>
      <c r="N419" s="1476"/>
      <c r="O419" s="1476"/>
      <c r="P419" s="1476"/>
      <c r="Q419" s="1476"/>
      <c r="R419" s="1476"/>
      <c r="S419" s="1476"/>
      <c r="T419" s="1476"/>
      <c r="U419" s="1476"/>
      <c r="V419" s="1476"/>
      <c r="W419" s="1476"/>
      <c r="X419" s="1476"/>
      <c r="Y419" s="1476"/>
      <c r="Z419" s="1476"/>
      <c r="AA419" s="1476"/>
      <c r="AB419" s="1476"/>
      <c r="AC419" s="1476"/>
      <c r="AD419" s="1476"/>
      <c r="AF419" s="2476" t="s">
        <v>1661</v>
      </c>
      <c r="AG419" s="2476"/>
      <c r="AH419" s="2476"/>
      <c r="AI419" s="2476"/>
      <c r="AJ419" s="2476"/>
      <c r="AK419" s="2476"/>
      <c r="AL419" s="2545"/>
      <c r="AM419" s="1207"/>
      <c r="AN419" s="1296"/>
    </row>
    <row r="420" spans="1:60" s="1222" customFormat="1" ht="12.75" customHeight="1">
      <c r="A420" s="1207"/>
      <c r="B420" s="1205"/>
      <c r="C420" s="1470"/>
      <c r="D420" s="1455"/>
      <c r="E420" s="1452"/>
      <c r="F420" s="1469"/>
      <c r="G420" s="1454"/>
      <c r="H420" s="1454"/>
      <c r="I420" s="1454"/>
      <c r="J420" s="1454"/>
      <c r="K420" s="1454"/>
      <c r="L420" s="1454"/>
      <c r="M420" s="1454"/>
      <c r="N420" s="1454"/>
      <c r="O420" s="1454"/>
      <c r="P420" s="1454"/>
      <c r="Q420" s="1454"/>
      <c r="R420" s="1454"/>
      <c r="S420" s="1454"/>
      <c r="T420" s="1454"/>
      <c r="U420" s="1454"/>
      <c r="V420" s="1454"/>
      <c r="W420" s="1454"/>
      <c r="X420" s="1454"/>
      <c r="Y420" s="1454"/>
      <c r="Z420" s="1454"/>
      <c r="AA420" s="1454"/>
      <c r="AB420" s="1454"/>
      <c r="AC420" s="1454"/>
      <c r="AD420" s="1454"/>
      <c r="AE420" s="1455"/>
      <c r="AF420" s="1455"/>
      <c r="AG420" s="1455"/>
      <c r="AH420" s="1455"/>
      <c r="AI420" s="1455"/>
      <c r="AJ420" s="1455"/>
      <c r="AK420" s="1455"/>
      <c r="AL420" s="1466"/>
      <c r="AM420" s="1207"/>
      <c r="AN420" s="1296"/>
    </row>
    <row r="421" spans="1:60" s="1222" customFormat="1" ht="12.75" customHeight="1">
      <c r="A421" s="1207"/>
      <c r="B421" s="1205"/>
      <c r="C421" s="1267"/>
      <c r="D421" s="1267"/>
      <c r="E421" s="1446"/>
      <c r="F421" s="1448"/>
      <c r="G421" s="1295"/>
      <c r="H421" s="1295"/>
      <c r="I421" s="1295"/>
      <c r="J421" s="1295"/>
      <c r="K421" s="1295"/>
      <c r="L421" s="1295"/>
      <c r="M421" s="1295"/>
      <c r="N421" s="1295"/>
      <c r="O421" s="1295"/>
      <c r="P421" s="1295"/>
      <c r="Q421" s="1295"/>
      <c r="R421" s="1295"/>
      <c r="S421" s="1295"/>
      <c r="T421" s="1295"/>
      <c r="U421" s="1295"/>
      <c r="V421" s="1295"/>
      <c r="W421" s="1295"/>
      <c r="X421" s="1295"/>
      <c r="Y421" s="1295"/>
      <c r="Z421" s="1295"/>
      <c r="AA421" s="1295"/>
      <c r="AB421" s="1295"/>
      <c r="AC421" s="1295"/>
      <c r="AD421" s="1295"/>
      <c r="AE421" s="1207"/>
      <c r="AM421" s="1207"/>
      <c r="AN421" s="1296"/>
    </row>
    <row r="422" spans="1:60" ht="13.35" customHeight="1">
      <c r="A422" s="1207"/>
      <c r="C422" s="1472"/>
      <c r="D422" s="1473"/>
      <c r="E422" s="1442" t="s">
        <v>1684</v>
      </c>
      <c r="F422" s="2541" t="s">
        <v>1685</v>
      </c>
      <c r="G422" s="2541"/>
      <c r="H422" s="2541"/>
      <c r="I422" s="2541"/>
      <c r="J422" s="2541"/>
      <c r="K422" s="2541"/>
      <c r="L422" s="2541"/>
      <c r="M422" s="2541"/>
      <c r="N422" s="2541"/>
      <c r="O422" s="2541"/>
      <c r="P422" s="2541"/>
      <c r="Q422" s="2541"/>
      <c r="R422" s="2541"/>
      <c r="S422" s="2541"/>
      <c r="T422" s="2541"/>
      <c r="U422" s="2541"/>
      <c r="V422" s="2541"/>
      <c r="W422" s="2541"/>
      <c r="X422" s="2541"/>
      <c r="Y422" s="2541"/>
      <c r="Z422" s="2541"/>
      <c r="AA422" s="2541"/>
      <c r="AB422" s="2541"/>
      <c r="AC422" s="2541"/>
      <c r="AD422" s="2541"/>
      <c r="AE422" s="2541"/>
      <c r="AF422" s="1473"/>
      <c r="AG422" s="1473"/>
      <c r="AH422" s="1473"/>
      <c r="AI422" s="1473"/>
      <c r="AJ422" s="1473"/>
      <c r="AK422" s="1473"/>
      <c r="AL422" s="1474"/>
      <c r="AM422" s="1207"/>
      <c r="AO422" s="1222"/>
      <c r="AP422" s="1222"/>
      <c r="BD422" s="1205"/>
      <c r="BE422" s="1205"/>
      <c r="BF422" s="1205"/>
      <c r="BG422" s="1205"/>
      <c r="BH422" s="1205"/>
    </row>
    <row r="423" spans="1:60">
      <c r="A423" s="1207"/>
      <c r="C423" s="1458"/>
      <c r="E423" s="1459"/>
      <c r="F423" s="2528"/>
      <c r="G423" s="2528"/>
      <c r="H423" s="2528"/>
      <c r="I423" s="2528"/>
      <c r="J423" s="2528"/>
      <c r="K423" s="2528"/>
      <c r="L423" s="2528"/>
      <c r="M423" s="2528"/>
      <c r="N423" s="2528"/>
      <c r="O423" s="2528"/>
      <c r="P423" s="2528"/>
      <c r="Q423" s="2528"/>
      <c r="R423" s="2528"/>
      <c r="S423" s="2528"/>
      <c r="T423" s="2528"/>
      <c r="U423" s="2528"/>
      <c r="V423" s="2528"/>
      <c r="W423" s="2528"/>
      <c r="X423" s="2528"/>
      <c r="Y423" s="2528"/>
      <c r="Z423" s="2528"/>
      <c r="AA423" s="2528"/>
      <c r="AB423" s="2528"/>
      <c r="AC423" s="2528"/>
      <c r="AD423" s="2528"/>
      <c r="AE423" s="2528"/>
      <c r="AF423" s="1289"/>
      <c r="AG423" s="1289"/>
      <c r="AH423" s="1289"/>
      <c r="AI423" s="1289"/>
      <c r="AJ423" s="1289"/>
      <c r="AK423" s="1289"/>
      <c r="AL423" s="1477"/>
      <c r="AM423" s="1207"/>
      <c r="AO423" s="1222"/>
      <c r="AP423" s="1222"/>
    </row>
    <row r="424" spans="1:60" s="1222" customFormat="1" ht="12.75" customHeight="1">
      <c r="A424" s="1207"/>
      <c r="B424" s="1205"/>
      <c r="C424" s="1458"/>
      <c r="D424" s="1205"/>
      <c r="E424" s="1459"/>
      <c r="F424" s="2528"/>
      <c r="G424" s="2528"/>
      <c r="H424" s="2528"/>
      <c r="I424" s="2528"/>
      <c r="J424" s="2528"/>
      <c r="K424" s="2528"/>
      <c r="L424" s="2528"/>
      <c r="M424" s="2528"/>
      <c r="N424" s="2528"/>
      <c r="O424" s="2528"/>
      <c r="P424" s="2528"/>
      <c r="Q424" s="2528"/>
      <c r="R424" s="2528"/>
      <c r="S424" s="2528"/>
      <c r="T424" s="2528"/>
      <c r="U424" s="2528"/>
      <c r="V424" s="2528"/>
      <c r="W424" s="2528"/>
      <c r="X424" s="2528"/>
      <c r="Y424" s="2528"/>
      <c r="Z424" s="2528"/>
      <c r="AA424" s="2528"/>
      <c r="AB424" s="2528"/>
      <c r="AC424" s="2528"/>
      <c r="AD424" s="2528"/>
      <c r="AE424" s="2528"/>
      <c r="AF424" s="1289"/>
      <c r="AG424" s="1289"/>
      <c r="AH424" s="1289"/>
      <c r="AI424" s="1289"/>
      <c r="AJ424" s="1289"/>
      <c r="AK424" s="1289"/>
      <c r="AL424" s="1477"/>
      <c r="AM424" s="1207"/>
      <c r="AN424" s="1296"/>
    </row>
    <row r="425" spans="1:60" s="1222" customFormat="1" ht="12.75" customHeight="1">
      <c r="A425" s="1207"/>
      <c r="B425" s="1205"/>
      <c r="C425" s="1478"/>
      <c r="D425" s="1267"/>
      <c r="E425" s="1446"/>
      <c r="F425" s="2528"/>
      <c r="G425" s="2528"/>
      <c r="H425" s="2528"/>
      <c r="I425" s="2528"/>
      <c r="J425" s="2528"/>
      <c r="K425" s="2528"/>
      <c r="L425" s="2528"/>
      <c r="M425" s="2528"/>
      <c r="N425" s="2528"/>
      <c r="O425" s="2528"/>
      <c r="P425" s="2528"/>
      <c r="Q425" s="2528"/>
      <c r="R425" s="2528"/>
      <c r="S425" s="2528"/>
      <c r="T425" s="2528"/>
      <c r="U425" s="2528"/>
      <c r="V425" s="2528"/>
      <c r="W425" s="2528"/>
      <c r="X425" s="2528"/>
      <c r="Y425" s="2528"/>
      <c r="Z425" s="2528"/>
      <c r="AA425" s="2528"/>
      <c r="AB425" s="2528"/>
      <c r="AC425" s="2528"/>
      <c r="AD425" s="2528"/>
      <c r="AE425" s="2528"/>
      <c r="AF425" s="1289"/>
      <c r="AG425" s="1289"/>
      <c r="AH425" s="1289"/>
      <c r="AI425" s="1289"/>
      <c r="AJ425" s="1289"/>
      <c r="AK425" s="1289"/>
      <c r="AL425" s="1477"/>
      <c r="AM425" s="1207"/>
      <c r="AN425" s="1296"/>
      <c r="AO425" s="1204"/>
      <c r="AP425" s="1205"/>
    </row>
    <row r="426" spans="1:60" s="1222" customFormat="1" ht="12.75" customHeight="1">
      <c r="A426" s="1207"/>
      <c r="B426" s="1205"/>
      <c r="C426" s="1478"/>
      <c r="D426" s="1267"/>
      <c r="E426" s="1446"/>
      <c r="F426" s="2528"/>
      <c r="G426" s="2528"/>
      <c r="H426" s="2528"/>
      <c r="I426" s="2528"/>
      <c r="J426" s="2528"/>
      <c r="K426" s="2528"/>
      <c r="L426" s="2528"/>
      <c r="M426" s="2528"/>
      <c r="N426" s="2528"/>
      <c r="O426" s="2528"/>
      <c r="P426" s="2528"/>
      <c r="Q426" s="2528"/>
      <c r="R426" s="2528"/>
      <c r="S426" s="2528"/>
      <c r="T426" s="2528"/>
      <c r="U426" s="2528"/>
      <c r="V426" s="2528"/>
      <c r="W426" s="2528"/>
      <c r="X426" s="2528"/>
      <c r="Y426" s="2528"/>
      <c r="Z426" s="2528"/>
      <c r="AA426" s="2528"/>
      <c r="AB426" s="2528"/>
      <c r="AC426" s="2528"/>
      <c r="AD426" s="2528"/>
      <c r="AE426" s="2528"/>
      <c r="AF426" s="1289"/>
      <c r="AG426" s="1289"/>
      <c r="AH426" s="1289"/>
      <c r="AI426" s="1289"/>
      <c r="AJ426" s="1289"/>
      <c r="AK426" s="1289"/>
      <c r="AL426" s="1477"/>
      <c r="AM426" s="1207"/>
      <c r="AN426" s="1296"/>
    </row>
    <row r="427" spans="1:60" s="1222" customFormat="1" ht="12.75" customHeight="1">
      <c r="A427" s="1207"/>
      <c r="B427" s="1205"/>
      <c r="C427" s="1478"/>
      <c r="D427" s="1267"/>
      <c r="E427" s="1446"/>
      <c r="F427" s="2528"/>
      <c r="G427" s="2528"/>
      <c r="H427" s="2528"/>
      <c r="I427" s="2528"/>
      <c r="J427" s="2528"/>
      <c r="K427" s="2528"/>
      <c r="L427" s="2528"/>
      <c r="M427" s="2528"/>
      <c r="N427" s="2528"/>
      <c r="O427" s="2528"/>
      <c r="P427" s="2528"/>
      <c r="Q427" s="2528"/>
      <c r="R427" s="2528"/>
      <c r="S427" s="2528"/>
      <c r="T427" s="2528"/>
      <c r="U427" s="2528"/>
      <c r="V427" s="2528"/>
      <c r="W427" s="2528"/>
      <c r="X427" s="2528"/>
      <c r="Y427" s="2528"/>
      <c r="Z427" s="2528"/>
      <c r="AA427" s="2528"/>
      <c r="AB427" s="2528"/>
      <c r="AC427" s="2528"/>
      <c r="AD427" s="2528"/>
      <c r="AE427" s="2528"/>
      <c r="AF427" s="1289"/>
      <c r="AG427" s="1289"/>
      <c r="AH427" s="1289"/>
      <c r="AI427" s="1289"/>
      <c r="AJ427" s="1289"/>
      <c r="AK427" s="1289"/>
      <c r="AL427" s="1477"/>
      <c r="AM427" s="1207"/>
      <c r="AN427" s="1296"/>
    </row>
    <row r="428" spans="1:60" s="1222" customFormat="1" ht="12.75" customHeight="1">
      <c r="A428" s="1207"/>
      <c r="B428" s="1205"/>
      <c r="C428" s="1478"/>
      <c r="D428" s="1267"/>
      <c r="E428" s="1446"/>
      <c r="F428" s="2528"/>
      <c r="G428" s="2528"/>
      <c r="H428" s="2528"/>
      <c r="I428" s="2528"/>
      <c r="J428" s="2528"/>
      <c r="K428" s="2528"/>
      <c r="L428" s="2528"/>
      <c r="M428" s="2528"/>
      <c r="N428" s="2528"/>
      <c r="O428" s="2528"/>
      <c r="P428" s="2528"/>
      <c r="Q428" s="2528"/>
      <c r="R428" s="2528"/>
      <c r="S428" s="2528"/>
      <c r="T428" s="2528"/>
      <c r="U428" s="2528"/>
      <c r="V428" s="2528"/>
      <c r="W428" s="2528"/>
      <c r="X428" s="2528"/>
      <c r="Y428" s="2528"/>
      <c r="Z428" s="2528"/>
      <c r="AA428" s="2528"/>
      <c r="AB428" s="2528"/>
      <c r="AC428" s="2528"/>
      <c r="AD428" s="2528"/>
      <c r="AE428" s="2528"/>
      <c r="AF428" s="1289"/>
      <c r="AG428" s="1289"/>
      <c r="AH428" s="1289"/>
      <c r="AI428" s="1289"/>
      <c r="AJ428" s="1289"/>
      <c r="AK428" s="1289"/>
      <c r="AL428" s="1477"/>
      <c r="AM428" s="1207"/>
      <c r="AN428" s="1296"/>
    </row>
    <row r="429" spans="1:60" s="1222" customFormat="1" ht="12.75" customHeight="1">
      <c r="A429" s="1207"/>
      <c r="B429" s="1205"/>
      <c r="C429" s="1478"/>
      <c r="D429" s="1267"/>
      <c r="E429" s="1446"/>
      <c r="F429" s="2528"/>
      <c r="G429" s="2528"/>
      <c r="H429" s="2528"/>
      <c r="I429" s="2528"/>
      <c r="J429" s="2528"/>
      <c r="K429" s="2528"/>
      <c r="L429" s="2528"/>
      <c r="M429" s="2528"/>
      <c r="N429" s="2528"/>
      <c r="O429" s="2528"/>
      <c r="P429" s="2528"/>
      <c r="Q429" s="2528"/>
      <c r="R429" s="2528"/>
      <c r="S429" s="2528"/>
      <c r="T429" s="2528"/>
      <c r="U429" s="2528"/>
      <c r="V429" s="2528"/>
      <c r="W429" s="2528"/>
      <c r="X429" s="2528"/>
      <c r="Y429" s="2528"/>
      <c r="Z429" s="2528"/>
      <c r="AA429" s="2528"/>
      <c r="AB429" s="2528"/>
      <c r="AC429" s="2528"/>
      <c r="AD429" s="2528"/>
      <c r="AE429" s="2528"/>
      <c r="AF429" s="1289"/>
      <c r="AG429" s="1289"/>
      <c r="AH429" s="1289"/>
      <c r="AI429" s="1289"/>
      <c r="AJ429" s="1289"/>
      <c r="AK429" s="1289"/>
      <c r="AL429" s="1477"/>
      <c r="AM429" s="1207"/>
      <c r="AN429" s="1296"/>
    </row>
    <row r="430" spans="1:60" s="1222" customFormat="1" ht="17.25" customHeight="1">
      <c r="A430" s="1207"/>
      <c r="B430" s="1205"/>
      <c r="C430" s="1478"/>
      <c r="D430" s="1267"/>
      <c r="E430" s="1446"/>
      <c r="F430" s="2528"/>
      <c r="G430" s="2528"/>
      <c r="H430" s="2528"/>
      <c r="I430" s="2528"/>
      <c r="J430" s="2528"/>
      <c r="K430" s="2528"/>
      <c r="L430" s="2528"/>
      <c r="M430" s="2528"/>
      <c r="N430" s="2528"/>
      <c r="O430" s="2528"/>
      <c r="P430" s="2528"/>
      <c r="Q430" s="2528"/>
      <c r="R430" s="2528"/>
      <c r="S430" s="2528"/>
      <c r="T430" s="2528"/>
      <c r="U430" s="2528"/>
      <c r="V430" s="2528"/>
      <c r="W430" s="2528"/>
      <c r="X430" s="2528"/>
      <c r="Y430" s="2528"/>
      <c r="Z430" s="2528"/>
      <c r="AA430" s="2528"/>
      <c r="AB430" s="2528"/>
      <c r="AC430" s="2528"/>
      <c r="AD430" s="2528"/>
      <c r="AE430" s="2528"/>
      <c r="AL430" s="1460"/>
      <c r="AM430" s="1207"/>
      <c r="AN430" s="1296"/>
    </row>
    <row r="431" spans="1:60" s="1222" customFormat="1" ht="12.75" customHeight="1">
      <c r="A431" s="1207"/>
      <c r="B431" s="1205"/>
      <c r="C431" s="2540" t="s">
        <v>616</v>
      </c>
      <c r="D431" s="2482"/>
      <c r="E431" s="1446"/>
      <c r="F431" s="1382" t="s">
        <v>1686</v>
      </c>
      <c r="G431" s="1294"/>
      <c r="H431" s="1294"/>
      <c r="I431" s="1294"/>
      <c r="J431" s="1294"/>
      <c r="K431" s="1294"/>
      <c r="L431" s="1294"/>
      <c r="M431" s="1294"/>
      <c r="N431" s="1294"/>
      <c r="O431" s="1294"/>
      <c r="P431" s="1294"/>
      <c r="Q431" s="1294"/>
      <c r="R431" s="1294"/>
      <c r="S431" s="1294"/>
      <c r="T431" s="1294"/>
      <c r="U431" s="1294"/>
      <c r="V431" s="1294"/>
      <c r="W431" s="1294"/>
      <c r="X431" s="1294"/>
      <c r="Y431" s="1294"/>
      <c r="Z431" s="1294"/>
      <c r="AA431" s="1294"/>
      <c r="AB431" s="1294"/>
      <c r="AC431" s="1294"/>
      <c r="AD431" s="1294"/>
      <c r="AF431" s="2476" t="s">
        <v>1661</v>
      </c>
      <c r="AG431" s="2476"/>
      <c r="AH431" s="2476"/>
      <c r="AI431" s="2476"/>
      <c r="AJ431" s="2476"/>
      <c r="AK431" s="2476"/>
      <c r="AL431" s="2545"/>
      <c r="AM431" s="1207"/>
      <c r="AN431" s="1296"/>
    </row>
    <row r="432" spans="1:60" s="1222" customFormat="1" ht="12.75" customHeight="1">
      <c r="A432" s="1207"/>
      <c r="B432" s="1205"/>
      <c r="C432" s="1470"/>
      <c r="D432" s="1455"/>
      <c r="E432" s="1452"/>
      <c r="F432" s="1469"/>
      <c r="G432" s="1454"/>
      <c r="H432" s="1454"/>
      <c r="I432" s="1454"/>
      <c r="J432" s="1454"/>
      <c r="K432" s="1454"/>
      <c r="L432" s="1454"/>
      <c r="M432" s="1454"/>
      <c r="N432" s="1454"/>
      <c r="O432" s="1454"/>
      <c r="P432" s="1454"/>
      <c r="Q432" s="1454"/>
      <c r="R432" s="1454"/>
      <c r="S432" s="1454"/>
      <c r="T432" s="1454"/>
      <c r="U432" s="1454"/>
      <c r="V432" s="1454"/>
      <c r="W432" s="1454"/>
      <c r="X432" s="1454"/>
      <c r="Y432" s="1454"/>
      <c r="Z432" s="1454"/>
      <c r="AA432" s="1454"/>
      <c r="AB432" s="1454"/>
      <c r="AC432" s="1454"/>
      <c r="AD432" s="1454"/>
      <c r="AE432" s="1455"/>
      <c r="AF432" s="1455"/>
      <c r="AG432" s="1455"/>
      <c r="AH432" s="1455"/>
      <c r="AI432" s="1455"/>
      <c r="AJ432" s="1455"/>
      <c r="AK432" s="1455"/>
      <c r="AL432" s="1466"/>
      <c r="AM432" s="1207"/>
      <c r="AN432" s="1296"/>
    </row>
    <row r="433" spans="1:54" s="1222" customFormat="1" ht="12.75" customHeight="1">
      <c r="A433" s="1207"/>
      <c r="B433" s="1205"/>
      <c r="C433" s="1267"/>
      <c r="D433" s="1267"/>
      <c r="E433" s="1446"/>
      <c r="F433" s="1448"/>
      <c r="G433" s="1295"/>
      <c r="H433" s="1295"/>
      <c r="I433" s="1295"/>
      <c r="J433" s="1295"/>
      <c r="K433" s="1295"/>
      <c r="L433" s="1295"/>
      <c r="M433" s="1295"/>
      <c r="N433" s="1295"/>
      <c r="O433" s="1295"/>
      <c r="P433" s="1295"/>
      <c r="Q433" s="1295"/>
      <c r="R433" s="1295"/>
      <c r="S433" s="1295"/>
      <c r="T433" s="1295"/>
      <c r="U433" s="1295"/>
      <c r="V433" s="1295"/>
      <c r="W433" s="1295"/>
      <c r="X433" s="1295"/>
      <c r="Y433" s="1295"/>
      <c r="Z433" s="1295"/>
      <c r="AA433" s="1295"/>
      <c r="AB433" s="1295"/>
      <c r="AC433" s="1295"/>
      <c r="AD433" s="1295"/>
      <c r="AE433" s="1286"/>
      <c r="AF433" s="1286"/>
      <c r="AG433" s="1286"/>
      <c r="AH433" s="1286"/>
      <c r="AI433" s="1286"/>
      <c r="AJ433" s="1286"/>
      <c r="AK433" s="1286"/>
      <c r="AL433" s="1286"/>
      <c r="AM433" s="1207"/>
      <c r="AN433" s="1296"/>
    </row>
    <row r="434" spans="1:54" s="1222" customFormat="1" ht="12.75" customHeight="1">
      <c r="A434" s="1207"/>
      <c r="B434" s="1205"/>
      <c r="C434" s="1440"/>
      <c r="D434" s="1441"/>
      <c r="E434" s="1442" t="s">
        <v>1687</v>
      </c>
      <c r="F434" s="2541" t="s">
        <v>1688</v>
      </c>
      <c r="G434" s="2541"/>
      <c r="H434" s="2541"/>
      <c r="I434" s="2541"/>
      <c r="J434" s="2541"/>
      <c r="K434" s="2541"/>
      <c r="L434" s="2541"/>
      <c r="M434" s="2541"/>
      <c r="N434" s="2541"/>
      <c r="O434" s="2541"/>
      <c r="P434" s="2541"/>
      <c r="Q434" s="2541"/>
      <c r="R434" s="2541"/>
      <c r="S434" s="2541"/>
      <c r="T434" s="2541"/>
      <c r="U434" s="2541"/>
      <c r="V434" s="2541"/>
      <c r="W434" s="2541"/>
      <c r="X434" s="2541"/>
      <c r="Y434" s="2541"/>
      <c r="Z434" s="2541"/>
      <c r="AA434" s="2541"/>
      <c r="AB434" s="2541"/>
      <c r="AC434" s="2541"/>
      <c r="AD434" s="2541"/>
      <c r="AE434" s="2541"/>
      <c r="AF434" s="1441"/>
      <c r="AG434" s="1441"/>
      <c r="AH434" s="1441"/>
      <c r="AI434" s="1441"/>
      <c r="AJ434" s="1441"/>
      <c r="AK434" s="1441"/>
      <c r="AL434" s="1471"/>
      <c r="AM434" s="1207"/>
      <c r="AN434" s="1296"/>
      <c r="AO434" s="1222" t="s">
        <v>616</v>
      </c>
      <c r="AP434" s="1222">
        <v>0</v>
      </c>
      <c r="AQ434" s="1479"/>
    </row>
    <row r="435" spans="1:54" s="1222" customFormat="1" ht="12.75" customHeight="1">
      <c r="A435" s="1207"/>
      <c r="B435" s="1205"/>
      <c r="C435" s="1478"/>
      <c r="D435" s="1267"/>
      <c r="E435" s="1446"/>
      <c r="F435" s="2528"/>
      <c r="G435" s="2528"/>
      <c r="H435" s="2528"/>
      <c r="I435" s="2528"/>
      <c r="J435" s="2528"/>
      <c r="K435" s="2528"/>
      <c r="L435" s="2528"/>
      <c r="M435" s="2528"/>
      <c r="N435" s="2528"/>
      <c r="O435" s="2528"/>
      <c r="P435" s="2528"/>
      <c r="Q435" s="2528"/>
      <c r="R435" s="2528"/>
      <c r="S435" s="2528"/>
      <c r="T435" s="2528"/>
      <c r="U435" s="2528"/>
      <c r="V435" s="2528"/>
      <c r="W435" s="2528"/>
      <c r="X435" s="2528"/>
      <c r="Y435" s="2528"/>
      <c r="Z435" s="2528"/>
      <c r="AA435" s="2528"/>
      <c r="AB435" s="2528"/>
      <c r="AC435" s="2528"/>
      <c r="AD435" s="2528"/>
      <c r="AE435" s="2528"/>
      <c r="AF435" s="1286"/>
      <c r="AG435" s="1286"/>
      <c r="AH435" s="1286"/>
      <c r="AI435" s="1286"/>
      <c r="AJ435" s="1286"/>
      <c r="AK435" s="1286"/>
      <c r="AL435" s="1447"/>
      <c r="AM435" s="1207"/>
      <c r="AN435" s="1296"/>
      <c r="AO435" s="1222" t="s">
        <v>1689</v>
      </c>
      <c r="AP435" s="1222">
        <v>5</v>
      </c>
      <c r="AQ435" s="1479"/>
    </row>
    <row r="436" spans="1:54" s="1222" customFormat="1" ht="12.75" customHeight="1">
      <c r="A436" s="1207"/>
      <c r="B436" s="1205"/>
      <c r="C436" s="1478"/>
      <c r="D436" s="1267"/>
      <c r="E436" s="1446"/>
      <c r="F436" s="2528"/>
      <c r="G436" s="2528"/>
      <c r="H436" s="2528"/>
      <c r="I436" s="2528"/>
      <c r="J436" s="2528"/>
      <c r="K436" s="2528"/>
      <c r="L436" s="2528"/>
      <c r="M436" s="2528"/>
      <c r="N436" s="2528"/>
      <c r="O436" s="2528"/>
      <c r="P436" s="2528"/>
      <c r="Q436" s="2528"/>
      <c r="R436" s="2528"/>
      <c r="S436" s="2528"/>
      <c r="T436" s="2528"/>
      <c r="U436" s="2528"/>
      <c r="V436" s="2528"/>
      <c r="W436" s="2528"/>
      <c r="X436" s="2528"/>
      <c r="Y436" s="2528"/>
      <c r="Z436" s="2528"/>
      <c r="AA436" s="2528"/>
      <c r="AB436" s="2528"/>
      <c r="AC436" s="2528"/>
      <c r="AD436" s="2528"/>
      <c r="AE436" s="2528"/>
      <c r="AF436" s="1286"/>
      <c r="AG436" s="1286"/>
      <c r="AH436" s="1286"/>
      <c r="AI436" s="1286"/>
      <c r="AJ436" s="1286"/>
      <c r="AK436" s="1286"/>
      <c r="AL436" s="1447"/>
      <c r="AM436" s="1207"/>
      <c r="AN436" s="1296"/>
      <c r="AO436" s="1222" t="s">
        <v>1690</v>
      </c>
      <c r="AP436" s="1222">
        <v>5</v>
      </c>
      <c r="AQ436" s="1479"/>
    </row>
    <row r="437" spans="1:54" s="1222" customFormat="1" ht="12.75" customHeight="1">
      <c r="A437" s="1207"/>
      <c r="B437" s="1205"/>
      <c r="C437" s="1478"/>
      <c r="D437" s="1267"/>
      <c r="E437" s="1446"/>
      <c r="F437" s="2528"/>
      <c r="G437" s="2528"/>
      <c r="H437" s="2528"/>
      <c r="I437" s="2528"/>
      <c r="J437" s="2528"/>
      <c r="K437" s="2528"/>
      <c r="L437" s="2528"/>
      <c r="M437" s="2528"/>
      <c r="N437" s="2528"/>
      <c r="O437" s="2528"/>
      <c r="P437" s="2528"/>
      <c r="Q437" s="2528"/>
      <c r="R437" s="2528"/>
      <c r="S437" s="2528"/>
      <c r="T437" s="2528"/>
      <c r="U437" s="2528"/>
      <c r="V437" s="2528"/>
      <c r="W437" s="2528"/>
      <c r="X437" s="2528"/>
      <c r="Y437" s="2528"/>
      <c r="Z437" s="2528"/>
      <c r="AA437" s="2528"/>
      <c r="AB437" s="2528"/>
      <c r="AC437" s="2528"/>
      <c r="AD437" s="2528"/>
      <c r="AE437" s="2528"/>
      <c r="AL437" s="1460"/>
      <c r="AM437" s="1207"/>
      <c r="AN437" s="1296"/>
      <c r="AO437" s="1222" t="s">
        <v>1691</v>
      </c>
      <c r="AP437" s="1222">
        <v>5</v>
      </c>
      <c r="AQ437" s="1207"/>
    </row>
    <row r="438" spans="1:54" s="1222" customFormat="1" ht="12.75" customHeight="1">
      <c r="A438" s="1207"/>
      <c r="B438" s="1205"/>
      <c r="C438" s="2540" t="s">
        <v>616</v>
      </c>
      <c r="D438" s="2482"/>
      <c r="E438" s="1446"/>
      <c r="F438" s="1448" t="s">
        <v>1692</v>
      </c>
      <c r="G438" s="1295"/>
      <c r="H438" s="1295"/>
      <c r="I438" s="1295"/>
      <c r="J438" s="1295"/>
      <c r="K438" s="1295"/>
      <c r="L438" s="1295"/>
      <c r="M438" s="1295"/>
      <c r="N438" s="1295"/>
      <c r="O438" s="1295"/>
      <c r="P438" s="1295"/>
      <c r="Q438" s="1295"/>
      <c r="R438" s="1295"/>
      <c r="S438" s="1295"/>
      <c r="T438" s="1295"/>
      <c r="U438" s="1295"/>
      <c r="V438" s="1295"/>
      <c r="W438" s="1295"/>
      <c r="X438" s="1295"/>
      <c r="Y438" s="1295"/>
      <c r="Z438" s="1295"/>
      <c r="AA438" s="1295"/>
      <c r="AB438" s="1295"/>
      <c r="AC438" s="1295"/>
      <c r="AD438" s="1295"/>
      <c r="AF438" s="2476" t="s">
        <v>1661</v>
      </c>
      <c r="AG438" s="2476"/>
      <c r="AH438" s="2476"/>
      <c r="AI438" s="2476"/>
      <c r="AJ438" s="2476"/>
      <c r="AK438" s="2476"/>
      <c r="AL438" s="2545"/>
      <c r="AM438" s="1207"/>
      <c r="AN438" s="1480"/>
      <c r="AO438" s="1222" t="s">
        <v>1693</v>
      </c>
      <c r="AP438" s="1222">
        <v>5</v>
      </c>
    </row>
    <row r="439" spans="1:54" s="1222" customFormat="1" ht="12.75" customHeight="1">
      <c r="A439" s="1207"/>
      <c r="B439" s="1205"/>
      <c r="C439" s="1478"/>
      <c r="D439" s="1267"/>
      <c r="E439" s="1446"/>
      <c r="F439" s="1448"/>
      <c r="G439" s="1295"/>
      <c r="H439" s="1295"/>
      <c r="I439" s="1295"/>
      <c r="J439" s="1295"/>
      <c r="K439" s="1295"/>
      <c r="L439" s="1295"/>
      <c r="M439" s="1295"/>
      <c r="N439" s="1295"/>
      <c r="O439" s="1295"/>
      <c r="P439" s="1295"/>
      <c r="Q439" s="1295"/>
      <c r="R439" s="1295"/>
      <c r="S439" s="1295"/>
      <c r="T439" s="1295"/>
      <c r="U439" s="1295"/>
      <c r="V439" s="1295"/>
      <c r="W439" s="1295"/>
      <c r="X439" s="1295"/>
      <c r="Y439" s="1295"/>
      <c r="Z439" s="1295"/>
      <c r="AA439" s="1295"/>
      <c r="AB439" s="1295"/>
      <c r="AC439" s="1295"/>
      <c r="AD439" s="1295"/>
      <c r="AE439" s="1286"/>
      <c r="AL439" s="1460"/>
      <c r="AM439" s="1207"/>
      <c r="AN439" s="1480"/>
      <c r="AO439" s="1222" t="s">
        <v>1694</v>
      </c>
      <c r="AP439" s="1222">
        <v>5</v>
      </c>
    </row>
    <row r="440" spans="1:54" s="1222" customFormat="1" ht="12.75" customHeight="1">
      <c r="A440" s="1207"/>
      <c r="B440" s="1205"/>
      <c r="C440" s="1461"/>
      <c r="D440" s="1462"/>
      <c r="E440" s="1463"/>
      <c r="F440" s="1455" t="s">
        <v>1668</v>
      </c>
      <c r="G440" s="1464"/>
      <c r="H440" s="1464"/>
      <c r="I440" s="1464"/>
      <c r="J440" s="1464"/>
      <c r="K440" s="1464"/>
      <c r="L440" s="1464"/>
      <c r="M440" s="1464"/>
      <c r="N440" s="1464"/>
      <c r="O440" s="1464"/>
      <c r="P440" s="1464"/>
      <c r="Q440" s="1464"/>
      <c r="R440" s="1464"/>
      <c r="S440" s="1464"/>
      <c r="T440" s="1464"/>
      <c r="U440" s="1464"/>
      <c r="V440" s="1464"/>
      <c r="W440" s="1464"/>
      <c r="X440" s="1464"/>
      <c r="Y440" s="1464"/>
      <c r="Z440" s="1464"/>
      <c r="AA440" s="1464"/>
      <c r="AB440" s="1464"/>
      <c r="AC440" s="1464"/>
      <c r="AD440" s="1464"/>
      <c r="AE440" s="1343"/>
      <c r="AF440" s="1261"/>
      <c r="AG440" s="1343"/>
      <c r="AH440" s="1455"/>
      <c r="AI440" s="1455"/>
      <c r="AJ440" s="1455"/>
      <c r="AK440" s="1455"/>
      <c r="AL440" s="1466"/>
      <c r="AM440" s="1207"/>
      <c r="AN440" s="1480"/>
      <c r="AO440" s="1222" t="s">
        <v>1695</v>
      </c>
      <c r="AP440" s="1222">
        <v>5</v>
      </c>
    </row>
    <row r="441" spans="1:54" s="1222" customFormat="1" ht="12.75" customHeight="1">
      <c r="A441" s="1207"/>
      <c r="B441" s="1205"/>
      <c r="C441" s="1267"/>
      <c r="D441" s="1267"/>
      <c r="E441" s="1446"/>
      <c r="F441" s="1448"/>
      <c r="G441" s="1295"/>
      <c r="H441" s="1295"/>
      <c r="I441" s="1295"/>
      <c r="J441" s="1295"/>
      <c r="K441" s="1295"/>
      <c r="L441" s="1295"/>
      <c r="M441" s="1295"/>
      <c r="N441" s="1295"/>
      <c r="O441" s="1295"/>
      <c r="P441" s="1295"/>
      <c r="Q441" s="1295"/>
      <c r="R441" s="1295"/>
      <c r="S441" s="1295"/>
      <c r="T441" s="1295"/>
      <c r="U441" s="1295"/>
      <c r="V441" s="1295"/>
      <c r="W441" s="1295"/>
      <c r="X441" s="1295"/>
      <c r="Y441" s="1295"/>
      <c r="Z441" s="1295"/>
      <c r="AA441" s="1295"/>
      <c r="AB441" s="1295"/>
      <c r="AC441" s="1295"/>
      <c r="AD441" s="1295"/>
      <c r="AE441" s="1286"/>
      <c r="AM441" s="1207"/>
      <c r="AN441" s="1480"/>
      <c r="AO441" s="1222" t="s">
        <v>1696</v>
      </c>
      <c r="AP441" s="1222">
        <v>5</v>
      </c>
    </row>
    <row r="442" spans="1:54" s="1222" customFormat="1" ht="12.75" customHeight="1">
      <c r="A442" s="1207"/>
      <c r="B442" s="1205"/>
      <c r="C442" s="2546" t="s">
        <v>616</v>
      </c>
      <c r="D442" s="2547"/>
      <c r="E442" s="1442" t="s">
        <v>1697</v>
      </c>
      <c r="F442" s="2541" t="s">
        <v>1698</v>
      </c>
      <c r="G442" s="2541"/>
      <c r="H442" s="2541"/>
      <c r="I442" s="2541"/>
      <c r="J442" s="2541"/>
      <c r="K442" s="2541"/>
      <c r="L442" s="2541"/>
      <c r="M442" s="2541"/>
      <c r="N442" s="2541"/>
      <c r="O442" s="2541"/>
      <c r="P442" s="2541"/>
      <c r="Q442" s="2541"/>
      <c r="R442" s="2541"/>
      <c r="S442" s="2541"/>
      <c r="T442" s="2541"/>
      <c r="U442" s="2541"/>
      <c r="V442" s="2541"/>
      <c r="W442" s="2541"/>
      <c r="X442" s="2541"/>
      <c r="Y442" s="2541"/>
      <c r="Z442" s="2541"/>
      <c r="AA442" s="2541"/>
      <c r="AB442" s="2541"/>
      <c r="AC442" s="2541"/>
      <c r="AD442" s="2541"/>
      <c r="AE442" s="2541"/>
      <c r="AF442" s="2542" t="s">
        <v>1661</v>
      </c>
      <c r="AG442" s="2542"/>
      <c r="AH442" s="2542"/>
      <c r="AI442" s="2542"/>
      <c r="AJ442" s="2542"/>
      <c r="AK442" s="2542"/>
      <c r="AL442" s="2543"/>
      <c r="AM442" s="1207"/>
      <c r="AN442" s="1480"/>
      <c r="AO442" s="1222" t="s">
        <v>1699</v>
      </c>
      <c r="AP442" s="1222">
        <v>1</v>
      </c>
    </row>
    <row r="443" spans="1:54" s="1222" customFormat="1" ht="12.75" customHeight="1">
      <c r="A443" s="1207"/>
      <c r="B443" s="1205"/>
      <c r="C443" s="1478"/>
      <c r="D443" s="1267"/>
      <c r="E443" s="1446"/>
      <c r="F443" s="2528"/>
      <c r="G443" s="2528"/>
      <c r="H443" s="2528"/>
      <c r="I443" s="2528"/>
      <c r="J443" s="2528"/>
      <c r="K443" s="2528"/>
      <c r="L443" s="2528"/>
      <c r="M443" s="2528"/>
      <c r="N443" s="2528"/>
      <c r="O443" s="2528"/>
      <c r="P443" s="2528"/>
      <c r="Q443" s="2528"/>
      <c r="R443" s="2528"/>
      <c r="S443" s="2528"/>
      <c r="T443" s="2528"/>
      <c r="U443" s="2528"/>
      <c r="V443" s="2528"/>
      <c r="W443" s="2528"/>
      <c r="X443" s="2528"/>
      <c r="Y443" s="2528"/>
      <c r="Z443" s="2528"/>
      <c r="AA443" s="2528"/>
      <c r="AB443" s="2528"/>
      <c r="AC443" s="2528"/>
      <c r="AD443" s="2528"/>
      <c r="AE443" s="2528"/>
      <c r="AF443" s="1286"/>
      <c r="AG443" s="1286"/>
      <c r="AH443" s="1286"/>
      <c r="AI443" s="1286"/>
      <c r="AJ443" s="1286"/>
      <c r="AK443" s="1286"/>
      <c r="AL443" s="1447"/>
      <c r="AM443" s="1207"/>
      <c r="AN443" s="1481"/>
      <c r="AS443" s="1482"/>
      <c r="AW443" s="1482" t="s">
        <v>1700</v>
      </c>
      <c r="BA443" s="1482" t="s">
        <v>1701</v>
      </c>
    </row>
    <row r="444" spans="1:54" s="1222" customFormat="1" ht="17.850000000000001" customHeight="1">
      <c r="A444" s="1207"/>
      <c r="B444" s="1205"/>
      <c r="C444" s="1450"/>
      <c r="D444" s="1451"/>
      <c r="E444" s="1452"/>
      <c r="F444" s="2529"/>
      <c r="G444" s="2529"/>
      <c r="H444" s="2529"/>
      <c r="I444" s="2529"/>
      <c r="J444" s="2529"/>
      <c r="K444" s="2529"/>
      <c r="L444" s="2529"/>
      <c r="M444" s="2529"/>
      <c r="N444" s="2529"/>
      <c r="O444" s="2529"/>
      <c r="P444" s="2529"/>
      <c r="Q444" s="2529"/>
      <c r="R444" s="2529"/>
      <c r="S444" s="2529"/>
      <c r="T444" s="2529"/>
      <c r="U444" s="2529"/>
      <c r="V444" s="2529"/>
      <c r="W444" s="2529"/>
      <c r="X444" s="2529"/>
      <c r="Y444" s="2529"/>
      <c r="Z444" s="2529"/>
      <c r="AA444" s="2529"/>
      <c r="AB444" s="2529"/>
      <c r="AC444" s="2529"/>
      <c r="AD444" s="2529"/>
      <c r="AE444" s="2529"/>
      <c r="AF444" s="1483"/>
      <c r="AG444" s="1483"/>
      <c r="AH444" s="1483"/>
      <c r="AI444" s="1483"/>
      <c r="AJ444" s="1483"/>
      <c r="AK444" s="1483"/>
      <c r="AL444" s="1456"/>
      <c r="AM444" s="1207"/>
      <c r="AN444" s="1206"/>
      <c r="AO444" s="1222" t="s">
        <v>616</v>
      </c>
      <c r="AP444" s="1385">
        <v>0</v>
      </c>
      <c r="AR444" s="1222" t="s">
        <v>616</v>
      </c>
      <c r="AS444" s="1385">
        <v>0</v>
      </c>
      <c r="AT444" s="1484"/>
      <c r="AW444" s="1222" t="s">
        <v>616</v>
      </c>
      <c r="AX444" s="1484">
        <v>0</v>
      </c>
      <c r="BA444" s="1222" t="s">
        <v>616</v>
      </c>
      <c r="BB444" s="1484">
        <v>0</v>
      </c>
    </row>
    <row r="445" spans="1:54" s="1222" customFormat="1" ht="12.75" customHeight="1">
      <c r="A445" s="1207"/>
      <c r="B445" s="1205"/>
      <c r="C445" s="1267"/>
      <c r="D445" s="1267"/>
      <c r="E445" s="1446"/>
      <c r="F445" s="1448"/>
      <c r="G445" s="1295"/>
      <c r="H445" s="1295"/>
      <c r="I445" s="1295"/>
      <c r="J445" s="1295"/>
      <c r="K445" s="1295"/>
      <c r="L445" s="1295"/>
      <c r="M445" s="1295"/>
      <c r="N445" s="1295"/>
      <c r="O445" s="1295"/>
      <c r="P445" s="1295"/>
      <c r="Q445" s="1295"/>
      <c r="R445" s="1295"/>
      <c r="S445" s="1295"/>
      <c r="T445" s="1295"/>
      <c r="U445" s="1295"/>
      <c r="V445" s="1295"/>
      <c r="W445" s="1295"/>
      <c r="X445" s="1295"/>
      <c r="Y445" s="1295"/>
      <c r="Z445" s="1295"/>
      <c r="AA445" s="1295"/>
      <c r="AB445" s="1295"/>
      <c r="AC445" s="1295"/>
      <c r="AD445" s="1295"/>
      <c r="AE445" s="1286"/>
      <c r="AM445" s="1207"/>
      <c r="AN445" s="1206"/>
      <c r="AO445" s="1485">
        <v>7.0000000000000007E-2</v>
      </c>
      <c r="AP445" s="1385">
        <v>3</v>
      </c>
      <c r="AR445" s="1222" t="s">
        <v>1702</v>
      </c>
      <c r="AS445" s="1385">
        <v>3</v>
      </c>
      <c r="AT445" s="1484"/>
      <c r="AW445" s="1485">
        <v>0.4</v>
      </c>
      <c r="AX445" s="1484">
        <v>3</v>
      </c>
      <c r="BA445" s="1485">
        <v>0.4</v>
      </c>
      <c r="BB445" s="1484">
        <v>4</v>
      </c>
    </row>
    <row r="446" spans="1:54" s="1222" customFormat="1" ht="12.75" customHeight="1">
      <c r="A446" s="1207"/>
      <c r="B446" s="1205"/>
      <c r="C446" s="2540" t="s">
        <v>616</v>
      </c>
      <c r="D446" s="2482"/>
      <c r="E446" s="1442" t="s">
        <v>1703</v>
      </c>
      <c r="F446" s="2541" t="s">
        <v>1704</v>
      </c>
      <c r="G446" s="2541"/>
      <c r="H446" s="2541"/>
      <c r="I446" s="2541"/>
      <c r="J446" s="2541"/>
      <c r="K446" s="2541"/>
      <c r="L446" s="2541"/>
      <c r="M446" s="2541"/>
      <c r="N446" s="2541"/>
      <c r="O446" s="2541"/>
      <c r="P446" s="2541"/>
      <c r="Q446" s="2541"/>
      <c r="R446" s="2541"/>
      <c r="S446" s="2541"/>
      <c r="T446" s="2541"/>
      <c r="U446" s="2541"/>
      <c r="V446" s="2541"/>
      <c r="W446" s="2541"/>
      <c r="X446" s="2541"/>
      <c r="Y446" s="2541"/>
      <c r="Z446" s="2541"/>
      <c r="AA446" s="2541"/>
      <c r="AB446" s="2541"/>
      <c r="AC446" s="2541"/>
      <c r="AD446" s="2541"/>
      <c r="AE446" s="2541"/>
      <c r="AF446" s="2542" t="s">
        <v>1661</v>
      </c>
      <c r="AG446" s="2542"/>
      <c r="AH446" s="2542"/>
      <c r="AI446" s="2542"/>
      <c r="AJ446" s="2542"/>
      <c r="AK446" s="2542"/>
      <c r="AL446" s="2543"/>
      <c r="AM446" s="1207"/>
      <c r="AN446" s="1206"/>
      <c r="AO446" s="1485">
        <v>0.12</v>
      </c>
      <c r="AP446" s="1385">
        <v>5</v>
      </c>
      <c r="AR446" s="1222" t="s">
        <v>1705</v>
      </c>
      <c r="AS446" s="1385">
        <v>5</v>
      </c>
      <c r="AT446" s="1484"/>
      <c r="AW446" s="1485">
        <v>0.6</v>
      </c>
      <c r="AX446" s="1484">
        <v>4</v>
      </c>
      <c r="BA446" s="1485">
        <v>0.6</v>
      </c>
      <c r="BB446" s="1484">
        <v>5</v>
      </c>
    </row>
    <row r="447" spans="1:54" s="1222" customFormat="1" ht="12.75" customHeight="1">
      <c r="A447" s="1207"/>
      <c r="B447" s="1205"/>
      <c r="C447" s="1458"/>
      <c r="D447" s="1205"/>
      <c r="E447" s="1459"/>
      <c r="F447" s="2528"/>
      <c r="G447" s="2528"/>
      <c r="H447" s="2528"/>
      <c r="I447" s="2528"/>
      <c r="J447" s="2528"/>
      <c r="K447" s="2528"/>
      <c r="L447" s="2528"/>
      <c r="M447" s="2528"/>
      <c r="N447" s="2528"/>
      <c r="O447" s="2528"/>
      <c r="P447" s="2528"/>
      <c r="Q447" s="2528"/>
      <c r="R447" s="2528"/>
      <c r="S447" s="2528"/>
      <c r="T447" s="2528"/>
      <c r="U447" s="2528"/>
      <c r="V447" s="2528"/>
      <c r="W447" s="2528"/>
      <c r="X447" s="2528"/>
      <c r="Y447" s="2528"/>
      <c r="Z447" s="2528"/>
      <c r="AA447" s="2528"/>
      <c r="AB447" s="2528"/>
      <c r="AC447" s="2528"/>
      <c r="AD447" s="2528"/>
      <c r="AE447" s="2528"/>
      <c r="AF447" s="1210"/>
      <c r="AG447" s="1207"/>
      <c r="AL447" s="1460"/>
      <c r="AM447" s="1207"/>
      <c r="AN447" s="1206"/>
      <c r="AO447" s="1485"/>
      <c r="AP447" s="1484"/>
      <c r="AS447" s="1485"/>
      <c r="AT447" s="1484"/>
      <c r="AW447" s="1485">
        <v>0.8</v>
      </c>
      <c r="AX447" s="1484">
        <v>5</v>
      </c>
      <c r="BA447" s="1485"/>
      <c r="BB447" s="1484"/>
    </row>
    <row r="448" spans="1:54" s="1222" customFormat="1" ht="12.75" customHeight="1">
      <c r="A448" s="1207"/>
      <c r="B448" s="1205"/>
      <c r="C448" s="1458"/>
      <c r="D448" s="1205"/>
      <c r="E448" s="1459"/>
      <c r="F448" s="2528"/>
      <c r="G448" s="2528"/>
      <c r="H448" s="2528"/>
      <c r="I448" s="2528"/>
      <c r="J448" s="2528"/>
      <c r="K448" s="2528"/>
      <c r="L448" s="2528"/>
      <c r="M448" s="2528"/>
      <c r="N448" s="2528"/>
      <c r="O448" s="2528"/>
      <c r="P448" s="2528"/>
      <c r="Q448" s="2528"/>
      <c r="R448" s="2528"/>
      <c r="S448" s="2528"/>
      <c r="T448" s="2528"/>
      <c r="U448" s="2528"/>
      <c r="V448" s="2528"/>
      <c r="W448" s="2528"/>
      <c r="X448" s="2528"/>
      <c r="Y448" s="2528"/>
      <c r="Z448" s="2528"/>
      <c r="AA448" s="2528"/>
      <c r="AB448" s="2528"/>
      <c r="AC448" s="2528"/>
      <c r="AD448" s="2528"/>
      <c r="AE448" s="2528"/>
      <c r="AF448" s="1210"/>
      <c r="AG448" s="1207"/>
      <c r="AL448" s="1460"/>
      <c r="AM448" s="1207"/>
      <c r="AN448" s="1206"/>
      <c r="AO448" s="1222" t="s">
        <v>616</v>
      </c>
      <c r="AP448" s="1385">
        <v>0</v>
      </c>
      <c r="AW448" s="1485"/>
      <c r="AX448" s="1484"/>
    </row>
    <row r="449" spans="1:49" s="1222" customFormat="1" ht="12.75" customHeight="1">
      <c r="A449" s="1207"/>
      <c r="B449" s="1205"/>
      <c r="C449" s="1450"/>
      <c r="D449" s="1451"/>
      <c r="E449" s="1452"/>
      <c r="F449" s="2529"/>
      <c r="G449" s="2529"/>
      <c r="H449" s="2529"/>
      <c r="I449" s="2529"/>
      <c r="J449" s="2529"/>
      <c r="K449" s="2529"/>
      <c r="L449" s="2529"/>
      <c r="M449" s="2529"/>
      <c r="N449" s="2529"/>
      <c r="O449" s="2529"/>
      <c r="P449" s="2529"/>
      <c r="Q449" s="2529"/>
      <c r="R449" s="2529"/>
      <c r="S449" s="2529"/>
      <c r="T449" s="2529"/>
      <c r="U449" s="2529"/>
      <c r="V449" s="2529"/>
      <c r="W449" s="2529"/>
      <c r="X449" s="2529"/>
      <c r="Y449" s="2529"/>
      <c r="Z449" s="2529"/>
      <c r="AA449" s="2529"/>
      <c r="AB449" s="2529"/>
      <c r="AC449" s="2529"/>
      <c r="AD449" s="2529"/>
      <c r="AE449" s="2529"/>
      <c r="AF449" s="1483"/>
      <c r="AG449" s="1483"/>
      <c r="AH449" s="1483"/>
      <c r="AI449" s="1483"/>
      <c r="AJ449" s="1483"/>
      <c r="AK449" s="1483"/>
      <c r="AL449" s="1456"/>
      <c r="AM449" s="1207"/>
      <c r="AN449" s="1296"/>
      <c r="AO449" s="1485">
        <v>0.09</v>
      </c>
      <c r="AP449" s="1385">
        <v>3</v>
      </c>
      <c r="AS449" s="1482"/>
    </row>
    <row r="450" spans="1:49" s="1222" customFormat="1" ht="12.75" customHeight="1">
      <c r="A450" s="1207"/>
      <c r="B450" s="1205"/>
      <c r="G450" s="1295"/>
      <c r="H450" s="1295"/>
      <c r="I450" s="1295"/>
      <c r="J450" s="1295"/>
      <c r="K450" s="1295"/>
      <c r="L450" s="1295"/>
      <c r="M450" s="1295"/>
      <c r="N450" s="1295"/>
      <c r="O450" s="1295"/>
      <c r="P450" s="1295"/>
      <c r="Q450" s="1295"/>
      <c r="R450" s="1295"/>
      <c r="S450" s="1295"/>
      <c r="T450" s="1295"/>
      <c r="U450" s="1295"/>
      <c r="V450" s="1295"/>
      <c r="W450" s="1295"/>
      <c r="X450" s="1295"/>
      <c r="Y450" s="1295"/>
      <c r="Z450" s="1295"/>
      <c r="AA450" s="1295"/>
      <c r="AB450" s="1295"/>
      <c r="AC450" s="1295"/>
      <c r="AD450" s="1295"/>
      <c r="AM450" s="1207"/>
      <c r="AN450" s="1296"/>
      <c r="AO450" s="1485">
        <v>0.15</v>
      </c>
      <c r="AP450" s="1385">
        <v>5</v>
      </c>
    </row>
    <row r="451" spans="1:49" s="1222" customFormat="1" ht="12.75" customHeight="1">
      <c r="A451" s="1207"/>
      <c r="B451" s="1205"/>
      <c r="C451" s="1440"/>
      <c r="D451" s="1441"/>
      <c r="E451" s="1442" t="s">
        <v>1706</v>
      </c>
      <c r="F451" s="2541" t="s">
        <v>1707</v>
      </c>
      <c r="G451" s="2541"/>
      <c r="H451" s="2541"/>
      <c r="I451" s="2541"/>
      <c r="J451" s="2541"/>
      <c r="K451" s="2541"/>
      <c r="L451" s="2541"/>
      <c r="M451" s="2541"/>
      <c r="N451" s="2541"/>
      <c r="O451" s="2541"/>
      <c r="P451" s="2541"/>
      <c r="Q451" s="2541"/>
      <c r="R451" s="2541"/>
      <c r="S451" s="2541"/>
      <c r="T451" s="2541"/>
      <c r="U451" s="2541"/>
      <c r="V451" s="2541"/>
      <c r="W451" s="2541"/>
      <c r="X451" s="2541"/>
      <c r="Y451" s="2541"/>
      <c r="Z451" s="2541"/>
      <c r="AA451" s="2541"/>
      <c r="AB451" s="2541"/>
      <c r="AC451" s="2541"/>
      <c r="AD451" s="2541"/>
      <c r="AE451" s="2541"/>
      <c r="AF451" s="2541"/>
      <c r="AG451" s="1329"/>
      <c r="AH451" s="1441"/>
      <c r="AI451" s="1441"/>
      <c r="AJ451" s="1441"/>
      <c r="AK451" s="1441"/>
      <c r="AL451" s="1471"/>
      <c r="AM451" s="1207"/>
      <c r="AN451" s="1296"/>
    </row>
    <row r="452" spans="1:49" s="1222" customFormat="1" ht="12.75" customHeight="1">
      <c r="A452" s="1207"/>
      <c r="B452" s="1205"/>
      <c r="C452" s="1458"/>
      <c r="D452" s="1205"/>
      <c r="E452" s="1459"/>
      <c r="F452" s="2528"/>
      <c r="G452" s="2528"/>
      <c r="H452" s="2528"/>
      <c r="I452" s="2528"/>
      <c r="J452" s="2528"/>
      <c r="K452" s="2528"/>
      <c r="L452" s="2528"/>
      <c r="M452" s="2528"/>
      <c r="N452" s="2528"/>
      <c r="O452" s="2528"/>
      <c r="P452" s="2528"/>
      <c r="Q452" s="2528"/>
      <c r="R452" s="2528"/>
      <c r="S452" s="2528"/>
      <c r="T452" s="2528"/>
      <c r="U452" s="2528"/>
      <c r="V452" s="2528"/>
      <c r="W452" s="2528"/>
      <c r="X452" s="2528"/>
      <c r="Y452" s="2528"/>
      <c r="Z452" s="2528"/>
      <c r="AA452" s="2528"/>
      <c r="AB452" s="2528"/>
      <c r="AC452" s="2528"/>
      <c r="AD452" s="2528"/>
      <c r="AE452" s="2528"/>
      <c r="AF452" s="2528"/>
      <c r="AL452" s="1460"/>
      <c r="AM452" s="1207"/>
      <c r="AN452" s="1296"/>
    </row>
    <row r="453" spans="1:49" s="1222" customFormat="1" ht="12.75" customHeight="1">
      <c r="A453" s="1207"/>
      <c r="B453" s="1205"/>
      <c r="C453" s="1468"/>
      <c r="F453" s="2528"/>
      <c r="G453" s="2528"/>
      <c r="H453" s="2528"/>
      <c r="I453" s="2528"/>
      <c r="J453" s="2528"/>
      <c r="K453" s="2528"/>
      <c r="L453" s="2528"/>
      <c r="M453" s="2528"/>
      <c r="N453" s="2528"/>
      <c r="O453" s="2528"/>
      <c r="P453" s="2528"/>
      <c r="Q453" s="2528"/>
      <c r="R453" s="2528"/>
      <c r="S453" s="2528"/>
      <c r="T453" s="2528"/>
      <c r="U453" s="2528"/>
      <c r="V453" s="2528"/>
      <c r="W453" s="2528"/>
      <c r="X453" s="2528"/>
      <c r="Y453" s="2528"/>
      <c r="Z453" s="2528"/>
      <c r="AA453" s="2528"/>
      <c r="AB453" s="2528"/>
      <c r="AC453" s="2528"/>
      <c r="AD453" s="2528"/>
      <c r="AE453" s="2528"/>
      <c r="AF453" s="2528"/>
      <c r="AL453" s="1460"/>
      <c r="AM453" s="1207"/>
      <c r="AN453" s="1296"/>
    </row>
    <row r="454" spans="1:49" s="1222" customFormat="1" ht="12.75" customHeight="1">
      <c r="A454" s="1207"/>
      <c r="B454" s="1205"/>
      <c r="C454" s="1468"/>
      <c r="F454" s="2528"/>
      <c r="G454" s="2528"/>
      <c r="H454" s="2528"/>
      <c r="I454" s="2528"/>
      <c r="J454" s="2528"/>
      <c r="K454" s="2528"/>
      <c r="L454" s="2528"/>
      <c r="M454" s="2528"/>
      <c r="N454" s="2528"/>
      <c r="O454" s="2528"/>
      <c r="P454" s="2528"/>
      <c r="Q454" s="2528"/>
      <c r="R454" s="2528"/>
      <c r="S454" s="2528"/>
      <c r="T454" s="2528"/>
      <c r="U454" s="2528"/>
      <c r="V454" s="2528"/>
      <c r="W454" s="2528"/>
      <c r="X454" s="2528"/>
      <c r="Y454" s="2528"/>
      <c r="Z454" s="2528"/>
      <c r="AA454" s="2528"/>
      <c r="AB454" s="2528"/>
      <c r="AC454" s="2528"/>
      <c r="AD454" s="2528"/>
      <c r="AE454" s="2528"/>
      <c r="AF454" s="2528"/>
      <c r="AL454" s="1460"/>
      <c r="AM454" s="1207"/>
      <c r="AN454" s="1296"/>
    </row>
    <row r="455" spans="1:49" s="1222" customFormat="1" ht="12.75" customHeight="1">
      <c r="A455" s="1207"/>
      <c r="B455" s="1205"/>
      <c r="C455" s="2540" t="s">
        <v>616</v>
      </c>
      <c r="D455" s="2482"/>
      <c r="E455" s="1446"/>
      <c r="F455" s="1448" t="s">
        <v>1678</v>
      </c>
      <c r="G455" s="1295"/>
      <c r="H455" s="1295"/>
      <c r="I455" s="1295"/>
      <c r="J455" s="1295"/>
      <c r="K455" s="1295"/>
      <c r="L455" s="1295"/>
      <c r="M455" s="1295"/>
      <c r="N455" s="1295"/>
      <c r="O455" s="1295"/>
      <c r="P455" s="1295"/>
      <c r="Q455" s="1295"/>
      <c r="R455" s="1295"/>
      <c r="S455" s="1295"/>
      <c r="T455" s="1295"/>
      <c r="U455" s="1295"/>
      <c r="V455" s="1295"/>
      <c r="W455" s="1295"/>
      <c r="X455" s="1295"/>
      <c r="Y455" s="1295"/>
      <c r="Z455" s="1295"/>
      <c r="AA455" s="1295"/>
      <c r="AB455" s="1295"/>
      <c r="AC455" s="1295"/>
      <c r="AD455" s="1295"/>
      <c r="AF455" s="2468" t="s">
        <v>1661</v>
      </c>
      <c r="AG455" s="2468"/>
      <c r="AH455" s="2468"/>
      <c r="AI455" s="2468"/>
      <c r="AJ455" s="2468"/>
      <c r="AK455" s="2468"/>
      <c r="AL455" s="2544"/>
      <c r="AM455" s="1207"/>
      <c r="AN455" s="1296"/>
    </row>
    <row r="456" spans="1:49" s="1222" customFormat="1" ht="12.75" customHeight="1">
      <c r="A456" s="1207"/>
      <c r="B456" s="1205"/>
      <c r="C456" s="1461"/>
      <c r="D456" s="1462"/>
      <c r="E456" s="1463"/>
      <c r="F456" s="1455"/>
      <c r="G456" s="1455"/>
      <c r="H456" s="1455"/>
      <c r="I456" s="1455"/>
      <c r="J456" s="1455"/>
      <c r="K456" s="1455"/>
      <c r="L456" s="1455"/>
      <c r="M456" s="1455"/>
      <c r="N456" s="1455"/>
      <c r="O456" s="1455"/>
      <c r="P456" s="1455"/>
      <c r="Q456" s="1455"/>
      <c r="R456" s="1455"/>
      <c r="S456" s="1455"/>
      <c r="T456" s="1455"/>
      <c r="U456" s="1455"/>
      <c r="V456" s="1455"/>
      <c r="W456" s="1455"/>
      <c r="X456" s="1455"/>
      <c r="Y456" s="1455"/>
      <c r="Z456" s="1455"/>
      <c r="AA456" s="1455"/>
      <c r="AB456" s="1455"/>
      <c r="AC456" s="1455"/>
      <c r="AD456" s="1455"/>
      <c r="AE456" s="1455"/>
      <c r="AF456" s="1455"/>
      <c r="AG456" s="1455"/>
      <c r="AH456" s="1455"/>
      <c r="AI456" s="1455"/>
      <c r="AJ456" s="1455"/>
      <c r="AK456" s="1455"/>
      <c r="AL456" s="1466"/>
      <c r="AN456" s="1296"/>
    </row>
    <row r="457" spans="1:49" s="1222" customFormat="1" ht="12.75" customHeight="1">
      <c r="A457" s="1207"/>
      <c r="B457" s="1205"/>
      <c r="C457" s="1486"/>
      <c r="D457" s="1207"/>
      <c r="F457" s="1448"/>
      <c r="G457" s="1295"/>
      <c r="H457" s="1295"/>
      <c r="I457" s="1295"/>
      <c r="J457" s="1295"/>
      <c r="K457" s="1295"/>
      <c r="L457" s="1295"/>
      <c r="M457" s="1295"/>
      <c r="N457" s="1295"/>
      <c r="O457" s="1295"/>
      <c r="P457" s="1295"/>
      <c r="Q457" s="1295"/>
      <c r="R457" s="1295"/>
      <c r="S457" s="1295"/>
      <c r="T457" s="1295"/>
      <c r="U457" s="1295"/>
      <c r="V457" s="1295"/>
      <c r="W457" s="1295"/>
      <c r="X457" s="1295"/>
      <c r="Y457" s="1295"/>
      <c r="Z457" s="1295"/>
      <c r="AA457" s="1295"/>
      <c r="AB457" s="1295"/>
      <c r="AC457" s="1295"/>
      <c r="AD457" s="1295"/>
      <c r="AF457" s="1307"/>
      <c r="AG457" s="1307"/>
      <c r="AH457" s="1307"/>
      <c r="AI457" s="1307"/>
      <c r="AJ457" s="1307"/>
      <c r="AK457" s="1307"/>
      <c r="AL457" s="1307"/>
      <c r="AN457" s="1296"/>
    </row>
    <row r="458" spans="1:49" s="1222" customFormat="1" ht="12.75" customHeight="1">
      <c r="A458" s="1291"/>
      <c r="B458" s="1487" t="s">
        <v>1708</v>
      </c>
      <c r="D458" s="1488"/>
      <c r="E458" s="1292"/>
      <c r="F458" s="1292"/>
      <c r="G458" s="1292"/>
      <c r="H458" s="1292"/>
      <c r="I458" s="1292"/>
      <c r="J458" s="1292"/>
      <c r="K458" s="1292"/>
      <c r="L458" s="1292"/>
      <c r="M458" s="1292"/>
      <c r="N458" s="1292"/>
      <c r="O458" s="1292"/>
      <c r="P458" s="1292"/>
      <c r="Q458" s="1292"/>
      <c r="R458" s="1292"/>
      <c r="S458" s="1292"/>
      <c r="T458" s="1292"/>
      <c r="U458" s="1292"/>
      <c r="V458" s="1292"/>
      <c r="W458" s="1292"/>
      <c r="X458" s="1292"/>
      <c r="Y458" s="1292"/>
      <c r="Z458" s="1292"/>
      <c r="AA458" s="1292"/>
      <c r="AB458" s="1292"/>
      <c r="AC458" s="1292"/>
      <c r="AD458" s="1292"/>
      <c r="AE458" s="1238"/>
      <c r="AF458" s="1238"/>
      <c r="AG458" s="1238"/>
      <c r="AH458" s="1238"/>
      <c r="AI458" s="1239"/>
      <c r="AJ458" s="1239" t="s">
        <v>1709</v>
      </c>
      <c r="AK458" s="2455">
        <f>IF(Application!D213="N/A",AS347,AS349)</f>
        <v>10</v>
      </c>
      <c r="AL458" s="2456"/>
      <c r="AM458" s="2457"/>
      <c r="AN458" s="1296"/>
    </row>
    <row r="459" spans="1:49" s="1222" customFormat="1" ht="12.75" customHeight="1" thickBot="1">
      <c r="A459" s="1489"/>
      <c r="B459" s="1489"/>
      <c r="C459" s="1489"/>
      <c r="D459" s="1489"/>
      <c r="E459" s="1489"/>
      <c r="F459" s="1489"/>
      <c r="G459" s="1489"/>
      <c r="H459" s="1489"/>
      <c r="I459" s="1489"/>
      <c r="J459" s="1489"/>
      <c r="K459" s="1489"/>
      <c r="L459" s="1489"/>
      <c r="M459" s="1489"/>
      <c r="N459" s="1489"/>
      <c r="O459" s="1489"/>
      <c r="P459" s="1489"/>
      <c r="Q459" s="1489"/>
      <c r="R459" s="1489"/>
      <c r="S459" s="1489"/>
      <c r="T459" s="1489"/>
      <c r="U459" s="1489"/>
      <c r="V459" s="1489"/>
      <c r="W459" s="1489"/>
      <c r="X459" s="1489"/>
      <c r="Y459" s="1489"/>
      <c r="Z459" s="1489"/>
      <c r="AA459" s="1489"/>
      <c r="AB459" s="1489"/>
      <c r="AC459" s="1489"/>
      <c r="AD459" s="1489"/>
      <c r="AE459" s="1489"/>
      <c r="AF459" s="1489"/>
      <c r="AG459" s="1489"/>
      <c r="AH459" s="1489"/>
      <c r="AI459" s="1489"/>
      <c r="AJ459" s="1489"/>
      <c r="AK459" s="1489"/>
      <c r="AL459" s="1489"/>
      <c r="AM459" s="1490"/>
      <c r="AN459" s="1296"/>
    </row>
    <row r="460" spans="1:49" s="1222" customFormat="1" ht="12.75" hidden="1" customHeight="1" thickTop="1">
      <c r="A460" s="1491"/>
      <c r="B460" s="914"/>
      <c r="C460" s="915"/>
      <c r="D460" s="915"/>
      <c r="E460" s="915"/>
      <c r="F460" s="915"/>
      <c r="G460" s="915"/>
      <c r="H460" s="915"/>
      <c r="I460" s="1244"/>
      <c r="J460" s="1244"/>
      <c r="K460" s="1244"/>
      <c r="L460" s="1244"/>
      <c r="M460" s="1244"/>
      <c r="N460" s="1244"/>
      <c r="O460" s="1244"/>
      <c r="P460" s="1244"/>
      <c r="Q460" s="1244"/>
      <c r="R460" s="1207"/>
      <c r="S460" s="1210"/>
      <c r="T460" s="1210"/>
      <c r="U460" s="1210"/>
      <c r="V460" s="1210"/>
      <c r="W460" s="1210"/>
      <c r="X460" s="1210"/>
      <c r="Y460" s="1210"/>
      <c r="Z460" s="1210"/>
      <c r="AA460" s="1210"/>
      <c r="AB460" s="1210"/>
      <c r="AC460" s="1210"/>
      <c r="AD460" s="1210"/>
      <c r="AE460" s="1210"/>
      <c r="AF460" s="1207"/>
      <c r="AG460" s="1210"/>
      <c r="AH460" s="1210"/>
      <c r="AI460" s="1210"/>
      <c r="AJ460" s="1210"/>
      <c r="AM460" s="1205"/>
      <c r="AN460" s="1296"/>
      <c r="AO460" s="1222" t="s">
        <v>616</v>
      </c>
      <c r="AP460" s="1222">
        <v>0</v>
      </c>
    </row>
    <row r="461" spans="1:49" s="1222" customFormat="1" ht="12.75" hidden="1" customHeight="1">
      <c r="A461" s="1210" t="s">
        <v>1710</v>
      </c>
      <c r="C461" s="1210"/>
      <c r="E461" s="1382"/>
      <c r="AE461" s="2468" t="s">
        <v>1711</v>
      </c>
      <c r="AF461" s="2468"/>
      <c r="AG461" s="2468"/>
      <c r="AH461" s="2468"/>
      <c r="AI461" s="2468"/>
      <c r="AJ461" s="2468"/>
      <c r="AK461" s="2468"/>
      <c r="AL461" s="1286"/>
      <c r="AN461" s="1296"/>
      <c r="AO461" s="1222" t="s">
        <v>1689</v>
      </c>
      <c r="AP461" s="1222">
        <v>5</v>
      </c>
    </row>
    <row r="462" spans="1:49" s="1222" customFormat="1" ht="12.75" hidden="1" customHeight="1">
      <c r="A462" s="1210"/>
      <c r="B462" s="1207" t="s">
        <v>1712</v>
      </c>
      <c r="C462" s="1210"/>
      <c r="E462" s="1382"/>
      <c r="AE462" s="1286"/>
      <c r="AF462" s="1286"/>
      <c r="AG462" s="1286"/>
      <c r="AH462" s="1286"/>
      <c r="AI462" s="1286"/>
      <c r="AJ462" s="1286"/>
      <c r="AK462" s="1286"/>
      <c r="AL462" s="1286"/>
      <c r="AN462" s="1296"/>
      <c r="AO462" s="1222" t="s">
        <v>1713</v>
      </c>
      <c r="AP462" s="1222">
        <v>5</v>
      </c>
    </row>
    <row r="463" spans="1:49" s="1222" customFormat="1" ht="12.75" hidden="1" customHeight="1">
      <c r="A463" s="1210"/>
      <c r="B463" s="1210" t="s">
        <v>1714</v>
      </c>
      <c r="C463" s="1210"/>
      <c r="E463" s="1382"/>
      <c r="AE463" s="1286"/>
      <c r="AF463" s="1286"/>
      <c r="AG463" s="1286"/>
      <c r="AH463" s="1286"/>
      <c r="AI463" s="1286"/>
      <c r="AJ463" s="1286"/>
      <c r="AK463" s="1286"/>
      <c r="AL463" s="1286"/>
      <c r="AN463" s="1296"/>
      <c r="AO463" s="1222" t="s">
        <v>1691</v>
      </c>
      <c r="AP463" s="1222">
        <v>5</v>
      </c>
      <c r="AQ463" s="1210"/>
      <c r="AR463" s="1210"/>
      <c r="AS463" s="1482"/>
      <c r="AW463" s="1482"/>
    </row>
    <row r="464" spans="1:49" s="1222" customFormat="1" ht="12.75" hidden="1" customHeight="1">
      <c r="A464" s="1210"/>
      <c r="B464" s="1210" t="s">
        <v>1715</v>
      </c>
      <c r="C464" s="1210"/>
      <c r="E464" s="1382"/>
      <c r="AE464" s="1286"/>
      <c r="AF464" s="1286"/>
      <c r="AG464" s="1286"/>
      <c r="AH464" s="1286"/>
      <c r="AI464" s="1286"/>
      <c r="AJ464" s="1286"/>
      <c r="AK464" s="1286"/>
      <c r="AL464" s="1286"/>
      <c r="AN464" s="1296"/>
      <c r="AO464" s="1222" t="s">
        <v>1693</v>
      </c>
      <c r="AP464" s="1222">
        <v>5</v>
      </c>
      <c r="AQ464" s="1210"/>
      <c r="AR464" s="1210"/>
      <c r="AW464" s="1492"/>
    </row>
    <row r="465" spans="1:50" s="1222" customFormat="1" ht="12.75" hidden="1" customHeight="1">
      <c r="A465" s="1210"/>
      <c r="C465" s="1210"/>
      <c r="E465" s="1382"/>
      <c r="AE465" s="1286"/>
      <c r="AF465" s="1286"/>
      <c r="AG465" s="1286"/>
      <c r="AH465" s="1286"/>
      <c r="AI465" s="1286"/>
      <c r="AJ465" s="1286"/>
      <c r="AK465" s="1286"/>
      <c r="AL465" s="1286"/>
      <c r="AN465" s="1296"/>
      <c r="AO465" s="1222" t="s">
        <v>1694</v>
      </c>
      <c r="AP465" s="1222">
        <v>5</v>
      </c>
      <c r="AQ465" s="1210"/>
      <c r="AR465" s="1210"/>
      <c r="AW465" s="1492"/>
    </row>
    <row r="466" spans="1:50" s="1222" customFormat="1" ht="12.75" hidden="1" customHeight="1">
      <c r="A466" s="1210"/>
      <c r="C466" s="1439" t="s">
        <v>1716</v>
      </c>
      <c r="D466" s="1207"/>
      <c r="AE466" s="1286"/>
      <c r="AF466" s="1286"/>
      <c r="AG466" s="1382"/>
      <c r="AH466" s="1382"/>
      <c r="AI466" s="1382"/>
      <c r="AJ466" s="1382"/>
      <c r="AK466" s="1382"/>
      <c r="AL466" s="1382"/>
      <c r="AN466" s="1296"/>
      <c r="AO466" s="1222" t="s">
        <v>1695</v>
      </c>
      <c r="AP466" s="1222">
        <v>5</v>
      </c>
      <c r="AW466" s="1492"/>
    </row>
    <row r="467" spans="1:50" s="1222" customFormat="1" ht="12.75" hidden="1" customHeight="1">
      <c r="A467" s="1210"/>
      <c r="C467" s="2521" t="s">
        <v>616</v>
      </c>
      <c r="D467" s="2522"/>
      <c r="E467" s="1493" t="s">
        <v>531</v>
      </c>
      <c r="F467" s="2530" t="s">
        <v>1717</v>
      </c>
      <c r="G467" s="2530"/>
      <c r="H467" s="2530"/>
      <c r="I467" s="2530"/>
      <c r="J467" s="2530"/>
      <c r="K467" s="2530"/>
      <c r="L467" s="2530"/>
      <c r="M467" s="2530"/>
      <c r="N467" s="2530"/>
      <c r="O467" s="2530"/>
      <c r="P467" s="2530"/>
      <c r="Q467" s="2530"/>
      <c r="R467" s="2530"/>
      <c r="S467" s="2530"/>
      <c r="T467" s="2530"/>
      <c r="U467" s="2530"/>
      <c r="V467" s="2530"/>
      <c r="W467" s="2530"/>
      <c r="X467" s="2530"/>
      <c r="Y467" s="2530"/>
      <c r="Z467" s="2530"/>
      <c r="AA467" s="2530"/>
      <c r="AB467" s="2530"/>
      <c r="AC467" s="2530"/>
      <c r="AD467" s="2530"/>
      <c r="AE467" s="2530"/>
      <c r="AF467" s="1441"/>
      <c r="AG467" s="1441"/>
      <c r="AH467" s="1441"/>
      <c r="AI467" s="1441"/>
      <c r="AJ467" s="1441"/>
      <c r="AK467" s="1471"/>
      <c r="AN467" s="1296"/>
      <c r="AO467" s="1222" t="s">
        <v>1718</v>
      </c>
      <c r="AP467" s="1222">
        <v>5</v>
      </c>
      <c r="AS467" s="1485"/>
      <c r="AT467" s="1484"/>
      <c r="AW467" s="1492"/>
      <c r="AX467" s="1385"/>
    </row>
    <row r="468" spans="1:50" s="1222" customFormat="1" ht="12.75" hidden="1" customHeight="1">
      <c r="C468" s="1494"/>
      <c r="E468" s="1495"/>
      <c r="F468" s="2531"/>
      <c r="G468" s="2531"/>
      <c r="H468" s="2531"/>
      <c r="I468" s="2531"/>
      <c r="J468" s="2531"/>
      <c r="K468" s="2531"/>
      <c r="L468" s="2531"/>
      <c r="M468" s="2531"/>
      <c r="N468" s="2531"/>
      <c r="O468" s="2531"/>
      <c r="P468" s="2531"/>
      <c r="Q468" s="2531"/>
      <c r="R468" s="2531"/>
      <c r="S468" s="2531"/>
      <c r="T468" s="2531"/>
      <c r="U468" s="2531"/>
      <c r="V468" s="2531"/>
      <c r="W468" s="2531"/>
      <c r="X468" s="2531"/>
      <c r="Y468" s="2531"/>
      <c r="Z468" s="2531"/>
      <c r="AA468" s="2531"/>
      <c r="AB468" s="2531"/>
      <c r="AC468" s="2531"/>
      <c r="AD468" s="2531"/>
      <c r="AE468" s="2531"/>
      <c r="AG468" s="1223"/>
      <c r="AH468" s="1223"/>
      <c r="AI468" s="1223"/>
      <c r="AJ468" s="1223"/>
      <c r="AK468" s="1460"/>
      <c r="AN468" s="1296"/>
      <c r="AO468" s="1222" t="s">
        <v>1699</v>
      </c>
      <c r="AP468" s="1222">
        <v>1</v>
      </c>
    </row>
    <row r="469" spans="1:50" s="1222" customFormat="1" ht="12.75" hidden="1" customHeight="1">
      <c r="C469" s="1496"/>
      <c r="D469" s="1455"/>
      <c r="E469" s="1497"/>
      <c r="F469" s="2537" t="s">
        <v>616</v>
      </c>
      <c r="G469" s="2537"/>
      <c r="H469" s="2537"/>
      <c r="I469" s="2537"/>
      <c r="J469" s="2537"/>
      <c r="K469" s="2537"/>
      <c r="L469" s="2537"/>
      <c r="M469" s="2537"/>
      <c r="N469" s="2537"/>
      <c r="O469" s="2537"/>
      <c r="P469" s="2537"/>
      <c r="Q469" s="2537"/>
      <c r="R469" s="2537"/>
      <c r="S469" s="2537"/>
      <c r="T469" s="2537"/>
      <c r="U469" s="2537"/>
      <c r="V469" s="2537"/>
      <c r="W469" s="2537"/>
      <c r="X469" s="2537"/>
      <c r="Y469" s="2537"/>
      <c r="Z469" s="2537"/>
      <c r="AA469" s="1343"/>
      <c r="AB469" s="1410"/>
      <c r="AC469" s="1410"/>
      <c r="AD469" s="1455"/>
      <c r="AE469" s="1455"/>
      <c r="AF469" s="1455"/>
      <c r="AG469" s="1498">
        <f>IF($C$467="Yes",(VLOOKUP($F$469,$AO$434:$AP$442,2,FALSE)),0)</f>
        <v>0</v>
      </c>
      <c r="AH469" s="1499" t="s">
        <v>1519</v>
      </c>
      <c r="AI469" s="1498"/>
      <c r="AJ469" s="1498"/>
      <c r="AK469" s="1466"/>
      <c r="AN469" s="1296"/>
      <c r="AS469" s="1482"/>
      <c r="AW469" s="1482"/>
    </row>
    <row r="470" spans="1:50" s="1222" customFormat="1" ht="12.75" hidden="1" customHeight="1">
      <c r="C470" s="1223"/>
      <c r="E470" s="1495"/>
      <c r="F470" s="1484"/>
      <c r="G470" s="1484"/>
      <c r="H470" s="1484"/>
      <c r="I470" s="1484"/>
      <c r="J470" s="1484"/>
      <c r="K470" s="1484"/>
      <c r="L470" s="1484"/>
      <c r="M470" s="1484"/>
      <c r="N470" s="1484"/>
      <c r="O470" s="1484"/>
      <c r="P470" s="1484"/>
      <c r="Q470" s="1484"/>
      <c r="R470" s="1484"/>
      <c r="S470" s="1484"/>
      <c r="T470" s="1484"/>
      <c r="U470" s="1484"/>
      <c r="V470" s="1484"/>
      <c r="W470" s="1484"/>
      <c r="X470" s="1484"/>
      <c r="Y470" s="1484"/>
      <c r="Z470" s="1484"/>
      <c r="AA470" s="1207"/>
      <c r="AB470" s="1223"/>
      <c r="AC470" s="1223"/>
      <c r="AG470" s="1223"/>
      <c r="AH470" s="1223"/>
      <c r="AI470" s="1223"/>
      <c r="AJ470" s="1223"/>
      <c r="AN470" s="1296"/>
      <c r="AO470" s="1222" t="s">
        <v>616</v>
      </c>
      <c r="AP470" s="1385">
        <v>0</v>
      </c>
    </row>
    <row r="471" spans="1:50" s="1222" customFormat="1" ht="12.75" hidden="1" customHeight="1">
      <c r="C471" s="2538" t="s">
        <v>569</v>
      </c>
      <c r="D471" s="2539"/>
      <c r="E471" s="1493" t="s">
        <v>786</v>
      </c>
      <c r="F471" s="1500" t="s">
        <v>1719</v>
      </c>
      <c r="G471" s="1399"/>
      <c r="H471" s="1399"/>
      <c r="I471" s="1399"/>
      <c r="J471" s="1399"/>
      <c r="K471" s="1399"/>
      <c r="L471" s="1399"/>
      <c r="M471" s="1399"/>
      <c r="N471" s="1399"/>
      <c r="O471" s="1399"/>
      <c r="P471" s="1399"/>
      <c r="Q471" s="1399"/>
      <c r="R471" s="1399"/>
      <c r="S471" s="1399"/>
      <c r="T471" s="1399"/>
      <c r="U471" s="1399"/>
      <c r="V471" s="1399"/>
      <c r="W471" s="1399"/>
      <c r="X471" s="1399"/>
      <c r="Y471" s="1399"/>
      <c r="Z471" s="1399"/>
      <c r="AA471" s="1399"/>
      <c r="AB471" s="1399"/>
      <c r="AC471" s="1399"/>
      <c r="AD471" s="1441"/>
      <c r="AE471" s="1441"/>
      <c r="AF471" s="1441"/>
      <c r="AG471" s="1399"/>
      <c r="AH471" s="1399"/>
      <c r="AI471" s="1399"/>
      <c r="AJ471" s="1399"/>
      <c r="AK471" s="1471"/>
      <c r="AN471" s="1296"/>
      <c r="AO471" s="1485">
        <v>0.15</v>
      </c>
      <c r="AP471" s="1385">
        <v>3</v>
      </c>
    </row>
    <row r="472" spans="1:50" s="1222" customFormat="1" ht="12.75" hidden="1" customHeight="1">
      <c r="C472" s="1501" t="s">
        <v>1720</v>
      </c>
      <c r="F472" s="1502" t="s">
        <v>1721</v>
      </c>
      <c r="G472" s="1223"/>
      <c r="H472" s="1223"/>
      <c r="I472" s="1223"/>
      <c r="J472" s="1223"/>
      <c r="K472" s="1223"/>
      <c r="L472" s="1223"/>
      <c r="M472" s="1223"/>
      <c r="N472" s="1223"/>
      <c r="O472" s="1223"/>
      <c r="P472" s="1223"/>
      <c r="Q472" s="1223"/>
      <c r="R472" s="1223"/>
      <c r="S472" s="1223"/>
      <c r="T472" s="1223"/>
      <c r="U472" s="1223"/>
      <c r="V472" s="1223"/>
      <c r="W472" s="1223"/>
      <c r="X472" s="1223"/>
      <c r="Y472" s="1223"/>
      <c r="Z472" s="1223"/>
      <c r="AA472" s="1223"/>
      <c r="AB472" s="1223"/>
      <c r="AC472" s="1286"/>
      <c r="AG472" s="1307"/>
      <c r="AH472" s="1307"/>
      <c r="AI472" s="1307"/>
      <c r="AJ472" s="1307"/>
      <c r="AK472" s="1460"/>
      <c r="AN472" s="1296"/>
      <c r="AO472" s="1485">
        <v>0.2</v>
      </c>
      <c r="AP472" s="1385">
        <v>5</v>
      </c>
    </row>
    <row r="473" spans="1:50" s="1222" customFormat="1" ht="12.75" hidden="1" customHeight="1">
      <c r="C473" s="1478"/>
      <c r="D473" s="1267"/>
      <c r="E473" s="1503"/>
      <c r="F473" s="1502" t="s">
        <v>1722</v>
      </c>
      <c r="G473" s="1502"/>
      <c r="H473" s="1502"/>
      <c r="I473" s="1502"/>
      <c r="J473" s="1502"/>
      <c r="K473" s="1502"/>
      <c r="L473" s="1502"/>
      <c r="M473" s="1502"/>
      <c r="N473" s="1502"/>
      <c r="O473" s="1502"/>
      <c r="P473" s="1502"/>
      <c r="Q473" s="1502"/>
      <c r="R473" s="1502"/>
      <c r="S473" s="1502"/>
      <c r="T473" s="1502"/>
      <c r="U473" s="1502"/>
      <c r="V473" s="1502"/>
      <c r="W473" s="1502"/>
      <c r="X473" s="1502"/>
      <c r="Y473" s="1502"/>
      <c r="Z473" s="1502"/>
      <c r="AA473" s="1502"/>
      <c r="AB473" s="1502"/>
      <c r="AC473" s="1504"/>
      <c r="AD473" s="1303"/>
      <c r="AE473" s="1303"/>
      <c r="AF473" s="1303"/>
      <c r="AG473" s="1505"/>
      <c r="AH473" s="1307"/>
      <c r="AI473" s="1307"/>
      <c r="AJ473" s="1307"/>
      <c r="AK473" s="1460"/>
      <c r="AN473" s="1506"/>
      <c r="AO473" s="1485"/>
      <c r="AP473" s="1484"/>
    </row>
    <row r="474" spans="1:50" s="1382" customFormat="1" ht="12.75" hidden="1" customHeight="1">
      <c r="A474" s="1385"/>
      <c r="B474" s="1222"/>
      <c r="C474" s="1494"/>
      <c r="D474" s="1222"/>
      <c r="E474" s="1495"/>
      <c r="F474" s="1507" t="s">
        <v>1723</v>
      </c>
      <c r="G474" s="1222"/>
      <c r="H474" s="1222"/>
      <c r="I474" s="1502"/>
      <c r="J474" s="1502"/>
      <c r="K474" s="1502"/>
      <c r="L474" s="1502"/>
      <c r="M474" s="1502"/>
      <c r="N474" s="1502"/>
      <c r="O474" s="1502"/>
      <c r="P474" s="1502"/>
      <c r="Q474" s="1502"/>
      <c r="R474" s="1502"/>
      <c r="S474" s="1502"/>
      <c r="T474" s="1502"/>
      <c r="U474" s="1502"/>
      <c r="V474" s="2536" t="s">
        <v>616</v>
      </c>
      <c r="W474" s="2536"/>
      <c r="X474" s="2536"/>
      <c r="Y474" s="1502"/>
      <c r="Z474" s="1502"/>
      <c r="AA474" s="1502"/>
      <c r="AB474" s="1502"/>
      <c r="AC474" s="1502"/>
      <c r="AD474" s="1303"/>
      <c r="AE474" s="1303"/>
      <c r="AF474" s="1303"/>
      <c r="AG474" s="1307">
        <f>IF(AND($C$471="Yes",$V$476="N/A",$V$481="N/A",$V$485="N/A",$V$487="N/A"),(VLOOKUP(V474,$AR$444:$AS$446,2,FALSE)),0)</f>
        <v>0</v>
      </c>
      <c r="AH474" s="1392" t="s">
        <v>1519</v>
      </c>
      <c r="AI474" s="1223"/>
      <c r="AJ474" s="1223"/>
      <c r="AK474" s="1460"/>
      <c r="AL474" s="1222"/>
      <c r="AM474" s="1222"/>
      <c r="AN474" s="1296"/>
    </row>
    <row r="475" spans="1:50" s="1382" customFormat="1" ht="12.75" hidden="1" customHeight="1">
      <c r="A475" s="1385"/>
      <c r="B475" s="1222"/>
      <c r="C475" s="1494"/>
      <c r="D475" s="1222"/>
      <c r="E475" s="1495"/>
      <c r="F475" s="1507"/>
      <c r="G475" s="1222"/>
      <c r="H475" s="1222"/>
      <c r="I475" s="1502"/>
      <c r="J475" s="1502"/>
      <c r="K475" s="1502"/>
      <c r="L475" s="1502"/>
      <c r="M475" s="1502"/>
      <c r="N475" s="1502"/>
      <c r="O475" s="1502"/>
      <c r="P475" s="1502"/>
      <c r="Q475" s="1502"/>
      <c r="R475" s="1502"/>
      <c r="S475" s="1502"/>
      <c r="T475" s="1502"/>
      <c r="U475" s="1502"/>
      <c r="V475" s="1502"/>
      <c r="W475" s="1502"/>
      <c r="X475" s="1502"/>
      <c r="Y475" s="1502"/>
      <c r="Z475" s="1502"/>
      <c r="AA475" s="1502"/>
      <c r="AB475" s="1502"/>
      <c r="AC475" s="1502"/>
      <c r="AD475" s="1303"/>
      <c r="AE475" s="1303"/>
      <c r="AF475" s="1303"/>
      <c r="AG475" s="1307"/>
      <c r="AH475" s="1392"/>
      <c r="AI475" s="1223"/>
      <c r="AJ475" s="1223"/>
      <c r="AK475" s="1460"/>
      <c r="AL475" s="1222"/>
      <c r="AM475" s="1222"/>
      <c r="AN475" s="1296"/>
    </row>
    <row r="476" spans="1:50" s="1382" customFormat="1" ht="12.75" hidden="1" customHeight="1">
      <c r="A476" s="1385"/>
      <c r="B476" s="1222"/>
      <c r="C476" s="1494"/>
      <c r="D476" s="1222"/>
      <c r="E476" s="1495"/>
      <c r="F476" s="1507" t="s">
        <v>1724</v>
      </c>
      <c r="G476" s="1222"/>
      <c r="H476" s="1222"/>
      <c r="I476" s="1502"/>
      <c r="J476" s="1502"/>
      <c r="K476" s="1502"/>
      <c r="L476" s="1502"/>
      <c r="M476" s="1502"/>
      <c r="N476" s="1502"/>
      <c r="O476" s="1502"/>
      <c r="P476" s="1502"/>
      <c r="Q476" s="1502"/>
      <c r="R476" s="1502"/>
      <c r="S476" s="1502"/>
      <c r="T476" s="1502"/>
      <c r="U476" s="1502"/>
      <c r="V476" s="2536" t="s">
        <v>616</v>
      </c>
      <c r="W476" s="2536"/>
      <c r="X476" s="2536"/>
      <c r="Y476" s="1502"/>
      <c r="Z476" s="1502"/>
      <c r="AA476" s="1502"/>
      <c r="AB476" s="1502"/>
      <c r="AC476" s="1502"/>
      <c r="AD476" s="1303"/>
      <c r="AE476" s="1303"/>
      <c r="AF476" s="1303"/>
      <c r="AG476" s="1307">
        <f>IF(AND($C$471="Yes",$V$474="N/A", $V$481="N/A",$V$485="N/A",$V$487="N/A"),(VLOOKUP(V476,$AO$444:$AP$446,2,FALSE)),0)</f>
        <v>0</v>
      </c>
      <c r="AH476" s="1392" t="s">
        <v>1519</v>
      </c>
      <c r="AI476" s="1223"/>
      <c r="AJ476" s="1223"/>
      <c r="AK476" s="1460"/>
      <c r="AL476" s="1222"/>
      <c r="AM476" s="1222"/>
      <c r="AN476" s="1296"/>
    </row>
    <row r="477" spans="1:50" s="1222" customFormat="1" ht="12.75" hidden="1" customHeight="1">
      <c r="C477" s="1494"/>
      <c r="E477" s="1495"/>
      <c r="F477" s="1382"/>
      <c r="G477" s="1508"/>
      <c r="H477" s="1508"/>
      <c r="I477" s="1508"/>
      <c r="J477" s="1508"/>
      <c r="K477" s="1508"/>
      <c r="L477" s="1508"/>
      <c r="M477" s="1508"/>
      <c r="N477" s="1508"/>
      <c r="O477" s="1508"/>
      <c r="P477" s="1508"/>
      <c r="Q477" s="1223"/>
      <c r="R477" s="1223"/>
      <c r="S477" s="1223"/>
      <c r="T477" s="1223"/>
      <c r="U477" s="1223"/>
      <c r="V477" s="1223"/>
      <c r="W477" s="1223"/>
      <c r="X477" s="1223"/>
      <c r="Y477" s="1223"/>
      <c r="Z477" s="1223"/>
      <c r="AA477" s="1223"/>
      <c r="AB477" s="1223"/>
      <c r="AC477" s="1223"/>
      <c r="AG477" s="1382"/>
      <c r="AH477" s="1382"/>
      <c r="AI477" s="1382"/>
      <c r="AJ477" s="1382"/>
      <c r="AK477" s="1460"/>
      <c r="AN477" s="1296"/>
      <c r="AO477" s="1222" t="s">
        <v>616</v>
      </c>
      <c r="AP477" s="1222">
        <v>0</v>
      </c>
    </row>
    <row r="478" spans="1:50" s="1222" customFormat="1" ht="12.75" hidden="1" customHeight="1">
      <c r="C478" s="1494"/>
      <c r="E478" s="1495"/>
      <c r="F478" s="1508" t="s">
        <v>1725</v>
      </c>
      <c r="I478" s="1495"/>
      <c r="J478" s="1495"/>
      <c r="K478" s="1495"/>
      <c r="L478" s="1495"/>
      <c r="M478" s="1495"/>
      <c r="N478" s="1495"/>
      <c r="O478" s="1495"/>
      <c r="P478" s="1495"/>
      <c r="Q478" s="1223"/>
      <c r="R478" s="1223"/>
      <c r="S478" s="1223"/>
      <c r="T478" s="1223"/>
      <c r="U478" s="1223"/>
      <c r="V478" s="1223"/>
      <c r="W478" s="1223"/>
      <c r="X478" s="1223"/>
      <c r="Y478" s="1223"/>
      <c r="Z478" s="1223"/>
      <c r="AA478" s="1223"/>
      <c r="AB478" s="1223"/>
      <c r="AC478" s="1223"/>
      <c r="AJ478" s="1223"/>
      <c r="AK478" s="1460"/>
      <c r="AN478" s="1296"/>
      <c r="AO478" s="1222" t="s">
        <v>1726</v>
      </c>
      <c r="AP478" s="1385">
        <v>2</v>
      </c>
    </row>
    <row r="479" spans="1:50" s="1222" customFormat="1" ht="12.75" hidden="1" customHeight="1">
      <c r="C479" s="1494"/>
      <c r="F479" s="1303" t="s">
        <v>1727</v>
      </c>
      <c r="M479" s="1495"/>
      <c r="N479" s="1495"/>
      <c r="O479" s="1495"/>
      <c r="P479" s="1495"/>
      <c r="Q479" s="1223"/>
      <c r="R479" s="1223"/>
      <c r="S479" s="1223"/>
      <c r="T479" s="1223"/>
      <c r="U479" s="1223"/>
      <c r="V479" s="1223"/>
      <c r="W479" s="1223"/>
      <c r="X479" s="1223"/>
      <c r="Y479" s="1223"/>
      <c r="Z479" s="1223"/>
      <c r="AA479" s="1223"/>
      <c r="AB479" s="1223"/>
      <c r="AC479" s="1223"/>
      <c r="AG479" s="1307"/>
      <c r="AH479" s="1392"/>
      <c r="AI479" s="1223"/>
      <c r="AJ479" s="1223"/>
      <c r="AK479" s="1460"/>
      <c r="AN479" s="1296"/>
      <c r="AO479" s="1222" t="s">
        <v>1728</v>
      </c>
      <c r="AP479" s="1222">
        <v>2</v>
      </c>
    </row>
    <row r="480" spans="1:50" s="1382" customFormat="1" ht="12.75" hidden="1" customHeight="1">
      <c r="A480" s="1222"/>
      <c r="B480" s="1222"/>
      <c r="C480" s="1468"/>
      <c r="D480" s="1207"/>
      <c r="E480" s="1207"/>
      <c r="F480" s="1303" t="s">
        <v>1729</v>
      </c>
      <c r="G480" s="1222"/>
      <c r="H480" s="1222"/>
      <c r="I480" s="1222"/>
      <c r="J480" s="1222"/>
      <c r="K480" s="1222"/>
      <c r="L480" s="1222"/>
      <c r="M480" s="1495"/>
      <c r="N480" s="1495"/>
      <c r="O480" s="1495"/>
      <c r="P480" s="1495"/>
      <c r="Q480" s="1223"/>
      <c r="R480" s="1223"/>
      <c r="S480" s="1223"/>
      <c r="T480" s="1223"/>
      <c r="U480" s="1223"/>
      <c r="V480" s="1223"/>
      <c r="W480" s="1223"/>
      <c r="X480" s="1223"/>
      <c r="Y480" s="1223"/>
      <c r="Z480" s="1223"/>
      <c r="AA480" s="1223"/>
      <c r="AB480" s="1223"/>
      <c r="AC480" s="1223"/>
      <c r="AD480" s="1222"/>
      <c r="AE480" s="1222"/>
      <c r="AF480" s="1222"/>
      <c r="AG480" s="1307"/>
      <c r="AH480" s="1392"/>
      <c r="AI480" s="1223"/>
      <c r="AJ480" s="1223"/>
      <c r="AK480" s="1460"/>
      <c r="AL480" s="1222"/>
      <c r="AM480" s="1222"/>
      <c r="AN480" s="1506"/>
      <c r="AO480" s="1222" t="s">
        <v>1730</v>
      </c>
      <c r="AP480" s="1222">
        <v>2</v>
      </c>
    </row>
    <row r="481" spans="1:81" s="1222" customFormat="1" ht="12.75" hidden="1" customHeight="1">
      <c r="C481" s="1509"/>
      <c r="F481" s="1507" t="s">
        <v>1731</v>
      </c>
      <c r="M481" s="1495"/>
      <c r="N481" s="1495"/>
      <c r="O481" s="1495"/>
      <c r="P481" s="1495"/>
      <c r="Q481" s="1223"/>
      <c r="R481" s="1223"/>
      <c r="S481" s="1223"/>
      <c r="T481" s="1223"/>
      <c r="U481" s="1223"/>
      <c r="V481" s="2536" t="s">
        <v>616</v>
      </c>
      <c r="W481" s="2536"/>
      <c r="X481" s="2536"/>
      <c r="Y481" s="1223"/>
      <c r="Z481" s="1223"/>
      <c r="AA481" s="1223"/>
      <c r="AB481" s="1223"/>
      <c r="AC481" s="1223"/>
      <c r="AG481" s="1307">
        <f>IF(AND($C$471="Yes",$V$474="N/A",$V$476="N/A", $V$485="N/A",$V$487="N/A"),(VLOOKUP($V$481,$AO$448:$AP$450,2,FALSE)),0)</f>
        <v>0</v>
      </c>
      <c r="AH481" s="1392" t="s">
        <v>1519</v>
      </c>
      <c r="AI481" s="1223"/>
      <c r="AJ481" s="1223"/>
      <c r="AK481" s="1460"/>
      <c r="AN481" s="1206"/>
    </row>
    <row r="482" spans="1:81" s="1222" customFormat="1" ht="12.75" hidden="1" customHeight="1">
      <c r="C482" s="1494"/>
      <c r="M482" s="1495"/>
      <c r="N482" s="1495"/>
      <c r="O482" s="1495"/>
      <c r="P482" s="1495"/>
      <c r="Q482" s="1223"/>
      <c r="R482" s="1223"/>
      <c r="S482" s="1223"/>
      <c r="T482" s="1223"/>
      <c r="U482" s="1223"/>
      <c r="V482" s="1223"/>
      <c r="W482" s="1223"/>
      <c r="X482" s="1223"/>
      <c r="Y482" s="1223"/>
      <c r="Z482" s="1223"/>
      <c r="AA482" s="1223"/>
      <c r="AB482" s="1223"/>
      <c r="AC482" s="1223"/>
      <c r="AJ482" s="1223"/>
      <c r="AK482" s="1460"/>
      <c r="AN482" s="1510"/>
    </row>
    <row r="483" spans="1:81" s="1382" customFormat="1" ht="12.75" hidden="1" customHeight="1">
      <c r="A483" s="1222"/>
      <c r="B483" s="1222"/>
      <c r="C483" s="1511" t="s">
        <v>1732</v>
      </c>
      <c r="D483" s="1441"/>
      <c r="E483" s="1441"/>
      <c r="F483" s="1512" t="s">
        <v>1733</v>
      </c>
      <c r="G483" s="1441"/>
      <c r="H483" s="1441"/>
      <c r="I483" s="1441"/>
      <c r="J483" s="1441"/>
      <c r="K483" s="1441"/>
      <c r="L483" s="1441"/>
      <c r="M483" s="1441"/>
      <c r="N483" s="1441"/>
      <c r="O483" s="1441"/>
      <c r="P483" s="1441"/>
      <c r="Q483" s="1441"/>
      <c r="R483" s="1441"/>
      <c r="S483" s="1441"/>
      <c r="T483" s="1441"/>
      <c r="U483" s="1441"/>
      <c r="V483" s="1441"/>
      <c r="W483" s="1441"/>
      <c r="X483" s="1441"/>
      <c r="Y483" s="1441"/>
      <c r="Z483" s="1441"/>
      <c r="AA483" s="1441"/>
      <c r="AB483" s="1441"/>
      <c r="AC483" s="1441"/>
      <c r="AD483" s="1441"/>
      <c r="AE483" s="1441"/>
      <c r="AF483" s="1441"/>
      <c r="AG483" s="1441"/>
      <c r="AH483" s="1441"/>
      <c r="AI483" s="1441"/>
      <c r="AJ483" s="1441"/>
      <c r="AK483" s="1471"/>
      <c r="AL483" s="1222"/>
      <c r="AM483" s="1222"/>
      <c r="AN483" s="1287"/>
      <c r="AO483" s="1222" t="s">
        <v>616</v>
      </c>
      <c r="AP483" s="1222">
        <v>0</v>
      </c>
      <c r="AQ483" s="1210"/>
    </row>
    <row r="484" spans="1:81" s="1382" customFormat="1" ht="12.75" hidden="1" customHeight="1">
      <c r="A484" s="1222"/>
      <c r="B484" s="1222"/>
      <c r="C484" s="1445"/>
      <c r="D484" s="2524"/>
      <c r="E484" s="2524"/>
      <c r="F484" s="1502" t="s">
        <v>1734</v>
      </c>
      <c r="I484" s="1222"/>
      <c r="J484" s="1222"/>
      <c r="K484" s="1222"/>
      <c r="L484" s="1222"/>
      <c r="M484" s="1222"/>
      <c r="N484" s="1222"/>
      <c r="O484" s="1222"/>
      <c r="P484" s="1222"/>
      <c r="Q484" s="1222"/>
      <c r="R484" s="1222"/>
      <c r="S484" s="1222"/>
      <c r="T484" s="1222"/>
      <c r="U484" s="1222"/>
      <c r="Y484" s="1222"/>
      <c r="Z484" s="1222"/>
      <c r="AA484" s="1222"/>
      <c r="AB484" s="1222"/>
      <c r="AC484" s="1222"/>
      <c r="AD484" s="1222"/>
      <c r="AE484" s="1222"/>
      <c r="AF484" s="1222"/>
      <c r="AK484" s="1460"/>
      <c r="AL484" s="1222"/>
      <c r="AM484" s="1222"/>
      <c r="AN484" s="1287"/>
      <c r="AO484" s="1222" t="s">
        <v>1735</v>
      </c>
      <c r="AP484" s="1385">
        <v>5</v>
      </c>
      <c r="AQ484" s="1210"/>
    </row>
    <row r="485" spans="1:81" s="1207" customFormat="1" ht="12.75" hidden="1" customHeight="1">
      <c r="A485" s="1492"/>
      <c r="B485" s="1222"/>
      <c r="C485" s="1494"/>
      <c r="D485" s="1222"/>
      <c r="E485" s="1222"/>
      <c r="F485" s="1513" t="s">
        <v>1723</v>
      </c>
      <c r="G485" s="1222"/>
      <c r="H485" s="1222"/>
      <c r="I485" s="1222"/>
      <c r="J485" s="1222"/>
      <c r="K485" s="1222"/>
      <c r="L485" s="1222"/>
      <c r="M485" s="1222"/>
      <c r="N485" s="1222"/>
      <c r="O485" s="1222"/>
      <c r="P485" s="1222"/>
      <c r="Q485" s="1222"/>
      <c r="R485" s="1222"/>
      <c r="S485" s="1222"/>
      <c r="T485" s="1222"/>
      <c r="U485" s="1222"/>
      <c r="V485" s="2536" t="s">
        <v>616</v>
      </c>
      <c r="W485" s="2536"/>
      <c r="X485" s="2536"/>
      <c r="Y485" s="1222"/>
      <c r="Z485" s="1222"/>
      <c r="AA485" s="1222"/>
      <c r="AB485" s="1222"/>
      <c r="AC485" s="1222"/>
      <c r="AD485" s="1222"/>
      <c r="AE485" s="1222"/>
      <c r="AF485" s="1222"/>
      <c r="AG485" s="1307">
        <f>IF(AND($C$471="Yes",$V$474="N/A",V476="N/A",$V$481="N/A",$V$487="N/A"),(VLOOKUP($V$485,$AW$444:$AX$447,2,FALSE)),0)</f>
        <v>0</v>
      </c>
      <c r="AH485" s="1392" t="s">
        <v>1519</v>
      </c>
      <c r="AI485" s="1223"/>
      <c r="AJ485" s="1222"/>
      <c r="AK485" s="1460"/>
      <c r="AL485" s="1222"/>
      <c r="AM485" s="1222"/>
      <c r="AN485" s="1206"/>
      <c r="AO485" s="1222" t="s">
        <v>1736</v>
      </c>
      <c r="AP485" s="1222">
        <v>5</v>
      </c>
      <c r="AS485" s="1222"/>
      <c r="AT485" s="1222"/>
      <c r="AU485" s="1222"/>
      <c r="AV485" s="1222"/>
      <c r="AW485" s="1222"/>
      <c r="AX485" s="1222"/>
      <c r="AY485" s="1222"/>
      <c r="AZ485" s="1222"/>
      <c r="BA485" s="1222"/>
      <c r="BB485" s="1222"/>
      <c r="BO485" s="1222"/>
      <c r="BP485" s="1222"/>
      <c r="BQ485" s="1222"/>
      <c r="BR485" s="1222"/>
      <c r="BS485" s="1222"/>
      <c r="BT485" s="1222"/>
      <c r="BU485" s="1222"/>
      <c r="BV485" s="1222"/>
      <c r="BW485" s="1222"/>
      <c r="BX485" s="1222"/>
      <c r="BY485" s="1222"/>
      <c r="BZ485" s="1222"/>
      <c r="CA485" s="1222"/>
      <c r="CB485" s="1222"/>
      <c r="CC485" s="1222"/>
    </row>
    <row r="486" spans="1:81" s="1207" customFormat="1" ht="12.75" hidden="1" customHeight="1">
      <c r="A486" s="1492"/>
      <c r="B486" s="1222"/>
      <c r="C486" s="1494"/>
      <c r="D486" s="1222"/>
      <c r="E486" s="1222"/>
      <c r="I486" s="1222"/>
      <c r="J486" s="1222"/>
      <c r="K486" s="1222"/>
      <c r="L486" s="1222"/>
      <c r="M486" s="1222"/>
      <c r="N486" s="1222"/>
      <c r="O486" s="1222"/>
      <c r="P486" s="1222"/>
      <c r="Q486" s="1222"/>
      <c r="R486" s="1222"/>
      <c r="S486" s="1222"/>
      <c r="T486" s="1222"/>
      <c r="U486" s="1222"/>
      <c r="V486" s="1222"/>
      <c r="W486" s="1222"/>
      <c r="X486" s="1222"/>
      <c r="Y486" s="1222"/>
      <c r="Z486" s="1222"/>
      <c r="AA486" s="1222"/>
      <c r="AB486" s="1222"/>
      <c r="AC486" s="1222"/>
      <c r="AD486" s="1222"/>
      <c r="AE486" s="1222"/>
      <c r="AF486" s="1222"/>
      <c r="AK486" s="1460"/>
      <c r="AL486" s="1222"/>
      <c r="AM486" s="1222"/>
      <c r="AN486" s="1206"/>
      <c r="AO486" s="1222" t="s">
        <v>1737</v>
      </c>
      <c r="AP486" s="1222">
        <v>5</v>
      </c>
      <c r="AS486" s="1222"/>
      <c r="AT486" s="1222"/>
      <c r="AU486" s="1222"/>
      <c r="AV486" s="1222"/>
      <c r="AW486" s="1222"/>
      <c r="AX486" s="1222"/>
      <c r="AY486" s="1222"/>
      <c r="AZ486" s="1222"/>
      <c r="BA486" s="1222"/>
      <c r="BB486" s="1222"/>
      <c r="BC486" s="1222"/>
      <c r="BD486" s="1222"/>
      <c r="BE486" s="1222"/>
      <c r="BF486" s="1222"/>
      <c r="BG486" s="1222"/>
      <c r="BH486" s="1222"/>
      <c r="BI486" s="1222"/>
      <c r="BJ486" s="1222"/>
      <c r="BK486" s="1222"/>
      <c r="BL486" s="1222"/>
      <c r="BM486" s="1222"/>
      <c r="BN486" s="1222"/>
      <c r="BO486" s="1222"/>
      <c r="BP486" s="1222"/>
      <c r="BQ486" s="1222"/>
      <c r="BR486" s="1222"/>
      <c r="BS486" s="1222"/>
      <c r="BT486" s="1222"/>
      <c r="BU486" s="1222"/>
      <c r="BV486" s="1222"/>
      <c r="BW486" s="1222"/>
      <c r="BX486" s="1222"/>
      <c r="BY486" s="1222"/>
      <c r="BZ486" s="1222"/>
      <c r="CA486" s="1222"/>
      <c r="CB486" s="1222"/>
      <c r="CC486" s="1222"/>
    </row>
    <row r="487" spans="1:81" s="1210" customFormat="1" ht="12.75" hidden="1" customHeight="1">
      <c r="A487" s="1492"/>
      <c r="B487" s="1222"/>
      <c r="C487" s="1496"/>
      <c r="D487" s="1455"/>
      <c r="E487" s="1455"/>
      <c r="F487" s="1507" t="s">
        <v>1724</v>
      </c>
      <c r="G487" s="1343"/>
      <c r="H487" s="1343"/>
      <c r="I487" s="1455"/>
      <c r="J487" s="1455"/>
      <c r="K487" s="1455"/>
      <c r="L487" s="1455"/>
      <c r="M487" s="1455"/>
      <c r="N487" s="1455"/>
      <c r="O487" s="1455"/>
      <c r="P487" s="1455"/>
      <c r="Q487" s="1455"/>
      <c r="R487" s="1455"/>
      <c r="S487" s="1455"/>
      <c r="T487" s="1455"/>
      <c r="U487" s="1455"/>
      <c r="V487" s="2536" t="s">
        <v>616</v>
      </c>
      <c r="W487" s="2536"/>
      <c r="X487" s="2536"/>
      <c r="Y487" s="1455"/>
      <c r="Z487" s="1455"/>
      <c r="AA487" s="1455"/>
      <c r="AB487" s="1455"/>
      <c r="AC487" s="1455"/>
      <c r="AD487" s="1455"/>
      <c r="AE487" s="1455"/>
      <c r="AF487" s="1455"/>
      <c r="AG487" s="1514">
        <f>IF(AND($C$471="Yes",$V$474="N/A",$V$476="N/A",$V$481="N/A",$V$485="N/A"),(VLOOKUP($V$487,$BA$444:$BB$446,2,FALSE)),0)</f>
        <v>0</v>
      </c>
      <c r="AH487" s="1499" t="s">
        <v>1519</v>
      </c>
      <c r="AI487" s="1455"/>
      <c r="AJ487" s="1455"/>
      <c r="AK487" s="1466"/>
      <c r="AL487" s="1222"/>
      <c r="AM487" s="1222"/>
      <c r="AN487" s="1515"/>
      <c r="AP487" s="1382"/>
      <c r="AQ487" s="1382"/>
      <c r="AR487" s="1382"/>
      <c r="AS487" s="1382"/>
      <c r="AT487" s="1382"/>
      <c r="AU487" s="1382"/>
      <c r="AV487" s="1382"/>
      <c r="AW487" s="1382"/>
      <c r="AX487" s="1382"/>
      <c r="AY487" s="1382"/>
      <c r="AZ487" s="1382"/>
      <c r="BA487" s="1382"/>
      <c r="BB487" s="1382"/>
      <c r="BC487" s="1382"/>
      <c r="BE487" s="1382"/>
      <c r="BF487" s="1382"/>
      <c r="BG487" s="1382"/>
      <c r="BH487" s="1382"/>
      <c r="BI487" s="1382"/>
      <c r="BJ487" s="1382"/>
      <c r="BK487" s="1382"/>
      <c r="BL487" s="1382"/>
      <c r="BM487" s="1382"/>
      <c r="BN487" s="1382"/>
      <c r="BO487" s="1382"/>
      <c r="BP487" s="1382"/>
      <c r="BQ487" s="1382"/>
      <c r="BR487" s="1382"/>
    </row>
    <row r="488" spans="1:81" s="1210" customFormat="1" ht="12.75" hidden="1" customHeight="1">
      <c r="A488" s="1492"/>
      <c r="B488" s="1222"/>
      <c r="C488" s="1223"/>
      <c r="D488" s="1222"/>
      <c r="E488" s="1495"/>
      <c r="F488" s="1222"/>
      <c r="G488" s="1222"/>
      <c r="H488" s="1222"/>
      <c r="I488" s="1222"/>
      <c r="J488" s="1222"/>
      <c r="K488" s="1222"/>
      <c r="L488" s="1222"/>
      <c r="M488" s="1222"/>
      <c r="N488" s="1222"/>
      <c r="O488" s="1222"/>
      <c r="P488" s="1222"/>
      <c r="Q488" s="1222"/>
      <c r="R488" s="1222"/>
      <c r="S488" s="1222"/>
      <c r="T488" s="1222"/>
      <c r="U488" s="1222"/>
      <c r="V488" s="1222"/>
      <c r="W488" s="1222"/>
      <c r="X488" s="1222"/>
      <c r="Y488" s="1222"/>
      <c r="Z488" s="1222"/>
      <c r="AA488" s="1222"/>
      <c r="AB488" s="1222"/>
      <c r="AC488" s="1222"/>
      <c r="AD488" s="1222"/>
      <c r="AE488" s="1222"/>
      <c r="AF488" s="1222"/>
      <c r="AG488" s="1222"/>
      <c r="AH488" s="1222"/>
      <c r="AI488" s="1222"/>
      <c r="AJ488" s="1222"/>
      <c r="AK488" s="1222"/>
      <c r="AL488" s="1222"/>
      <c r="AM488" s="1222"/>
      <c r="AN488" s="1515"/>
      <c r="AO488" s="1516"/>
      <c r="AP488" s="1222"/>
      <c r="AQ488" s="1222"/>
      <c r="AR488" s="1222"/>
      <c r="AS488" s="1222"/>
      <c r="AT488" s="1222"/>
      <c r="AU488" s="1517"/>
      <c r="AV488" s="1517"/>
      <c r="AW488" s="1517"/>
      <c r="AX488" s="1517"/>
      <c r="AY488" s="1517"/>
      <c r="AZ488" s="1517"/>
      <c r="BA488" s="1517"/>
      <c r="BB488" s="1382"/>
      <c r="BC488" s="1382"/>
      <c r="BE488" s="1222"/>
      <c r="BF488" s="1222"/>
      <c r="BG488" s="1222"/>
      <c r="BH488" s="1222"/>
      <c r="BI488" s="1222"/>
      <c r="BJ488" s="1517"/>
      <c r="BK488" s="1517"/>
      <c r="BL488" s="1517"/>
      <c r="BM488" s="1517"/>
      <c r="BN488" s="1517"/>
      <c r="BO488" s="1517"/>
      <c r="BP488" s="1517"/>
      <c r="BQ488" s="1382"/>
      <c r="BR488" s="1222"/>
    </row>
    <row r="489" spans="1:81" s="1210" customFormat="1" ht="12.75" hidden="1" customHeight="1">
      <c r="A489" s="1492"/>
      <c r="B489" s="1222"/>
      <c r="C489" s="1439" t="s">
        <v>1738</v>
      </c>
      <c r="D489" s="1222"/>
      <c r="E489" s="1495"/>
      <c r="F489" s="1223"/>
      <c r="G489" s="1223"/>
      <c r="H489" s="1223"/>
      <c r="I489" s="1223"/>
      <c r="J489" s="1223"/>
      <c r="K489" s="1223"/>
      <c r="L489" s="1223"/>
      <c r="M489" s="1223"/>
      <c r="N489" s="1223"/>
      <c r="O489" s="1223"/>
      <c r="P489" s="1223"/>
      <c r="Q489" s="1223"/>
      <c r="R489" s="1223"/>
      <c r="S489" s="1223"/>
      <c r="T489" s="1223"/>
      <c r="U489" s="1223"/>
      <c r="V489" s="1223"/>
      <c r="W489" s="1223"/>
      <c r="X489" s="1223"/>
      <c r="Y489" s="1223"/>
      <c r="Z489" s="1223"/>
      <c r="AA489" s="1223"/>
      <c r="AB489" s="1223"/>
      <c r="AC489" s="1223"/>
      <c r="AD489" s="1222"/>
      <c r="AE489" s="1222"/>
      <c r="AF489" s="1222"/>
      <c r="AG489" s="1223"/>
      <c r="AH489" s="1223"/>
      <c r="AI489" s="1223"/>
      <c r="AJ489" s="1223"/>
      <c r="AK489" s="1222"/>
      <c r="AL489" s="1222"/>
      <c r="AM489" s="1222"/>
      <c r="AN489" s="1515"/>
      <c r="AO489" s="1516"/>
      <c r="AP489" s="1222"/>
      <c r="AQ489" s="1222"/>
      <c r="AR489" s="1222"/>
      <c r="AS489" s="1222"/>
      <c r="AT489" s="1222"/>
      <c r="AU489" s="1517"/>
      <c r="AV489" s="1517"/>
      <c r="AW489" s="1517"/>
      <c r="AX489" s="1517"/>
      <c r="AY489" s="1517"/>
      <c r="AZ489" s="1517"/>
      <c r="BA489" s="1517"/>
      <c r="BB489" s="1382"/>
      <c r="BC489" s="1382"/>
      <c r="BE489" s="1222"/>
      <c r="BF489" s="1222"/>
      <c r="BG489" s="1222"/>
      <c r="BH489" s="1222"/>
      <c r="BI489" s="1222"/>
      <c r="BJ489" s="1517"/>
      <c r="BK489" s="1517"/>
      <c r="BL489" s="1517"/>
      <c r="BM489" s="1517"/>
      <c r="BN489" s="1517"/>
      <c r="BO489" s="1517"/>
      <c r="BP489" s="1517"/>
      <c r="BQ489" s="1382"/>
      <c r="BR489" s="1222"/>
    </row>
    <row r="490" spans="1:81" s="1207" customFormat="1" ht="12.75" hidden="1" customHeight="1">
      <c r="A490" s="1492"/>
      <c r="B490" s="1222"/>
      <c r="C490" s="2521" t="s">
        <v>616</v>
      </c>
      <c r="D490" s="2522"/>
      <c r="E490" s="1493" t="s">
        <v>531</v>
      </c>
      <c r="F490" s="2530" t="s">
        <v>1717</v>
      </c>
      <c r="G490" s="2530"/>
      <c r="H490" s="2530"/>
      <c r="I490" s="2530"/>
      <c r="J490" s="2530"/>
      <c r="K490" s="2530"/>
      <c r="L490" s="2530"/>
      <c r="M490" s="2530"/>
      <c r="N490" s="2530"/>
      <c r="O490" s="2530"/>
      <c r="P490" s="2530"/>
      <c r="Q490" s="2530"/>
      <c r="R490" s="2530"/>
      <c r="S490" s="2530"/>
      <c r="T490" s="2530"/>
      <c r="U490" s="2530"/>
      <c r="V490" s="2530"/>
      <c r="W490" s="2530"/>
      <c r="X490" s="2530"/>
      <c r="Y490" s="2530"/>
      <c r="Z490" s="2530"/>
      <c r="AA490" s="2530"/>
      <c r="AB490" s="2530"/>
      <c r="AC490" s="2530"/>
      <c r="AD490" s="2530"/>
      <c r="AE490" s="2530"/>
      <c r="AF490" s="1441"/>
      <c r="AG490" s="1443"/>
      <c r="AH490" s="1443"/>
      <c r="AI490" s="1443"/>
      <c r="AJ490" s="1443"/>
      <c r="AK490" s="1471"/>
      <c r="AL490" s="1222"/>
      <c r="AM490" s="1222"/>
      <c r="AN490" s="1203"/>
      <c r="AO490" s="1204"/>
      <c r="AP490" s="1222"/>
      <c r="AQ490" s="1222"/>
      <c r="AR490" s="1222"/>
      <c r="AS490" s="1222"/>
      <c r="AT490" s="1222"/>
      <c r="AU490" s="1436"/>
      <c r="AV490" s="1436"/>
      <c r="AW490" s="1436"/>
      <c r="AX490" s="1436"/>
      <c r="AY490" s="1436"/>
      <c r="AZ490" s="1436"/>
      <c r="BA490" s="1436"/>
      <c r="BB490" s="1222"/>
      <c r="BC490" s="1222"/>
      <c r="BE490" s="1222"/>
      <c r="BF490" s="1222"/>
      <c r="BG490" s="1222"/>
      <c r="BH490" s="1222"/>
      <c r="BI490" s="1222"/>
      <c r="BJ490" s="1436"/>
      <c r="BK490" s="1436"/>
      <c r="BL490" s="1436"/>
      <c r="BM490" s="1436"/>
      <c r="BN490" s="1436"/>
      <c r="BO490" s="1436"/>
      <c r="BP490" s="1436"/>
      <c r="BQ490" s="1222"/>
      <c r="BR490" s="1222"/>
    </row>
    <row r="491" spans="1:81" s="1207" customFormat="1" ht="12.75" hidden="1" customHeight="1">
      <c r="A491" s="1492"/>
      <c r="B491" s="1222"/>
      <c r="C491" s="1494"/>
      <c r="D491" s="1222"/>
      <c r="E491" s="1495"/>
      <c r="F491" s="2531"/>
      <c r="G491" s="2531"/>
      <c r="H491" s="2531"/>
      <c r="I491" s="2531"/>
      <c r="J491" s="2531"/>
      <c r="K491" s="2531"/>
      <c r="L491" s="2531"/>
      <c r="M491" s="2531"/>
      <c r="N491" s="2531"/>
      <c r="O491" s="2531"/>
      <c r="P491" s="2531"/>
      <c r="Q491" s="2531"/>
      <c r="R491" s="2531"/>
      <c r="S491" s="2531"/>
      <c r="T491" s="2531"/>
      <c r="U491" s="2531"/>
      <c r="V491" s="2531"/>
      <c r="W491" s="2531"/>
      <c r="X491" s="2531"/>
      <c r="Y491" s="2531"/>
      <c r="Z491" s="2531"/>
      <c r="AA491" s="2531"/>
      <c r="AB491" s="2531"/>
      <c r="AC491" s="2531"/>
      <c r="AD491" s="2531"/>
      <c r="AE491" s="2531"/>
      <c r="AF491" s="1222"/>
      <c r="AG491" s="1223"/>
      <c r="AH491" s="1223"/>
      <c r="AI491" s="1223"/>
      <c r="AJ491" s="1223"/>
      <c r="AK491" s="1460"/>
      <c r="AL491" s="1222"/>
      <c r="AM491" s="1222"/>
      <c r="AN491" s="1203"/>
      <c r="AO491" s="1204"/>
      <c r="AP491" s="1518"/>
      <c r="AQ491" s="1518"/>
      <c r="AR491" s="1518"/>
      <c r="AS491" s="1492"/>
      <c r="AT491" s="1222"/>
      <c r="AU491" s="1519"/>
      <c r="AV491" s="1519"/>
      <c r="AW491" s="1519"/>
      <c r="AX491" s="1519"/>
      <c r="AY491" s="1519"/>
      <c r="AZ491" s="1519"/>
      <c r="BA491" s="1519"/>
      <c r="BB491" s="1205"/>
      <c r="BC491" s="1205"/>
      <c r="BE491" s="1518"/>
      <c r="BF491" s="1518"/>
      <c r="BG491" s="1518"/>
      <c r="BH491" s="1492"/>
      <c r="BI491" s="1222"/>
      <c r="BJ491" s="1520"/>
      <c r="BK491" s="1519"/>
      <c r="BL491" s="1519"/>
      <c r="BM491" s="1519"/>
      <c r="BN491" s="1519"/>
      <c r="BO491" s="1519"/>
      <c r="BP491" s="1519"/>
      <c r="BQ491" s="1205"/>
      <c r="BR491" s="1222"/>
    </row>
    <row r="492" spans="1:81" s="1207" customFormat="1" ht="12.75" hidden="1" customHeight="1">
      <c r="A492" s="1492"/>
      <c r="B492" s="1222"/>
      <c r="C492" s="1496"/>
      <c r="D492" s="1455"/>
      <c r="E492" s="1497"/>
      <c r="F492" s="2532" t="s">
        <v>616</v>
      </c>
      <c r="G492" s="2532"/>
      <c r="H492" s="2532"/>
      <c r="I492" s="2532"/>
      <c r="J492" s="2532"/>
      <c r="K492" s="2532"/>
      <c r="L492" s="2532"/>
      <c r="M492" s="2532"/>
      <c r="N492" s="2532"/>
      <c r="O492" s="2532"/>
      <c r="P492" s="2532"/>
      <c r="Q492" s="2532"/>
      <c r="R492" s="2532"/>
      <c r="S492" s="2532"/>
      <c r="T492" s="2532"/>
      <c r="U492" s="2532"/>
      <c r="V492" s="2532"/>
      <c r="W492" s="2532"/>
      <c r="X492" s="2532"/>
      <c r="Y492" s="2532"/>
      <c r="Z492" s="2532"/>
      <c r="AA492" s="1343"/>
      <c r="AB492" s="1410"/>
      <c r="AC492" s="1410"/>
      <c r="AD492" s="1455"/>
      <c r="AE492" s="1455"/>
      <c r="AF492" s="1455"/>
      <c r="AG492" s="1498">
        <f>IF($C$490="Yes",(VLOOKUP($F$492,$AO$460:$AP$468,2,FALSE)),0)</f>
        <v>0</v>
      </c>
      <c r="AH492" s="1499" t="s">
        <v>1519</v>
      </c>
      <c r="AI492" s="1498"/>
      <c r="AJ492" s="1410"/>
      <c r="AK492" s="1466"/>
      <c r="AL492" s="1222"/>
      <c r="AM492" s="1222"/>
      <c r="AN492" s="1203"/>
      <c r="AO492" s="1204"/>
      <c r="AP492" s="1518"/>
      <c r="AQ492" s="1518"/>
      <c r="AR492" s="1518"/>
      <c r="AS492" s="1492"/>
      <c r="AT492" s="1222"/>
      <c r="AU492" s="1519"/>
      <c r="AV492" s="1519"/>
      <c r="AW492" s="1519"/>
      <c r="AX492" s="1519"/>
      <c r="AY492" s="1519"/>
      <c r="AZ492" s="1519"/>
      <c r="BA492" s="1519"/>
      <c r="BB492" s="1205"/>
      <c r="BC492" s="1205"/>
      <c r="BE492" s="1518"/>
      <c r="BF492" s="1518"/>
      <c r="BG492" s="1518"/>
      <c r="BH492" s="1492"/>
      <c r="BI492" s="1222"/>
      <c r="BJ492" s="1520"/>
      <c r="BK492" s="1519"/>
      <c r="BL492" s="1519"/>
      <c r="BM492" s="1519"/>
      <c r="BN492" s="1519"/>
      <c r="BO492" s="1519"/>
      <c r="BP492" s="1519"/>
      <c r="BQ492" s="1205"/>
      <c r="BR492" s="1222"/>
    </row>
    <row r="493" spans="1:81" s="1207" customFormat="1" ht="12.75" hidden="1" customHeight="1">
      <c r="A493" s="1492"/>
      <c r="B493" s="1222"/>
      <c r="C493" s="1439"/>
      <c r="D493" s="1222"/>
      <c r="E493" s="1495"/>
      <c r="F493" s="1223"/>
      <c r="G493" s="1223"/>
      <c r="H493" s="1223"/>
      <c r="I493" s="1223"/>
      <c r="J493" s="1223"/>
      <c r="K493" s="1223"/>
      <c r="L493" s="1223"/>
      <c r="M493" s="1223"/>
      <c r="N493" s="1223"/>
      <c r="O493" s="1223"/>
      <c r="P493" s="1223"/>
      <c r="Q493" s="1223"/>
      <c r="R493" s="1223"/>
      <c r="S493" s="1223"/>
      <c r="T493" s="1223"/>
      <c r="U493" s="1223"/>
      <c r="V493" s="1223"/>
      <c r="W493" s="1223"/>
      <c r="X493" s="1223"/>
      <c r="Y493" s="1223"/>
      <c r="Z493" s="1223"/>
      <c r="AA493" s="1223"/>
      <c r="AB493" s="1223"/>
      <c r="AC493" s="1223"/>
      <c r="AD493" s="1222"/>
      <c r="AE493" s="1222"/>
      <c r="AF493" s="1222"/>
      <c r="AG493" s="1223"/>
      <c r="AH493" s="1223"/>
      <c r="AI493" s="1223"/>
      <c r="AJ493" s="1223"/>
      <c r="AK493" s="1222"/>
      <c r="AL493" s="1222"/>
      <c r="AM493" s="1222"/>
      <c r="AN493" s="1203"/>
      <c r="AO493" s="1204"/>
      <c r="AP493" s="1518"/>
      <c r="AQ493" s="1518"/>
      <c r="AR493" s="1518"/>
      <c r="AS493" s="1492"/>
      <c r="AT493" s="1222"/>
      <c r="AU493" s="1519"/>
      <c r="AV493" s="1519"/>
      <c r="AW493" s="1519"/>
      <c r="AX493" s="1519"/>
      <c r="AY493" s="1519"/>
      <c r="AZ493" s="1519"/>
      <c r="BA493" s="1519"/>
      <c r="BB493" s="1205"/>
      <c r="BC493" s="1205"/>
      <c r="BE493" s="1518"/>
      <c r="BF493" s="1518"/>
      <c r="BG493" s="1518"/>
      <c r="BH493" s="1492"/>
      <c r="BI493" s="1222"/>
      <c r="BJ493" s="1520"/>
      <c r="BK493" s="1519"/>
      <c r="BL493" s="1519"/>
      <c r="BM493" s="1519"/>
      <c r="BN493" s="1519"/>
      <c r="BO493" s="1519"/>
      <c r="BP493" s="1519"/>
      <c r="BQ493" s="1205"/>
      <c r="BR493" s="1222"/>
    </row>
    <row r="494" spans="1:81" s="1207" customFormat="1" ht="12.75" hidden="1" customHeight="1">
      <c r="A494" s="1222"/>
      <c r="B494" s="1222"/>
      <c r="C494" s="2521" t="s">
        <v>616</v>
      </c>
      <c r="D494" s="2522"/>
      <c r="E494" s="1493" t="s">
        <v>786</v>
      </c>
      <c r="F494" s="2533" t="s">
        <v>1739</v>
      </c>
      <c r="G494" s="2533"/>
      <c r="H494" s="2533"/>
      <c r="I494" s="2533"/>
      <c r="J494" s="2533"/>
      <c r="K494" s="2533"/>
      <c r="L494" s="2533"/>
      <c r="M494" s="2533"/>
      <c r="N494" s="2533"/>
      <c r="O494" s="2533"/>
      <c r="P494" s="2533"/>
      <c r="Q494" s="2533"/>
      <c r="R494" s="2533"/>
      <c r="S494" s="2533"/>
      <c r="T494" s="2533"/>
      <c r="U494" s="2533"/>
      <c r="V494" s="2533"/>
      <c r="W494" s="2533"/>
      <c r="X494" s="2533"/>
      <c r="Y494" s="2533"/>
      <c r="Z494" s="2533"/>
      <c r="AA494" s="2533"/>
      <c r="AB494" s="2533"/>
      <c r="AC494" s="2533"/>
      <c r="AD494" s="2533"/>
      <c r="AE494" s="2533"/>
      <c r="AF494" s="1441"/>
      <c r="AG494" s="1399"/>
      <c r="AH494" s="1399"/>
      <c r="AI494" s="1399"/>
      <c r="AJ494" s="1399"/>
      <c r="AK494" s="1471"/>
      <c r="AL494" s="1222"/>
      <c r="AM494" s="1222"/>
      <c r="AN494" s="1203"/>
      <c r="AO494" s="1204"/>
      <c r="AP494" s="1518"/>
      <c r="AQ494" s="1518"/>
      <c r="AR494" s="1518"/>
      <c r="AS494" s="1492"/>
      <c r="AT494" s="1222"/>
      <c r="AU494" s="1519"/>
      <c r="AV494" s="1519"/>
      <c r="AW494" s="1519"/>
      <c r="AX494" s="1519"/>
      <c r="AY494" s="1519"/>
      <c r="AZ494" s="1519"/>
      <c r="BA494" s="1519"/>
      <c r="BB494" s="1205"/>
      <c r="BC494" s="1205"/>
      <c r="BE494" s="1518"/>
      <c r="BF494" s="1518"/>
      <c r="BG494" s="1518"/>
      <c r="BH494" s="1492"/>
      <c r="BI494" s="1222"/>
      <c r="BJ494" s="1520"/>
      <c r="BK494" s="1519"/>
      <c r="BL494" s="1519"/>
      <c r="BM494" s="1519"/>
      <c r="BN494" s="1519"/>
      <c r="BO494" s="1519"/>
      <c r="BP494" s="1519"/>
      <c r="BQ494" s="1205"/>
      <c r="BR494" s="1222"/>
    </row>
    <row r="495" spans="1:81" s="1207" customFormat="1" ht="12.75" hidden="1" customHeight="1">
      <c r="A495" s="1222"/>
      <c r="B495" s="1222"/>
      <c r="C495" s="1494"/>
      <c r="D495" s="1222"/>
      <c r="E495" s="1495"/>
      <c r="F495" s="2534"/>
      <c r="G495" s="2534"/>
      <c r="H495" s="2534"/>
      <c r="I495" s="2534"/>
      <c r="J495" s="2534"/>
      <c r="K495" s="2534"/>
      <c r="L495" s="2534"/>
      <c r="M495" s="2534"/>
      <c r="N495" s="2534"/>
      <c r="O495" s="2534"/>
      <c r="P495" s="2534"/>
      <c r="Q495" s="2534"/>
      <c r="R495" s="2534"/>
      <c r="S495" s="2534"/>
      <c r="T495" s="2534"/>
      <c r="U495" s="2534"/>
      <c r="V495" s="2534"/>
      <c r="W495" s="2534"/>
      <c r="X495" s="2534"/>
      <c r="Y495" s="2534"/>
      <c r="Z495" s="2534"/>
      <c r="AA495" s="2534"/>
      <c r="AB495" s="2534"/>
      <c r="AC495" s="2534"/>
      <c r="AD495" s="2534"/>
      <c r="AE495" s="2534"/>
      <c r="AF495" s="1222"/>
      <c r="AG495" s="1223"/>
      <c r="AH495" s="1223"/>
      <c r="AI495" s="1223"/>
      <c r="AJ495" s="1223"/>
      <c r="AK495" s="1460"/>
      <c r="AL495" s="1222"/>
      <c r="AM495" s="1222"/>
      <c r="AN495" s="1203"/>
      <c r="AO495" s="1204"/>
      <c r="AP495" s="1518"/>
      <c r="AQ495" s="1518"/>
      <c r="AR495" s="1518"/>
      <c r="AS495" s="1492"/>
      <c r="AT495" s="1222"/>
      <c r="AU495" s="1519"/>
      <c r="AV495" s="1519"/>
      <c r="AW495" s="1519"/>
      <c r="AX495" s="1519"/>
      <c r="AY495" s="1519"/>
      <c r="AZ495" s="1519"/>
      <c r="BA495" s="1519"/>
      <c r="BB495" s="1205"/>
      <c r="BC495" s="1205"/>
      <c r="BE495" s="1518"/>
      <c r="BF495" s="1518"/>
      <c r="BG495" s="1518"/>
      <c r="BH495" s="1492"/>
      <c r="BI495" s="1222"/>
      <c r="BJ495" s="1520"/>
      <c r="BK495" s="1519"/>
      <c r="BL495" s="1519"/>
      <c r="BM495" s="1519"/>
      <c r="BN495" s="1519"/>
      <c r="BO495" s="1519"/>
      <c r="BP495" s="1519"/>
      <c r="BQ495" s="1205"/>
      <c r="BR495" s="1222"/>
    </row>
    <row r="496" spans="1:81" s="1207" customFormat="1" ht="12.75" hidden="1" customHeight="1">
      <c r="A496" s="1222"/>
      <c r="B496" s="1222"/>
      <c r="C496" s="1468"/>
      <c r="D496" s="1222"/>
      <c r="E496" s="1222"/>
      <c r="F496" s="1513" t="s">
        <v>1740</v>
      </c>
      <c r="G496" s="1223"/>
      <c r="H496" s="1223"/>
      <c r="I496" s="1223"/>
      <c r="J496" s="1223"/>
      <c r="K496" s="1223"/>
      <c r="L496" s="1223"/>
      <c r="M496" s="1223"/>
      <c r="N496" s="1223"/>
      <c r="O496" s="1223"/>
      <c r="P496" s="1223"/>
      <c r="Q496" s="1223"/>
      <c r="R496" s="1223"/>
      <c r="S496" s="1223"/>
      <c r="T496" s="1223"/>
      <c r="U496" s="1223"/>
      <c r="V496" s="1223"/>
      <c r="W496" s="1223"/>
      <c r="X496" s="1223"/>
      <c r="Y496" s="1223"/>
      <c r="Z496" s="1223"/>
      <c r="AA496" s="1223"/>
      <c r="AB496" s="1223"/>
      <c r="AC496" s="1286"/>
      <c r="AD496" s="1222"/>
      <c r="AE496" s="1222"/>
      <c r="AF496" s="1222"/>
      <c r="AG496" s="1307"/>
      <c r="AH496" s="1307"/>
      <c r="AI496" s="1307"/>
      <c r="AJ496" s="1307"/>
      <c r="AK496" s="1460"/>
      <c r="AL496" s="1222"/>
      <c r="AM496" s="1222"/>
      <c r="AN496" s="1203"/>
      <c r="AP496" s="1518"/>
      <c r="AQ496" s="1518"/>
      <c r="AR496" s="1518"/>
      <c r="AS496" s="1492"/>
      <c r="AT496" s="1222"/>
      <c r="AU496" s="1519"/>
      <c r="AV496" s="1519"/>
      <c r="AW496" s="1519"/>
      <c r="AX496" s="1519"/>
      <c r="AY496" s="1519"/>
      <c r="AZ496" s="1519"/>
      <c r="BA496" s="1519"/>
      <c r="BE496" s="1518"/>
      <c r="BF496" s="1518"/>
      <c r="BG496" s="1518"/>
      <c r="BH496" s="1492"/>
      <c r="BI496" s="1222"/>
      <c r="BJ496" s="1520"/>
      <c r="BK496" s="1519"/>
      <c r="BL496" s="1519"/>
      <c r="BM496" s="1519"/>
      <c r="BN496" s="1519"/>
      <c r="BO496" s="1519"/>
      <c r="BP496" s="1519"/>
      <c r="BR496" s="1222"/>
    </row>
    <row r="497" spans="1:81" s="1207" customFormat="1" ht="13.8" hidden="1" thickTop="1">
      <c r="A497" s="1222"/>
      <c r="B497" s="1222"/>
      <c r="C497" s="1496"/>
      <c r="D497" s="1455"/>
      <c r="E497" s="1497"/>
      <c r="F497" s="2535" t="s">
        <v>616</v>
      </c>
      <c r="G497" s="2535"/>
      <c r="H497" s="2535"/>
      <c r="I497" s="1410"/>
      <c r="J497" s="1410"/>
      <c r="K497" s="1410"/>
      <c r="L497" s="1410"/>
      <c r="M497" s="1410"/>
      <c r="N497" s="1410"/>
      <c r="O497" s="1410"/>
      <c r="P497" s="1410"/>
      <c r="Q497" s="1410"/>
      <c r="R497" s="1410"/>
      <c r="S497" s="1410"/>
      <c r="T497" s="1410"/>
      <c r="U497" s="1410"/>
      <c r="V497" s="1410"/>
      <c r="W497" s="1410"/>
      <c r="X497" s="1410"/>
      <c r="Y497" s="1410"/>
      <c r="Z497" s="1410"/>
      <c r="AA497" s="1410"/>
      <c r="AB497" s="1410"/>
      <c r="AC497" s="1410"/>
      <c r="AD497" s="1455"/>
      <c r="AE497" s="1455"/>
      <c r="AF497" s="1455"/>
      <c r="AG497" s="1498">
        <f>IF($C$494="Yes",(VLOOKUP($F$497,$AO$470:$AP$472,2,FALSE)),0)</f>
        <v>0</v>
      </c>
      <c r="AH497" s="1499" t="s">
        <v>1519</v>
      </c>
      <c r="AI497" s="1410"/>
      <c r="AJ497" s="1410"/>
      <c r="AK497" s="1466"/>
      <c r="AL497" s="1222"/>
      <c r="AM497" s="1222"/>
      <c r="AN497" s="1203"/>
      <c r="AP497" s="1518"/>
      <c r="AQ497" s="1518"/>
      <c r="AR497" s="1518"/>
      <c r="AS497" s="1436"/>
      <c r="AT497" s="1222"/>
      <c r="AU497" s="1519"/>
      <c r="AV497" s="1519"/>
      <c r="AW497" s="1519"/>
      <c r="AX497" s="1519"/>
      <c r="AY497" s="1519"/>
      <c r="AZ497" s="1519"/>
      <c r="BA497" s="1519"/>
      <c r="BE497" s="1518"/>
      <c r="BF497" s="1518"/>
      <c r="BG497" s="1518"/>
      <c r="BH497" s="1436"/>
      <c r="BI497" s="1222"/>
      <c r="BJ497" s="1520"/>
      <c r="BK497" s="1519"/>
      <c r="BL497" s="1519"/>
      <c r="BM497" s="1519"/>
      <c r="BN497" s="1519"/>
      <c r="BO497" s="1519"/>
      <c r="BP497" s="1519"/>
      <c r="BR497" s="1222"/>
    </row>
    <row r="498" spans="1:81" s="1207" customFormat="1" ht="13.8" hidden="1" thickTop="1">
      <c r="A498" s="1223"/>
      <c r="B498" s="1223"/>
      <c r="C498" s="1223"/>
      <c r="D498" s="1223"/>
      <c r="E498" s="1223"/>
      <c r="F498" s="1223"/>
      <c r="G498" s="1223"/>
      <c r="H498" s="1223"/>
      <c r="I498" s="1223"/>
      <c r="J498" s="1223"/>
      <c r="K498" s="1223"/>
      <c r="L498" s="1223"/>
      <c r="M498" s="1223"/>
      <c r="N498" s="1223"/>
      <c r="O498" s="1223"/>
      <c r="P498" s="1223"/>
      <c r="Q498" s="1223"/>
      <c r="R498" s="1223"/>
      <c r="S498" s="1223"/>
      <c r="T498" s="1223"/>
      <c r="U498" s="1223"/>
      <c r="V498" s="1223"/>
      <c r="W498" s="1223"/>
      <c r="X498" s="1223"/>
      <c r="Y498" s="1223"/>
      <c r="Z498" s="1223"/>
      <c r="AA498" s="1223"/>
      <c r="AB498" s="1223"/>
      <c r="AC498" s="1223"/>
      <c r="AD498" s="1223"/>
      <c r="AE498" s="1222"/>
      <c r="AF498" s="1222"/>
      <c r="AG498" s="1307"/>
      <c r="AH498" s="1392"/>
      <c r="AI498" s="1223"/>
      <c r="AJ498" s="1223"/>
      <c r="AK498" s="1222"/>
      <c r="AL498" s="1222"/>
      <c r="AM498" s="1222"/>
      <c r="AN498" s="1203"/>
      <c r="AP498" s="1518"/>
      <c r="AQ498" s="1518"/>
      <c r="AR498" s="1518"/>
      <c r="AS498" s="1436"/>
      <c r="AT498" s="1222"/>
      <c r="AU498" s="1519"/>
      <c r="AV498" s="1519"/>
      <c r="AW498" s="1519"/>
      <c r="AX498" s="1519"/>
      <c r="AY498" s="1519"/>
      <c r="AZ498" s="1519"/>
      <c r="BA498" s="1519"/>
      <c r="BE498" s="1518"/>
      <c r="BF498" s="1518"/>
      <c r="BG498" s="1518"/>
      <c r="BH498" s="1436"/>
      <c r="BI498" s="1222"/>
      <c r="BJ498" s="1520"/>
      <c r="BK498" s="1519"/>
      <c r="BL498" s="1519"/>
      <c r="BM498" s="1519"/>
      <c r="BN498" s="1519"/>
      <c r="BO498" s="1519"/>
      <c r="BP498" s="1519"/>
      <c r="BR498" s="1222"/>
    </row>
    <row r="499" spans="1:81" s="1207" customFormat="1" ht="13.8" hidden="1" thickTop="1">
      <c r="A499" s="1222"/>
      <c r="B499" s="1222"/>
      <c r="C499" s="2521" t="s">
        <v>616</v>
      </c>
      <c r="D499" s="2522"/>
      <c r="E499" s="1493" t="s">
        <v>1741</v>
      </c>
      <c r="F499" s="1512" t="s">
        <v>1742</v>
      </c>
      <c r="G499" s="1399"/>
      <c r="H499" s="1399"/>
      <c r="I499" s="1399"/>
      <c r="J499" s="1399"/>
      <c r="K499" s="1399"/>
      <c r="L499" s="1399"/>
      <c r="M499" s="1399"/>
      <c r="N499" s="1399"/>
      <c r="O499" s="1399"/>
      <c r="P499" s="1399"/>
      <c r="Q499" s="1399"/>
      <c r="R499" s="1399"/>
      <c r="S499" s="1399"/>
      <c r="T499" s="1399"/>
      <c r="U499" s="1399"/>
      <c r="V499" s="1399"/>
      <c r="W499" s="1399"/>
      <c r="X499" s="1399"/>
      <c r="Y499" s="1399"/>
      <c r="Z499" s="1399"/>
      <c r="AA499" s="1399"/>
      <c r="AB499" s="1399"/>
      <c r="AC499" s="1521"/>
      <c r="AD499" s="1441"/>
      <c r="AE499" s="1441"/>
      <c r="AF499" s="1441"/>
      <c r="AG499" s="1522"/>
      <c r="AH499" s="1522"/>
      <c r="AI499" s="1522"/>
      <c r="AJ499" s="1522"/>
      <c r="AK499" s="1471"/>
      <c r="AL499" s="1222"/>
      <c r="AM499" s="1222"/>
      <c r="AN499" s="1203"/>
      <c r="AP499" s="1518"/>
      <c r="AQ499" s="1518"/>
      <c r="AR499" s="1518"/>
      <c r="AS499" s="1436"/>
      <c r="AT499" s="1222"/>
      <c r="AU499" s="1519"/>
      <c r="AV499" s="1519"/>
      <c r="AW499" s="1519"/>
      <c r="AX499" s="1519"/>
      <c r="AY499" s="1519"/>
      <c r="AZ499" s="1519"/>
      <c r="BA499" s="1519"/>
      <c r="BE499" s="1518"/>
      <c r="BF499" s="1518"/>
      <c r="BG499" s="1518"/>
      <c r="BH499" s="1436"/>
      <c r="BI499" s="1222"/>
      <c r="BJ499" s="1520"/>
      <c r="BK499" s="1519"/>
      <c r="BL499" s="1519"/>
      <c r="BM499" s="1519"/>
      <c r="BN499" s="1519"/>
      <c r="BO499" s="1519"/>
      <c r="BP499" s="1519"/>
      <c r="BR499" s="1222"/>
    </row>
    <row r="500" spans="1:81" s="1207" customFormat="1" ht="13.8" hidden="1" thickTop="1">
      <c r="A500" s="1222"/>
      <c r="B500" s="1222"/>
      <c r="C500" s="1494"/>
      <c r="D500" s="1222"/>
      <c r="E500" s="1495"/>
      <c r="F500" s="1223"/>
      <c r="G500" s="1223"/>
      <c r="H500" s="1223"/>
      <c r="I500" s="1223"/>
      <c r="J500" s="1223"/>
      <c r="K500" s="1223"/>
      <c r="L500" s="1223"/>
      <c r="M500" s="1223"/>
      <c r="N500" s="1223"/>
      <c r="O500" s="1223"/>
      <c r="P500" s="1223"/>
      <c r="Q500" s="1223"/>
      <c r="R500" s="1223"/>
      <c r="S500" s="1223"/>
      <c r="T500" s="1223"/>
      <c r="U500" s="1223"/>
      <c r="V500" s="1223"/>
      <c r="W500" s="1223"/>
      <c r="X500" s="1223"/>
      <c r="Y500" s="1223"/>
      <c r="Z500" s="1223"/>
      <c r="AA500" s="1223"/>
      <c r="AB500" s="1223"/>
      <c r="AC500" s="1223"/>
      <c r="AD500" s="1222"/>
      <c r="AE500" s="1222"/>
      <c r="AF500" s="1222"/>
      <c r="AG500" s="1223"/>
      <c r="AH500" s="1223"/>
      <c r="AI500" s="1223"/>
      <c r="AJ500" s="1223"/>
      <c r="AK500" s="1460"/>
      <c r="AL500" s="1222"/>
      <c r="AM500" s="1222"/>
      <c r="AN500" s="1203"/>
      <c r="AP500" s="1518"/>
      <c r="AQ500" s="1518"/>
      <c r="AR500" s="1518"/>
      <c r="AS500" s="1436"/>
      <c r="AT500" s="1222"/>
      <c r="AU500" s="1519"/>
      <c r="AV500" s="1519"/>
      <c r="AW500" s="1519"/>
      <c r="AX500" s="1519"/>
      <c r="AY500" s="1519"/>
      <c r="AZ500" s="1519"/>
      <c r="BA500" s="1519"/>
      <c r="BE500" s="1518"/>
      <c r="BF500" s="1518"/>
      <c r="BG500" s="1518"/>
      <c r="BH500" s="1436"/>
      <c r="BI500" s="1222"/>
      <c r="BJ500" s="1520"/>
      <c r="BK500" s="1519"/>
      <c r="BL500" s="1519"/>
      <c r="BM500" s="1519"/>
      <c r="BN500" s="1519"/>
      <c r="BO500" s="1519"/>
      <c r="BP500" s="1519"/>
      <c r="BR500" s="1205"/>
    </row>
    <row r="501" spans="1:81" s="1207" customFormat="1" ht="13.8" hidden="1" thickTop="1">
      <c r="A501" s="1222"/>
      <c r="B501" s="1222"/>
      <c r="C501" s="2523"/>
      <c r="D501" s="2524"/>
      <c r="E501" s="1503"/>
      <c r="F501" s="1223" t="s">
        <v>1743</v>
      </c>
      <c r="G501" s="1223"/>
      <c r="H501" s="1223"/>
      <c r="I501" s="1223"/>
      <c r="J501" s="1223"/>
      <c r="K501" s="1223"/>
      <c r="L501" s="1223"/>
      <c r="M501" s="1223"/>
      <c r="N501" s="1223"/>
      <c r="O501" s="1223"/>
      <c r="P501" s="1223"/>
      <c r="Q501" s="1223"/>
      <c r="R501" s="1223"/>
      <c r="S501" s="1223"/>
      <c r="T501" s="1223"/>
      <c r="U501" s="1223"/>
      <c r="V501" s="1223"/>
      <c r="W501" s="1223"/>
      <c r="X501" s="1223"/>
      <c r="Y501" s="1223"/>
      <c r="Z501" s="1223"/>
      <c r="AA501" s="1223"/>
      <c r="AB501" s="1223"/>
      <c r="AC501" s="1286"/>
      <c r="AD501" s="1222"/>
      <c r="AE501" s="1222"/>
      <c r="AF501" s="1222"/>
      <c r="AG501" s="1307">
        <f>IF($C$499="Yes",(VLOOKUP($G$502,$AO$477:$AP$480,2,FALSE)),0)</f>
        <v>0</v>
      </c>
      <c r="AH501" s="1392" t="s">
        <v>1519</v>
      </c>
      <c r="AI501" s="1223"/>
      <c r="AJ501" s="1307"/>
      <c r="AK501" s="1460"/>
      <c r="AL501" s="1222"/>
      <c r="AM501" s="1222"/>
      <c r="AN501" s="1203"/>
      <c r="AP501" s="1518"/>
      <c r="AQ501" s="1518"/>
      <c r="AR501" s="1518"/>
      <c r="AS501" s="1436"/>
      <c r="AT501" s="1222"/>
      <c r="AU501" s="1519"/>
      <c r="AV501" s="1519"/>
      <c r="AW501" s="1519"/>
      <c r="AX501" s="1519"/>
      <c r="AY501" s="1519"/>
      <c r="AZ501" s="1519"/>
      <c r="BA501" s="1519"/>
      <c r="BE501" s="1518"/>
      <c r="BF501" s="1518"/>
      <c r="BG501" s="1518"/>
      <c r="BH501" s="1436"/>
      <c r="BI501" s="1222"/>
      <c r="BJ501" s="1520"/>
      <c r="BK501" s="1519"/>
      <c r="BL501" s="1519"/>
      <c r="BM501" s="1519"/>
      <c r="BN501" s="1519"/>
      <c r="BO501" s="1519"/>
      <c r="BP501" s="1519"/>
      <c r="BR501" s="1222"/>
    </row>
    <row r="502" spans="1:81" s="1207" customFormat="1" ht="13.8" hidden="1" thickTop="1">
      <c r="A502" s="1222"/>
      <c r="B502" s="1222"/>
      <c r="C502" s="1494"/>
      <c r="D502" s="1222"/>
      <c r="E502" s="1495"/>
      <c r="F502" s="1223"/>
      <c r="G502" s="2525" t="s">
        <v>616</v>
      </c>
      <c r="H502" s="2525"/>
      <c r="I502" s="2525"/>
      <c r="J502" s="2525"/>
      <c r="K502" s="2525"/>
      <c r="L502" s="2525"/>
      <c r="M502" s="2525"/>
      <c r="N502" s="2525"/>
      <c r="O502" s="2525"/>
      <c r="P502" s="2525"/>
      <c r="Q502" s="2525"/>
      <c r="R502" s="2525"/>
      <c r="S502" s="2525"/>
      <c r="T502" s="2525"/>
      <c r="U502" s="2525"/>
      <c r="V502" s="2525"/>
      <c r="W502" s="2525"/>
      <c r="X502" s="2525"/>
      <c r="Y502" s="2525"/>
      <c r="Z502" s="2525"/>
      <c r="AA502" s="2525"/>
      <c r="AB502" s="2525"/>
      <c r="AC502" s="2525"/>
      <c r="AD502" s="2525"/>
      <c r="AE502" s="2525"/>
      <c r="AF502" s="2525"/>
      <c r="AG502" s="1222"/>
      <c r="AH502" s="1222"/>
      <c r="AI502" s="1222"/>
      <c r="AJ502" s="1223"/>
      <c r="AK502" s="1460"/>
      <c r="AL502" s="1222"/>
      <c r="AM502" s="1222"/>
      <c r="AN502" s="1203"/>
      <c r="AP502" s="1518"/>
      <c r="AQ502" s="1518"/>
      <c r="AR502" s="1518"/>
      <c r="AS502" s="1436"/>
      <c r="AT502" s="1222"/>
      <c r="AU502" s="1519"/>
      <c r="AV502" s="1519"/>
      <c r="AW502" s="1519"/>
      <c r="AX502" s="1519"/>
      <c r="AY502" s="1519"/>
      <c r="AZ502" s="1519"/>
      <c r="BA502" s="1519"/>
      <c r="BE502" s="1518"/>
      <c r="BF502" s="1518"/>
      <c r="BG502" s="1518"/>
      <c r="BH502" s="1436"/>
      <c r="BI502" s="1222"/>
      <c r="BJ502" s="1520"/>
      <c r="BK502" s="1519"/>
      <c r="BL502" s="1519"/>
      <c r="BM502" s="1519"/>
      <c r="BN502" s="1519"/>
      <c r="BO502" s="1519"/>
      <c r="BP502" s="1519"/>
      <c r="BR502" s="1222"/>
    </row>
    <row r="503" spans="1:81" s="1207" customFormat="1" ht="13.8" hidden="1" thickTop="1">
      <c r="A503" s="1222"/>
      <c r="B503" s="1222"/>
      <c r="C503" s="1458"/>
      <c r="F503" s="1205"/>
      <c r="G503" s="1205"/>
      <c r="H503" s="1205"/>
      <c r="I503" s="1205"/>
      <c r="J503" s="1205"/>
      <c r="K503" s="1205"/>
      <c r="L503" s="1205"/>
      <c r="M503" s="1205"/>
      <c r="N503" s="1205"/>
      <c r="O503" s="1205"/>
      <c r="P503" s="1205"/>
      <c r="Q503" s="1205"/>
      <c r="R503" s="1205"/>
      <c r="S503" s="1205"/>
      <c r="T503" s="1205"/>
      <c r="U503" s="1205"/>
      <c r="V503" s="1205"/>
      <c r="W503" s="1205"/>
      <c r="X503" s="1205"/>
      <c r="Y503" s="1205"/>
      <c r="Z503" s="1205"/>
      <c r="AA503" s="1205"/>
      <c r="AB503" s="1205"/>
      <c r="AC503" s="1205"/>
      <c r="AD503" s="1222"/>
      <c r="AE503" s="1222"/>
      <c r="AF503" s="1222"/>
      <c r="AG503" s="1205"/>
      <c r="AH503" s="1205"/>
      <c r="AI503" s="1205"/>
      <c r="AJ503" s="1205"/>
      <c r="AK503" s="1460"/>
      <c r="AL503" s="1222"/>
      <c r="AM503" s="1222"/>
      <c r="AN503" s="1203"/>
      <c r="AP503" s="1518"/>
      <c r="AQ503" s="1518"/>
      <c r="AR503" s="1518"/>
      <c r="AS503" s="1436"/>
      <c r="AT503" s="1222"/>
      <c r="AU503" s="1519"/>
      <c r="AV503" s="1519"/>
      <c r="AW503" s="1519"/>
      <c r="AX503" s="1519"/>
      <c r="AY503" s="1519"/>
      <c r="AZ503" s="1519"/>
      <c r="BA503" s="1519"/>
      <c r="BE503" s="1518"/>
      <c r="BF503" s="1518"/>
      <c r="BG503" s="1518"/>
      <c r="BH503" s="1436"/>
      <c r="BI503" s="1222"/>
      <c r="BJ503" s="1520"/>
      <c r="BK503" s="1519"/>
      <c r="BL503" s="1519"/>
      <c r="BM503" s="1519"/>
      <c r="BN503" s="1519"/>
      <c r="BO503" s="1519"/>
      <c r="BP503" s="1519"/>
      <c r="BR503" s="1222"/>
    </row>
    <row r="504" spans="1:81" s="1207" customFormat="1" ht="12.75" hidden="1" customHeight="1">
      <c r="A504" s="1205"/>
      <c r="B504" s="1222"/>
      <c r="C504" s="2526" t="s">
        <v>616</v>
      </c>
      <c r="D504" s="2527"/>
      <c r="F504" s="1223" t="s">
        <v>1744</v>
      </c>
      <c r="G504" s="1223"/>
      <c r="H504" s="1223"/>
      <c r="I504" s="1223"/>
      <c r="J504" s="1223"/>
      <c r="K504" s="1223"/>
      <c r="L504" s="1223"/>
      <c r="M504" s="1223"/>
      <c r="N504" s="1223"/>
      <c r="O504" s="1223"/>
      <c r="P504" s="1223"/>
      <c r="Q504" s="1223"/>
      <c r="R504" s="1223"/>
      <c r="S504" s="1223"/>
      <c r="T504" s="1223"/>
      <c r="U504" s="1223"/>
      <c r="V504" s="1223"/>
      <c r="W504" s="1223"/>
      <c r="X504" s="1223"/>
      <c r="Y504" s="1223"/>
      <c r="Z504" s="1223"/>
      <c r="AA504" s="1223"/>
      <c r="AB504" s="1223"/>
      <c r="AC504" s="1286"/>
      <c r="AD504" s="1222"/>
      <c r="AE504" s="1222"/>
      <c r="AF504" s="1222"/>
      <c r="AG504" s="1307">
        <f>IF(AND($C$504="Yes",$C$499="Yes"),2,0)</f>
        <v>0</v>
      </c>
      <c r="AH504" s="1392" t="s">
        <v>1519</v>
      </c>
      <c r="AI504" s="1223"/>
      <c r="AJ504" s="1289"/>
      <c r="AK504" s="1460"/>
      <c r="AL504" s="1222"/>
      <c r="AM504" s="1222"/>
      <c r="AN504" s="1203"/>
      <c r="AP504" s="1518"/>
      <c r="AQ504" s="1518"/>
      <c r="AR504" s="1518"/>
      <c r="AS504" s="1436"/>
      <c r="AT504" s="1222"/>
      <c r="AU504" s="1519"/>
      <c r="AV504" s="1519"/>
      <c r="AW504" s="1519"/>
      <c r="AX504" s="1519"/>
      <c r="AY504" s="1519"/>
      <c r="AZ504" s="1519"/>
      <c r="BA504" s="1519"/>
      <c r="BE504" s="1518"/>
      <c r="BF504" s="1518"/>
      <c r="BG504" s="1518"/>
      <c r="BH504" s="1436"/>
      <c r="BI504" s="1222"/>
      <c r="BJ504" s="1520"/>
      <c r="BK504" s="1519"/>
      <c r="BL504" s="1519"/>
      <c r="BM504" s="1519"/>
      <c r="BN504" s="1519"/>
      <c r="BO504" s="1519"/>
      <c r="BP504" s="1519"/>
      <c r="BR504" s="1222"/>
    </row>
    <row r="505" spans="1:81" s="1207" customFormat="1" ht="13.8" hidden="1" thickTop="1">
      <c r="A505" s="1205"/>
      <c r="B505" s="1222"/>
      <c r="C505" s="1445"/>
      <c r="D505" s="1267"/>
      <c r="E505" s="1267"/>
      <c r="F505" s="1223"/>
      <c r="G505" s="1223" t="s">
        <v>1745</v>
      </c>
      <c r="H505" s="1223"/>
      <c r="I505" s="1223"/>
      <c r="J505" s="1223"/>
      <c r="K505" s="1223"/>
      <c r="L505" s="1223"/>
      <c r="M505" s="1223"/>
      <c r="N505" s="1223"/>
      <c r="O505" s="1223"/>
      <c r="P505" s="1223"/>
      <c r="Q505" s="1223"/>
      <c r="R505" s="1223"/>
      <c r="S505" s="1223"/>
      <c r="T505" s="1223"/>
      <c r="U505" s="1223"/>
      <c r="V505" s="1223"/>
      <c r="W505" s="1223"/>
      <c r="X505" s="1223"/>
      <c r="Y505" s="1223"/>
      <c r="Z505" s="1223"/>
      <c r="AA505" s="1223"/>
      <c r="AB505" s="1223"/>
      <c r="AC505" s="1286"/>
      <c r="AD505" s="1222"/>
      <c r="AE505" s="1222"/>
      <c r="AF505" s="1222"/>
      <c r="AG505" s="1289"/>
      <c r="AH505" s="1289"/>
      <c r="AI505" s="1289"/>
      <c r="AJ505" s="1289"/>
      <c r="AK505" s="1460"/>
      <c r="AL505" s="1222"/>
      <c r="AM505" s="1222"/>
      <c r="AN505" s="1296"/>
      <c r="AP505" s="1518"/>
      <c r="AQ505" s="1518"/>
      <c r="AR505" s="1518"/>
      <c r="AS505" s="1436"/>
      <c r="AT505" s="1222"/>
      <c r="AU505" s="1519"/>
      <c r="AV505" s="1519"/>
      <c r="AW505" s="1519"/>
      <c r="AX505" s="1519"/>
      <c r="AY505" s="1519"/>
      <c r="AZ505" s="1519"/>
      <c r="BA505" s="1519"/>
      <c r="BE505" s="1518"/>
      <c r="BF505" s="1518"/>
      <c r="BG505" s="1518"/>
      <c r="BH505" s="1436"/>
      <c r="BI505" s="1222"/>
      <c r="BJ505" s="1520"/>
      <c r="BK505" s="1519"/>
      <c r="BL505" s="1519"/>
      <c r="BM505" s="1519"/>
      <c r="BN505" s="1519"/>
      <c r="BO505" s="1519"/>
      <c r="BP505" s="1519"/>
      <c r="BR505" s="1222"/>
    </row>
    <row r="506" spans="1:81" s="1222" customFormat="1" ht="12.75" hidden="1" customHeight="1">
      <c r="A506" s="1205"/>
      <c r="C506" s="1445"/>
      <c r="D506" s="1267"/>
      <c r="E506" s="1267"/>
      <c r="F506" s="1223"/>
      <c r="G506" s="1223" t="s">
        <v>1746</v>
      </c>
      <c r="H506" s="1223"/>
      <c r="I506" s="1223"/>
      <c r="J506" s="1223"/>
      <c r="K506" s="1223"/>
      <c r="L506" s="1223"/>
      <c r="M506" s="1223"/>
      <c r="N506" s="1223"/>
      <c r="O506" s="1223"/>
      <c r="P506" s="1223"/>
      <c r="Q506" s="1223"/>
      <c r="R506" s="1223"/>
      <c r="S506" s="1223"/>
      <c r="T506" s="1223"/>
      <c r="U506" s="1223"/>
      <c r="V506" s="1223"/>
      <c r="W506" s="1223"/>
      <c r="X506" s="1223"/>
      <c r="Y506" s="1223"/>
      <c r="Z506" s="1223"/>
      <c r="AA506" s="1223"/>
      <c r="AB506" s="1223"/>
      <c r="AC506" s="1286"/>
      <c r="AG506" s="1289"/>
      <c r="AH506" s="1289"/>
      <c r="AI506" s="1289"/>
      <c r="AJ506" s="1289"/>
      <c r="AK506" s="1460"/>
      <c r="AN506" s="1206"/>
      <c r="AP506" s="1207"/>
      <c r="AQ506" s="1207"/>
      <c r="AR506" s="1207"/>
    </row>
    <row r="507" spans="1:81" s="1222" customFormat="1" ht="12.75" hidden="1" customHeight="1">
      <c r="A507" s="1385"/>
      <c r="B507" s="1205"/>
      <c r="C507" s="1523"/>
      <c r="D507" s="1205"/>
      <c r="G507" s="1305"/>
      <c r="H507" s="1305"/>
      <c r="I507" s="1305"/>
      <c r="J507" s="1305"/>
      <c r="K507" s="1305"/>
      <c r="L507" s="1305"/>
      <c r="M507" s="1305"/>
      <c r="N507" s="1305"/>
      <c r="O507" s="1305"/>
      <c r="P507" s="1305"/>
      <c r="Q507" s="1305"/>
      <c r="R507" s="1305"/>
      <c r="S507" s="1305"/>
      <c r="T507" s="1305"/>
      <c r="U507" s="1305"/>
      <c r="V507" s="1305"/>
      <c r="W507" s="1305"/>
      <c r="X507" s="1305"/>
      <c r="Y507" s="1305"/>
      <c r="Z507" s="1305"/>
      <c r="AA507" s="1305"/>
      <c r="AB507" s="1305"/>
      <c r="AC507" s="1305"/>
      <c r="AD507" s="1305"/>
      <c r="AE507" s="1305"/>
      <c r="AF507" s="1305"/>
      <c r="AG507" s="1286"/>
      <c r="AH507" s="1286"/>
      <c r="AI507" s="1286"/>
      <c r="AJ507" s="1286"/>
      <c r="AK507" s="1524"/>
      <c r="AL507" s="1205"/>
      <c r="AM507" s="1205"/>
      <c r="AN507" s="1206"/>
      <c r="AO507" s="1207"/>
      <c r="AP507" s="1207"/>
      <c r="AQ507" s="1207"/>
      <c r="AR507" s="1207"/>
    </row>
    <row r="508" spans="1:81" s="1222" customFormat="1" ht="12.75" hidden="1" customHeight="1">
      <c r="A508" s="1385"/>
      <c r="C508" s="2526" t="s">
        <v>616</v>
      </c>
      <c r="D508" s="2527"/>
      <c r="F508" s="1525" t="s">
        <v>1747</v>
      </c>
      <c r="G508" s="2528" t="s">
        <v>1748</v>
      </c>
      <c r="H508" s="2528"/>
      <c r="I508" s="2528"/>
      <c r="J508" s="2528"/>
      <c r="K508" s="2528"/>
      <c r="L508" s="2528"/>
      <c r="M508" s="2528"/>
      <c r="N508" s="2528"/>
      <c r="O508" s="2528"/>
      <c r="P508" s="2528"/>
      <c r="Q508" s="2528"/>
      <c r="R508" s="2528"/>
      <c r="S508" s="2528"/>
      <c r="T508" s="2528"/>
      <c r="U508" s="2528"/>
      <c r="V508" s="2528"/>
      <c r="W508" s="2528"/>
      <c r="X508" s="2528"/>
      <c r="Y508" s="2528"/>
      <c r="Z508" s="2528"/>
      <c r="AA508" s="2528"/>
      <c r="AB508" s="2528"/>
      <c r="AC508" s="2528"/>
      <c r="AD508" s="2528"/>
      <c r="AE508" s="2528"/>
      <c r="AF508" s="2528"/>
      <c r="AG508" s="1307">
        <f>IF(AND($C$508="Yes",$C$499="Yes"),2,0)</f>
        <v>0</v>
      </c>
      <c r="AH508" s="1392" t="s">
        <v>1519</v>
      </c>
      <c r="AI508" s="1223"/>
      <c r="AJ508" s="1289"/>
      <c r="AK508" s="1460"/>
      <c r="AN508" s="1206"/>
      <c r="AZ508" s="1210"/>
      <c r="BC508" s="1214"/>
      <c r="BD508" s="1210"/>
      <c r="BE508" s="1210"/>
      <c r="BF508" s="1210"/>
      <c r="BM508" s="1207"/>
      <c r="BN508" s="1210"/>
      <c r="BO508" s="1207"/>
      <c r="BP508" s="1210"/>
      <c r="BQ508" s="1210"/>
      <c r="BR508" s="1210"/>
      <c r="BS508" s="1210"/>
      <c r="BT508" s="1210"/>
      <c r="BU508" s="1210"/>
      <c r="BV508" s="1207"/>
      <c r="BW508" s="1207"/>
      <c r="BX508" s="1207"/>
      <c r="BY508" s="1207"/>
      <c r="BZ508" s="1207"/>
      <c r="CA508" s="1207"/>
      <c r="CB508" s="1207"/>
      <c r="CC508" s="1207"/>
    </row>
    <row r="509" spans="1:81" s="1222" customFormat="1" ht="12.75" hidden="1" customHeight="1">
      <c r="C509" s="1526"/>
      <c r="D509" s="1455"/>
      <c r="E509" s="1497"/>
      <c r="F509" s="1454"/>
      <c r="G509" s="2529"/>
      <c r="H509" s="2529"/>
      <c r="I509" s="2529"/>
      <c r="J509" s="2529"/>
      <c r="K509" s="2529"/>
      <c r="L509" s="2529"/>
      <c r="M509" s="2529"/>
      <c r="N509" s="2529"/>
      <c r="O509" s="2529"/>
      <c r="P509" s="2529"/>
      <c r="Q509" s="2529"/>
      <c r="R509" s="2529"/>
      <c r="S509" s="2529"/>
      <c r="T509" s="2529"/>
      <c r="U509" s="2529"/>
      <c r="V509" s="2529"/>
      <c r="W509" s="2529"/>
      <c r="X509" s="2529"/>
      <c r="Y509" s="2529"/>
      <c r="Z509" s="2529"/>
      <c r="AA509" s="2529"/>
      <c r="AB509" s="2529"/>
      <c r="AC509" s="2529"/>
      <c r="AD509" s="2529"/>
      <c r="AE509" s="2529"/>
      <c r="AF509" s="2529"/>
      <c r="AG509" s="1410"/>
      <c r="AH509" s="1410"/>
      <c r="AI509" s="1410"/>
      <c r="AJ509" s="1410"/>
      <c r="AK509" s="1466"/>
      <c r="AN509" s="1206"/>
      <c r="AZ509" s="1210"/>
      <c r="BC509" s="1214"/>
      <c r="BD509" s="1210"/>
      <c r="BE509" s="1210"/>
      <c r="BF509" s="1210"/>
      <c r="BM509" s="1267"/>
      <c r="BN509" s="1267"/>
      <c r="BO509" s="1267"/>
      <c r="BP509" s="1267"/>
      <c r="BQ509" s="1267"/>
      <c r="BR509" s="1267"/>
      <c r="BS509" s="1267"/>
      <c r="BT509" s="1267"/>
      <c r="BU509" s="1267"/>
      <c r="BV509" s="1267"/>
      <c r="BW509" s="1267"/>
      <c r="BX509" s="1267"/>
      <c r="BY509" s="1267"/>
      <c r="BZ509" s="1267"/>
      <c r="CA509" s="1267"/>
      <c r="CB509" s="1267"/>
      <c r="CC509" s="1267"/>
    </row>
    <row r="510" spans="1:81" s="1222" customFormat="1" ht="12.75" hidden="1" customHeight="1">
      <c r="C510" s="1207"/>
      <c r="E510" s="1495"/>
      <c r="F510" s="1295"/>
      <c r="G510" s="1244"/>
      <c r="H510" s="1244"/>
      <c r="I510" s="1244"/>
      <c r="J510" s="1244"/>
      <c r="K510" s="1244"/>
      <c r="L510" s="1244"/>
      <c r="M510" s="1244"/>
      <c r="N510" s="1244"/>
      <c r="O510" s="1244"/>
      <c r="P510" s="1244"/>
      <c r="Q510" s="1244"/>
      <c r="R510" s="1244"/>
      <c r="S510" s="1244"/>
      <c r="T510" s="1244"/>
      <c r="U510" s="1244"/>
      <c r="V510" s="1244"/>
      <c r="W510" s="1244"/>
      <c r="X510" s="1244"/>
      <c r="Y510" s="1244"/>
      <c r="Z510" s="1244"/>
      <c r="AA510" s="1244"/>
      <c r="AB510" s="1244"/>
      <c r="AC510" s="1244"/>
      <c r="AD510" s="1244"/>
      <c r="AE510" s="1244"/>
      <c r="AF510" s="1244"/>
      <c r="AG510" s="1223"/>
      <c r="AH510" s="1223"/>
      <c r="AI510" s="1223"/>
      <c r="AJ510" s="1223"/>
      <c r="AN510" s="1206"/>
      <c r="AP510" s="1210"/>
      <c r="AQ510" s="1210"/>
      <c r="AR510" s="1210"/>
      <c r="AS510" s="1210"/>
      <c r="AT510" s="1210"/>
      <c r="AU510" s="1210"/>
      <c r="AV510" s="1210"/>
      <c r="AW510" s="1210"/>
      <c r="AX510" s="1210"/>
      <c r="AY510" s="1210"/>
      <c r="AZ510" s="1210"/>
      <c r="BA510" s="1210"/>
      <c r="BB510" s="1210"/>
      <c r="BC510" s="1210"/>
      <c r="BD510" s="1210"/>
      <c r="BE510" s="1210"/>
      <c r="BF510" s="1210"/>
      <c r="BG510" s="1210"/>
      <c r="BH510" s="1210"/>
      <c r="BI510" s="1214"/>
      <c r="BJ510" s="1527"/>
      <c r="BK510" s="1527"/>
      <c r="BM510" s="1267"/>
      <c r="BN510" s="1267"/>
      <c r="BO510" s="1267"/>
      <c r="BP510" s="1267"/>
      <c r="BQ510" s="1267"/>
      <c r="BR510" s="1267"/>
      <c r="BS510" s="1267"/>
      <c r="BT510" s="1267"/>
      <c r="BU510" s="1267"/>
      <c r="BV510" s="1267"/>
      <c r="BW510" s="1267"/>
      <c r="BX510" s="1267"/>
      <c r="BY510" s="1267"/>
      <c r="BZ510" s="1267"/>
      <c r="CA510" s="1267"/>
      <c r="CB510" s="1267"/>
      <c r="CC510" s="1267"/>
    </row>
    <row r="511" spans="1:81" s="1222" customFormat="1" ht="12.75" hidden="1" customHeight="1">
      <c r="C511" s="1528" t="s">
        <v>1749</v>
      </c>
      <c r="D511" s="1441"/>
      <c r="E511" s="1529"/>
      <c r="F511" s="1530"/>
      <c r="G511" s="1531"/>
      <c r="H511" s="1531"/>
      <c r="I511" s="1531"/>
      <c r="J511" s="1531"/>
      <c r="K511" s="1531"/>
      <c r="L511" s="1531"/>
      <c r="M511" s="1531"/>
      <c r="N511" s="1531"/>
      <c r="O511" s="1531"/>
      <c r="P511" s="1531"/>
      <c r="Q511" s="1531"/>
      <c r="R511" s="1531"/>
      <c r="S511" s="1531"/>
      <c r="T511" s="1531"/>
      <c r="U511" s="1531"/>
      <c r="V511" s="1531"/>
      <c r="W511" s="1531"/>
      <c r="X511" s="1531"/>
      <c r="Y511" s="1531"/>
      <c r="Z511" s="1531"/>
      <c r="AA511" s="1531"/>
      <c r="AB511" s="1531"/>
      <c r="AC511" s="1531"/>
      <c r="AD511" s="1531"/>
      <c r="AE511" s="1531"/>
      <c r="AF511" s="1531"/>
      <c r="AG511" s="1399"/>
      <c r="AH511" s="1399"/>
      <c r="AI511" s="1399"/>
      <c r="AJ511" s="1399"/>
      <c r="AK511" s="1471"/>
      <c r="AN511" s="1296"/>
      <c r="AP511" s="1210"/>
      <c r="AQ511" s="1210"/>
      <c r="AR511" s="1210"/>
      <c r="AS511" s="1210"/>
      <c r="AT511" s="1210"/>
      <c r="AU511" s="1210"/>
      <c r="AV511" s="1210"/>
      <c r="AW511" s="1210"/>
      <c r="AX511" s="1210"/>
      <c r="AY511" s="1210"/>
      <c r="AZ511" s="1210"/>
      <c r="BA511" s="1210"/>
      <c r="BB511" s="1210"/>
      <c r="BC511" s="1210"/>
      <c r="BD511" s="1210"/>
      <c r="BE511" s="1210"/>
      <c r="BF511" s="1210"/>
      <c r="BG511" s="1210"/>
      <c r="BH511" s="1210"/>
      <c r="BI511" s="1385"/>
      <c r="BJ511" s="1527"/>
      <c r="BK511" s="1527"/>
      <c r="BM511" s="1267"/>
      <c r="BN511" s="1267"/>
      <c r="BO511" s="1267"/>
      <c r="BP511" s="1267"/>
      <c r="BQ511" s="1267"/>
      <c r="BR511" s="1267"/>
      <c r="BS511" s="1267"/>
      <c r="BT511" s="1267"/>
      <c r="BU511" s="1267"/>
      <c r="BV511" s="1267"/>
      <c r="BW511" s="1267"/>
      <c r="BX511" s="1267"/>
      <c r="BY511" s="1267"/>
      <c r="BZ511" s="1267"/>
      <c r="CA511" s="1267"/>
      <c r="CB511" s="1267"/>
      <c r="CC511" s="1267"/>
    </row>
    <row r="512" spans="1:81" s="1222" customFormat="1" ht="12.75" hidden="1" customHeight="1">
      <c r="C512" s="2511" t="s">
        <v>616</v>
      </c>
      <c r="D512" s="2512"/>
      <c r="E512" s="1532" t="s">
        <v>1750</v>
      </c>
      <c r="F512" s="1502" t="s">
        <v>1751</v>
      </c>
      <c r="G512" s="1244"/>
      <c r="H512" s="1244"/>
      <c r="I512" s="1244"/>
      <c r="J512" s="1244"/>
      <c r="K512" s="1244"/>
      <c r="L512" s="1244"/>
      <c r="M512" s="1244"/>
      <c r="N512" s="1244"/>
      <c r="O512" s="1244"/>
      <c r="P512" s="1244"/>
      <c r="Q512" s="1244"/>
      <c r="R512" s="1244"/>
      <c r="S512" s="1244"/>
      <c r="T512" s="1244"/>
      <c r="U512" s="1244"/>
      <c r="V512" s="1244"/>
      <c r="W512" s="1244"/>
      <c r="X512" s="1244"/>
      <c r="Y512" s="1244"/>
      <c r="Z512" s="1244"/>
      <c r="AA512" s="1244"/>
      <c r="AB512" s="1244"/>
      <c r="AC512" s="1244"/>
      <c r="AD512" s="1244"/>
      <c r="AE512" s="1244"/>
      <c r="AF512" s="1244"/>
      <c r="AG512" s="1307">
        <f>IF(C$512="Yes",(VLOOKUP(F$513,$AO$483:$AP$486,2,FALSE)),0)</f>
        <v>0</v>
      </c>
      <c r="AH512" s="1392" t="s">
        <v>1519</v>
      </c>
      <c r="AI512" s="1223"/>
      <c r="AJ512" s="1223"/>
      <c r="AK512" s="1460"/>
      <c r="AN512" s="1296"/>
      <c r="AP512" s="1210"/>
      <c r="AQ512" s="1210"/>
      <c r="AR512" s="1210"/>
      <c r="AS512" s="1210"/>
      <c r="AT512" s="1210"/>
      <c r="AU512" s="1210"/>
      <c r="AV512" s="1210"/>
      <c r="AW512" s="1210"/>
      <c r="AX512" s="1210"/>
      <c r="AY512" s="1210"/>
      <c r="AZ512" s="1210"/>
      <c r="BA512" s="1210"/>
      <c r="BB512" s="1210"/>
      <c r="BC512" s="1210"/>
      <c r="BD512" s="1210"/>
      <c r="BE512" s="1210"/>
      <c r="BF512" s="1210"/>
      <c r="BG512" s="1210"/>
      <c r="BH512" s="1210"/>
      <c r="BI512" s="1385"/>
      <c r="BJ512" s="1527"/>
      <c r="BK512" s="1527"/>
      <c r="BM512" s="1207"/>
      <c r="BN512" s="1207"/>
      <c r="BO512" s="1207"/>
      <c r="BP512" s="1207"/>
      <c r="BQ512" s="1207"/>
      <c r="BR512" s="1207"/>
      <c r="BS512" s="1207"/>
      <c r="BT512" s="1207"/>
      <c r="BU512" s="1207"/>
      <c r="BV512" s="1207"/>
      <c r="BW512" s="1207"/>
      <c r="BX512" s="1207"/>
      <c r="BY512" s="1207"/>
      <c r="BZ512" s="1207"/>
      <c r="CA512" s="1207"/>
      <c r="CB512" s="1207"/>
      <c r="CC512" s="1207"/>
    </row>
    <row r="513" spans="1:81" s="1222" customFormat="1" ht="12.75" hidden="1" customHeight="1">
      <c r="C513" s="1445"/>
      <c r="E513" s="1495"/>
      <c r="F513" s="2513" t="s">
        <v>616</v>
      </c>
      <c r="G513" s="2513"/>
      <c r="H513" s="2513"/>
      <c r="I513" s="2513"/>
      <c r="J513" s="2513"/>
      <c r="K513" s="2513"/>
      <c r="L513" s="2513"/>
      <c r="M513" s="2513"/>
      <c r="N513" s="2513"/>
      <c r="O513" s="2513"/>
      <c r="P513" s="2513"/>
      <c r="Q513" s="2513"/>
      <c r="R513" s="2513"/>
      <c r="S513" s="2513"/>
      <c r="T513" s="2513"/>
      <c r="U513" s="2513"/>
      <c r="V513" s="2513"/>
      <c r="W513" s="2513"/>
      <c r="X513" s="2513"/>
      <c r="Y513" s="2513"/>
      <c r="Z513" s="2513"/>
      <c r="AA513" s="2513"/>
      <c r="AB513" s="2513"/>
      <c r="AC513" s="2513"/>
      <c r="AD513" s="2513"/>
      <c r="AE513" s="2513"/>
      <c r="AF513" s="2513"/>
      <c r="AG513" s="1223"/>
      <c r="AH513" s="1223"/>
      <c r="AI513" s="1223"/>
      <c r="AJ513" s="1223"/>
      <c r="AK513" s="1460"/>
      <c r="AN513" s="1296"/>
      <c r="BM513" s="1207"/>
      <c r="BN513" s="1207"/>
      <c r="BO513" s="1207"/>
      <c r="BP513" s="1207"/>
      <c r="BQ513" s="1207"/>
      <c r="BR513" s="1207"/>
      <c r="BS513" s="1207"/>
      <c r="BT513" s="1207"/>
      <c r="BU513" s="1207"/>
      <c r="BV513" s="1207"/>
      <c r="BW513" s="1207"/>
      <c r="BX513" s="1207"/>
      <c r="BY513" s="1207"/>
      <c r="BZ513" s="1207"/>
      <c r="CA513" s="1207"/>
      <c r="CB513" s="1207"/>
      <c r="CC513" s="1207"/>
    </row>
    <row r="514" spans="1:81" s="1222" customFormat="1" ht="12.75" hidden="1" customHeight="1">
      <c r="C514" s="1526"/>
      <c r="D514" s="1455"/>
      <c r="E514" s="1497"/>
      <c r="F514" s="2514"/>
      <c r="G514" s="2514"/>
      <c r="H514" s="2514"/>
      <c r="I514" s="2514"/>
      <c r="J514" s="2514"/>
      <c r="K514" s="2514"/>
      <c r="L514" s="2514"/>
      <c r="M514" s="2514"/>
      <c r="N514" s="2514"/>
      <c r="O514" s="2514"/>
      <c r="P514" s="2514"/>
      <c r="Q514" s="2514"/>
      <c r="R514" s="2514"/>
      <c r="S514" s="2514"/>
      <c r="T514" s="2514"/>
      <c r="U514" s="2514"/>
      <c r="V514" s="2514"/>
      <c r="W514" s="2514"/>
      <c r="X514" s="2514"/>
      <c r="Y514" s="2514"/>
      <c r="Z514" s="2514"/>
      <c r="AA514" s="2514"/>
      <c r="AB514" s="2514"/>
      <c r="AC514" s="2514"/>
      <c r="AD514" s="2514"/>
      <c r="AE514" s="2514"/>
      <c r="AF514" s="2514"/>
      <c r="AG514" s="1410"/>
      <c r="AH514" s="1410"/>
      <c r="AI514" s="1410"/>
      <c r="AJ514" s="1410"/>
      <c r="AK514" s="1466"/>
      <c r="AN514" s="1296"/>
      <c r="BM514" s="1207"/>
      <c r="BN514" s="1207"/>
      <c r="BO514" s="1207"/>
      <c r="BP514" s="1207"/>
      <c r="BQ514" s="1207"/>
      <c r="BR514" s="1207"/>
      <c r="BS514" s="1207"/>
      <c r="BT514" s="1207"/>
      <c r="BU514" s="1207"/>
      <c r="BV514" s="1207"/>
      <c r="BW514" s="1207"/>
      <c r="BX514" s="1207"/>
      <c r="BY514" s="1207"/>
      <c r="BZ514" s="1207"/>
      <c r="CA514" s="1207"/>
      <c r="CB514" s="1207"/>
      <c r="CC514" s="1207"/>
    </row>
    <row r="515" spans="1:81" s="1222" customFormat="1" ht="12.75" hidden="1" customHeight="1">
      <c r="A515" s="1385"/>
      <c r="C515" s="1223"/>
      <c r="E515" s="1223"/>
      <c r="F515" s="1502"/>
      <c r="G515" s="1223"/>
      <c r="H515" s="1223"/>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310"/>
      <c r="AE515" s="1223"/>
      <c r="AF515" s="1223"/>
      <c r="AG515" s="1223"/>
      <c r="AH515" s="1223"/>
      <c r="AN515" s="1296"/>
      <c r="BM515" s="1207"/>
      <c r="BN515" s="1207"/>
      <c r="BO515" s="1207"/>
      <c r="BP515" s="1207"/>
      <c r="BQ515" s="1207"/>
      <c r="BR515" s="1207"/>
      <c r="BS515" s="1207"/>
      <c r="BT515" s="1207"/>
      <c r="BU515" s="1207"/>
      <c r="BV515" s="1207"/>
      <c r="BW515" s="1207"/>
      <c r="BX515" s="1207"/>
      <c r="BY515" s="1207"/>
      <c r="BZ515" s="1207"/>
      <c r="CA515" s="1207"/>
      <c r="CB515" s="1207"/>
      <c r="CC515" s="1207"/>
    </row>
    <row r="516" spans="1:81" s="1222" customFormat="1" ht="12.75" hidden="1" customHeight="1">
      <c r="A516" s="1385"/>
      <c r="B516" s="1222" t="s">
        <v>1752</v>
      </c>
      <c r="C516" s="1223"/>
      <c r="E516" s="1223"/>
      <c r="F516" s="1223"/>
      <c r="G516" s="1223"/>
      <c r="H516" s="1223"/>
      <c r="I516" s="1223"/>
      <c r="J516" s="1223"/>
      <c r="K516" s="1223"/>
      <c r="L516" s="1223"/>
      <c r="M516" s="1223"/>
      <c r="N516" s="1223"/>
      <c r="O516" s="1223"/>
      <c r="P516" s="1223"/>
      <c r="Q516" s="1223"/>
      <c r="R516" s="1223"/>
      <c r="S516" s="1223"/>
      <c r="T516" s="1223"/>
      <c r="U516" s="1223"/>
      <c r="V516" s="1223"/>
      <c r="W516" s="1223"/>
      <c r="X516" s="1223"/>
      <c r="Y516" s="1223"/>
      <c r="Z516" s="1223"/>
      <c r="AA516" s="1223"/>
      <c r="AB516" s="1223"/>
      <c r="AC516" s="1223"/>
      <c r="AD516" s="1310"/>
      <c r="AE516" s="1223"/>
      <c r="AF516" s="1223"/>
      <c r="AG516" s="1223"/>
      <c r="AH516" s="1223"/>
      <c r="AN516" s="1296"/>
      <c r="AP516" s="1517"/>
      <c r="AQ516" s="1517"/>
      <c r="AR516" s="1517"/>
      <c r="AS516" s="1517"/>
      <c r="AT516" s="1517"/>
      <c r="AU516" s="1517"/>
      <c r="AV516" s="1517"/>
      <c r="AW516" s="1517"/>
      <c r="AX516" s="1517"/>
      <c r="AY516" s="1517"/>
      <c r="BM516" s="1207"/>
      <c r="BN516" s="1207"/>
      <c r="BO516" s="1207"/>
      <c r="BP516" s="1207"/>
      <c r="BQ516" s="1207"/>
      <c r="BR516" s="1207"/>
      <c r="BS516" s="1207"/>
      <c r="BT516" s="1207"/>
      <c r="BU516" s="1207"/>
      <c r="BV516" s="1207"/>
      <c r="BW516" s="1207"/>
      <c r="BX516" s="1207"/>
      <c r="BY516" s="1207"/>
      <c r="BZ516" s="1207"/>
      <c r="CA516" s="1207"/>
      <c r="CB516" s="1207"/>
      <c r="CC516" s="1207"/>
    </row>
    <row r="517" spans="1:81" s="1222" customFormat="1" ht="12.75" hidden="1" customHeight="1">
      <c r="A517" s="1385"/>
      <c r="B517" s="1222" t="s">
        <v>1753</v>
      </c>
      <c r="C517" s="1223"/>
      <c r="E517" s="1223"/>
      <c r="F517" s="1223"/>
      <c r="G517" s="1223"/>
      <c r="H517" s="1223"/>
      <c r="I517" s="1223"/>
      <c r="J517" s="1223"/>
      <c r="K517" s="1223"/>
      <c r="L517" s="1223"/>
      <c r="M517" s="1223"/>
      <c r="N517" s="1223"/>
      <c r="O517" s="1223"/>
      <c r="P517" s="1223"/>
      <c r="Q517" s="1223"/>
      <c r="R517" s="1223"/>
      <c r="S517" s="1223"/>
      <c r="T517" s="1223"/>
      <c r="U517" s="1223"/>
      <c r="V517" s="1223"/>
      <c r="W517" s="1223"/>
      <c r="X517" s="1223"/>
      <c r="Y517" s="1223"/>
      <c r="Z517" s="1223"/>
      <c r="AA517" s="1223"/>
      <c r="AB517" s="1223"/>
      <c r="AC517" s="1223"/>
      <c r="AD517" s="1310"/>
      <c r="AE517" s="1223"/>
      <c r="AF517" s="1223"/>
      <c r="AG517" s="1223"/>
      <c r="AH517" s="1223"/>
      <c r="AN517" s="1296"/>
      <c r="AP517" s="1533"/>
      <c r="AQ517" s="1533"/>
      <c r="AR517" s="1533"/>
      <c r="AS517" s="1533"/>
      <c r="AT517" s="1533"/>
      <c r="AU517" s="1533"/>
      <c r="AV517" s="1533"/>
      <c r="AW517" s="1533"/>
      <c r="AX517" s="1533"/>
      <c r="AY517" s="1533"/>
      <c r="BM517" s="1207"/>
      <c r="BN517" s="1207"/>
      <c r="BO517" s="1207"/>
      <c r="BP517" s="1207"/>
      <c r="BQ517" s="1207"/>
      <c r="BR517" s="1207"/>
      <c r="BS517" s="1207"/>
      <c r="BT517" s="1207"/>
      <c r="BU517" s="1207"/>
      <c r="BV517" s="1207"/>
      <c r="BW517" s="1207"/>
      <c r="BX517" s="1207"/>
      <c r="BY517" s="1207"/>
      <c r="BZ517" s="1207"/>
      <c r="CA517" s="1207"/>
      <c r="CB517" s="1207"/>
      <c r="CC517" s="1207"/>
    </row>
    <row r="518" spans="1:81" s="1222" customFormat="1" ht="12.75" hidden="1" customHeight="1">
      <c r="A518" s="1385"/>
      <c r="B518" s="1222" t="s">
        <v>2717</v>
      </c>
      <c r="C518" s="1223"/>
      <c r="E518" s="1223"/>
      <c r="F518" s="1223"/>
      <c r="G518" s="1223"/>
      <c r="H518" s="1223"/>
      <c r="I518" s="1223"/>
      <c r="J518" s="1223"/>
      <c r="K518" s="1223"/>
      <c r="L518" s="1223"/>
      <c r="M518" s="1223"/>
      <c r="N518" s="1223"/>
      <c r="O518" s="1223"/>
      <c r="P518" s="1223"/>
      <c r="Q518" s="1223"/>
      <c r="R518" s="1223"/>
      <c r="S518" s="1223"/>
      <c r="T518" s="1223"/>
      <c r="U518" s="1223"/>
      <c r="V518" s="1223"/>
      <c r="W518" s="1223"/>
      <c r="X518" s="1223"/>
      <c r="Y518" s="1223"/>
      <c r="Z518" s="1223"/>
      <c r="AA518" s="1223"/>
      <c r="AB518" s="1223"/>
      <c r="AC518" s="1223"/>
      <c r="AD518" s="1310"/>
      <c r="AE518" s="1223"/>
      <c r="AF518" s="1223"/>
      <c r="AG518" s="1223"/>
      <c r="AH518" s="1223"/>
      <c r="AN518" s="1296"/>
      <c r="AP518" s="1533"/>
      <c r="AQ518" s="1533"/>
      <c r="AR518" s="1533"/>
      <c r="AS518" s="1533"/>
      <c r="AT518" s="1533"/>
      <c r="AU518" s="1533"/>
      <c r="AV518" s="1533"/>
      <c r="AW518" s="1533"/>
      <c r="AX518" s="1533"/>
      <c r="AY518" s="1533"/>
      <c r="BM518" s="1207"/>
      <c r="BN518" s="1207"/>
      <c r="BO518" s="1207"/>
      <c r="BP518" s="1207"/>
      <c r="BQ518" s="1207"/>
      <c r="BR518" s="1207"/>
      <c r="BS518" s="1207"/>
      <c r="BT518" s="1207"/>
      <c r="BU518" s="1207"/>
      <c r="BV518" s="1207"/>
      <c r="BW518" s="1207"/>
      <c r="BX518" s="1207"/>
      <c r="BY518" s="1207"/>
      <c r="BZ518" s="1207"/>
      <c r="CA518" s="1207"/>
      <c r="CB518" s="1207"/>
      <c r="CC518" s="1207"/>
    </row>
    <row r="519" spans="1:81" s="1222" customFormat="1" ht="12.75" hidden="1" customHeight="1">
      <c r="A519" s="1385"/>
      <c r="B519" s="1222" t="s">
        <v>1754</v>
      </c>
      <c r="C519" s="1223"/>
      <c r="E519" s="1223"/>
      <c r="F519" s="1223"/>
      <c r="G519" s="1223"/>
      <c r="H519" s="1223"/>
      <c r="I519" s="1223"/>
      <c r="J519" s="1223"/>
      <c r="K519" s="1223"/>
      <c r="L519" s="1223"/>
      <c r="M519" s="1223"/>
      <c r="N519" s="1223"/>
      <c r="O519" s="1223"/>
      <c r="P519" s="1223"/>
      <c r="Q519" s="1223"/>
      <c r="R519" s="1223"/>
      <c r="S519" s="1223"/>
      <c r="T519" s="1223"/>
      <c r="U519" s="1223"/>
      <c r="V519" s="1223"/>
      <c r="W519" s="1223"/>
      <c r="X519" s="1223"/>
      <c r="Y519" s="1223"/>
      <c r="Z519" s="1223"/>
      <c r="AA519" s="1223"/>
      <c r="AB519" s="1223"/>
      <c r="AC519" s="1223"/>
      <c r="AD519" s="1310"/>
      <c r="AE519" s="1223"/>
      <c r="AF519" s="1223"/>
      <c r="AG519" s="1223"/>
      <c r="AH519" s="1223"/>
      <c r="AN519" s="1296"/>
      <c r="AP519" s="1533"/>
      <c r="AQ519" s="1533"/>
      <c r="AR519" s="1533"/>
      <c r="AS519" s="1533"/>
      <c r="AT519" s="1533"/>
      <c r="AU519" s="1533"/>
      <c r="AV519" s="1533"/>
      <c r="AW519" s="1533"/>
      <c r="AX519" s="1533"/>
      <c r="AY519" s="1533"/>
      <c r="BM519" s="1207"/>
      <c r="BN519" s="1207"/>
      <c r="BO519" s="1207"/>
      <c r="BP519" s="1207"/>
      <c r="BQ519" s="1207"/>
      <c r="BR519" s="1207"/>
      <c r="BS519" s="1207"/>
      <c r="BT519" s="1207"/>
      <c r="BU519" s="1207"/>
      <c r="BV519" s="1207"/>
      <c r="BW519" s="1207"/>
      <c r="BX519" s="1207"/>
      <c r="BY519" s="1207"/>
      <c r="BZ519" s="1207"/>
      <c r="CA519" s="1207"/>
      <c r="CB519" s="1207"/>
      <c r="CC519" s="1207"/>
    </row>
    <row r="520" spans="1:81" s="1222" customFormat="1" ht="12.75" hidden="1" customHeight="1">
      <c r="A520" s="1385"/>
      <c r="B520" s="1222" t="s">
        <v>2718</v>
      </c>
      <c r="C520" s="1223"/>
      <c r="E520" s="1223"/>
      <c r="F520" s="1223"/>
      <c r="G520" s="1223"/>
      <c r="H520" s="1223"/>
      <c r="I520" s="1223"/>
      <c r="J520" s="1223"/>
      <c r="K520" s="1223"/>
      <c r="L520" s="1223"/>
      <c r="M520" s="1223"/>
      <c r="N520" s="1223"/>
      <c r="O520" s="1223"/>
      <c r="P520" s="1223"/>
      <c r="Q520" s="1223"/>
      <c r="R520" s="1223"/>
      <c r="S520" s="1223"/>
      <c r="T520" s="1223"/>
      <c r="U520" s="1223"/>
      <c r="V520" s="1223"/>
      <c r="W520" s="1223"/>
      <c r="X520" s="1223"/>
      <c r="Y520" s="1223"/>
      <c r="Z520" s="1223"/>
      <c r="AA520" s="1223"/>
      <c r="AB520" s="1223"/>
      <c r="AC520" s="1223"/>
      <c r="AD520" s="1310"/>
      <c r="AE520" s="1223"/>
      <c r="AF520" s="1223"/>
      <c r="AG520" s="1223"/>
      <c r="AH520" s="1223"/>
      <c r="AN520" s="1296"/>
      <c r="AP520" s="1533"/>
      <c r="AQ520" s="1533"/>
      <c r="AR520" s="1533"/>
      <c r="AS520" s="1533"/>
      <c r="AT520" s="1533"/>
      <c r="AU520" s="1533"/>
      <c r="AV520" s="1533"/>
      <c r="AW520" s="1533"/>
      <c r="AX520" s="1533"/>
      <c r="AY520" s="1533"/>
      <c r="BM520" s="1207"/>
      <c r="BN520" s="1207"/>
      <c r="BO520" s="1207"/>
      <c r="BP520" s="1207"/>
      <c r="BQ520" s="1207"/>
      <c r="BR520" s="1207"/>
      <c r="BS520" s="1207"/>
      <c r="BT520" s="1207"/>
      <c r="BU520" s="1207"/>
      <c r="BV520" s="1207"/>
      <c r="BW520" s="1207"/>
      <c r="BX520" s="1207"/>
      <c r="BY520" s="1207"/>
      <c r="BZ520" s="1207"/>
      <c r="CA520" s="1207"/>
      <c r="CB520" s="1207"/>
      <c r="CC520" s="1207"/>
    </row>
    <row r="521" spans="1:81" s="1222" customFormat="1" ht="12.75" hidden="1" customHeight="1">
      <c r="A521" s="1385"/>
      <c r="B521" s="1222" t="s">
        <v>1755</v>
      </c>
      <c r="C521" s="1223"/>
      <c r="E521" s="1223"/>
      <c r="F521" s="1223"/>
      <c r="G521" s="1223"/>
      <c r="H521" s="1223"/>
      <c r="I521" s="1223"/>
      <c r="J521" s="1223"/>
      <c r="K521" s="1223"/>
      <c r="L521" s="1223"/>
      <c r="M521" s="1223"/>
      <c r="N521" s="1223"/>
      <c r="O521" s="1223"/>
      <c r="P521" s="1223"/>
      <c r="Q521" s="1223"/>
      <c r="R521" s="1223"/>
      <c r="S521" s="1223"/>
      <c r="T521" s="1223"/>
      <c r="U521" s="1223"/>
      <c r="V521" s="1223"/>
      <c r="W521" s="1223"/>
      <c r="X521" s="1223"/>
      <c r="Y521" s="1223"/>
      <c r="Z521" s="1223"/>
      <c r="AA521" s="1223"/>
      <c r="AB521" s="1223"/>
      <c r="AC521" s="1223"/>
      <c r="AD521" s="1310"/>
      <c r="AE521" s="1223"/>
      <c r="AF521" s="1223"/>
      <c r="AG521" s="1223"/>
      <c r="AH521" s="1223"/>
      <c r="AN521" s="1296"/>
      <c r="AP521" s="1533"/>
      <c r="AQ521" s="1533"/>
      <c r="AR521" s="1533"/>
      <c r="AS521" s="1533"/>
      <c r="AT521" s="1533"/>
      <c r="AU521" s="1533"/>
      <c r="AV521" s="1533"/>
      <c r="AW521" s="1533"/>
      <c r="AX521" s="1533"/>
      <c r="AY521" s="1533"/>
      <c r="BM521" s="1207"/>
      <c r="BN521" s="1207"/>
      <c r="BO521" s="1207"/>
      <c r="BP521" s="1207"/>
      <c r="BQ521" s="1207"/>
      <c r="BR521" s="1207"/>
      <c r="BS521" s="1207"/>
      <c r="BT521" s="1207"/>
      <c r="BU521" s="1207"/>
      <c r="BV521" s="1207"/>
      <c r="BW521" s="1207"/>
      <c r="BX521" s="1207"/>
      <c r="BY521" s="1207"/>
      <c r="BZ521" s="1207"/>
      <c r="CA521" s="1207"/>
      <c r="CB521" s="1207"/>
      <c r="CC521" s="1207"/>
    </row>
    <row r="522" spans="1:81" s="1222" customFormat="1" ht="12.75" hidden="1" customHeight="1">
      <c r="A522" s="1385"/>
      <c r="B522" s="1222" t="s">
        <v>1756</v>
      </c>
      <c r="C522" s="1223"/>
      <c r="E522" s="1223"/>
      <c r="F522" s="1223"/>
      <c r="G522" s="1223"/>
      <c r="H522" s="1223"/>
      <c r="I522" s="1223"/>
      <c r="J522" s="1223"/>
      <c r="K522" s="1223"/>
      <c r="L522" s="1223"/>
      <c r="M522" s="1223"/>
      <c r="N522" s="1223"/>
      <c r="O522" s="1223"/>
      <c r="P522" s="1223"/>
      <c r="Q522" s="1223"/>
      <c r="R522" s="1223"/>
      <c r="S522" s="1223"/>
      <c r="T522" s="1223"/>
      <c r="U522" s="1223"/>
      <c r="V522" s="1223"/>
      <c r="W522" s="1223"/>
      <c r="X522" s="1223"/>
      <c r="Y522" s="1223"/>
      <c r="Z522" s="1223"/>
      <c r="AA522" s="1223"/>
      <c r="AB522" s="1223"/>
      <c r="AC522" s="1223"/>
      <c r="AD522" s="1310"/>
      <c r="AE522" s="1223"/>
      <c r="AF522" s="1223"/>
      <c r="AG522" s="1223"/>
      <c r="AH522" s="1223"/>
      <c r="AN522" s="1296"/>
    </row>
    <row r="523" spans="1:81" s="1222" customFormat="1" ht="12.75" hidden="1" customHeight="1">
      <c r="A523" s="1534"/>
      <c r="C523" s="1223"/>
      <c r="E523" s="1223"/>
      <c r="F523" s="1223"/>
      <c r="G523" s="1223"/>
      <c r="H523" s="1223"/>
      <c r="I523" s="1223"/>
      <c r="J523" s="1223"/>
      <c r="K523" s="1223"/>
      <c r="L523" s="1223"/>
      <c r="M523" s="1223"/>
      <c r="N523" s="1223"/>
      <c r="O523" s="1223"/>
      <c r="P523" s="1223"/>
      <c r="Q523" s="1223"/>
      <c r="R523" s="1223"/>
      <c r="S523" s="1223"/>
      <c r="T523" s="1223"/>
      <c r="U523" s="1223"/>
      <c r="V523" s="1223"/>
      <c r="W523" s="1223"/>
      <c r="X523" s="1223"/>
      <c r="Y523" s="1223"/>
      <c r="Z523" s="1223"/>
      <c r="AA523" s="1223"/>
      <c r="AB523" s="1223"/>
      <c r="AC523" s="1223"/>
      <c r="AD523" s="1310"/>
      <c r="AE523" s="1223"/>
      <c r="AF523" s="1223"/>
      <c r="AG523" s="1223"/>
      <c r="AH523" s="1223"/>
      <c r="AN523" s="1296"/>
    </row>
    <row r="524" spans="1:81" s="1222" customFormat="1" ht="12.75" hidden="1" customHeight="1">
      <c r="A524" s="1300"/>
      <c r="B524" s="1415"/>
      <c r="C524" s="1415"/>
      <c r="D524" s="1415"/>
      <c r="E524" s="1415"/>
      <c r="F524" s="1415"/>
      <c r="G524" s="1415"/>
      <c r="H524" s="1415"/>
      <c r="I524" s="1415"/>
      <c r="J524" s="1415"/>
      <c r="K524" s="1415"/>
      <c r="L524" s="1415"/>
      <c r="M524" s="1415"/>
      <c r="N524" s="1415"/>
      <c r="O524" s="1415"/>
      <c r="P524" s="1415"/>
      <c r="Q524" s="1415"/>
      <c r="R524" s="1415"/>
      <c r="S524" s="1415"/>
      <c r="T524" s="1415"/>
      <c r="U524" s="1415"/>
      <c r="V524" s="1415"/>
      <c r="W524" s="1415"/>
      <c r="X524" s="1415"/>
      <c r="Y524" s="1415"/>
      <c r="Z524" s="1415"/>
      <c r="AA524" s="1415"/>
      <c r="AB524" s="1415"/>
      <c r="AC524" s="1416"/>
      <c r="AD524" s="1415"/>
      <c r="AE524" s="1415"/>
      <c r="AF524" s="1415"/>
      <c r="AG524" s="1415"/>
      <c r="AH524" s="1238"/>
      <c r="AI524" s="1239"/>
      <c r="AJ524" s="1239" t="s">
        <v>1757</v>
      </c>
      <c r="AK524" s="2455">
        <f>SUM(AG468:AG513)</f>
        <v>0</v>
      </c>
      <c r="AL524" s="2456"/>
      <c r="AM524" s="2457"/>
      <c r="AN524" s="1296"/>
      <c r="AP524" s="1207"/>
      <c r="AQ524" s="1207"/>
      <c r="AR524" s="1207"/>
      <c r="AS524" s="1207"/>
      <c r="AT524" s="1207"/>
      <c r="AU524" s="1207"/>
      <c r="AV524" s="1207"/>
      <c r="AW524" s="1207"/>
      <c r="AX524" s="1207"/>
      <c r="AY524" s="1207"/>
      <c r="AZ524" s="1207"/>
    </row>
    <row r="525" spans="1:81" s="1222" customFormat="1" ht="12.75" hidden="1" customHeight="1" thickBot="1">
      <c r="B525" s="1223"/>
      <c r="C525" s="1223"/>
      <c r="D525" s="1223"/>
      <c r="E525" s="1223"/>
      <c r="F525" s="1223"/>
      <c r="G525" s="1223"/>
      <c r="H525" s="1223"/>
      <c r="I525" s="1223"/>
      <c r="J525" s="1223"/>
      <c r="K525" s="1223"/>
      <c r="L525" s="1223"/>
      <c r="M525" s="1223"/>
      <c r="N525" s="1223"/>
      <c r="O525" s="1223"/>
      <c r="P525" s="1223"/>
      <c r="Q525" s="1223"/>
      <c r="R525" s="1223"/>
      <c r="S525" s="1223"/>
      <c r="T525" s="1223"/>
      <c r="U525" s="1223"/>
      <c r="V525" s="1223"/>
      <c r="W525" s="1223"/>
      <c r="X525" s="1223"/>
      <c r="Y525" s="1223"/>
      <c r="Z525" s="1223"/>
      <c r="AA525" s="1223"/>
      <c r="AB525" s="1223"/>
      <c r="AC525" s="1310"/>
      <c r="AD525" s="1223"/>
      <c r="AE525" s="1223"/>
      <c r="AF525" s="1223"/>
      <c r="AG525" s="1223"/>
      <c r="AI525" s="1214"/>
      <c r="AJ525" s="1214"/>
      <c r="AK525" s="1267"/>
      <c r="AL525" s="1267"/>
      <c r="AM525" s="1267"/>
      <c r="AN525" s="1296"/>
      <c r="AP525" s="1207"/>
      <c r="AQ525" s="1207"/>
      <c r="AR525" s="1207"/>
      <c r="AS525" s="1207"/>
      <c r="AT525" s="1207"/>
      <c r="AU525" s="1207"/>
      <c r="AV525" s="1207"/>
      <c r="AW525" s="1207"/>
      <c r="AX525" s="1207"/>
      <c r="AY525" s="1207"/>
      <c r="AZ525" s="1207"/>
    </row>
    <row r="526" spans="1:81" ht="13.8" thickTop="1"/>
    <row r="527" spans="1:81" s="1222" customFormat="1" ht="12.75" customHeight="1">
      <c r="A527" s="1210" t="s">
        <v>1758</v>
      </c>
      <c r="B527" s="1210" t="s">
        <v>1759</v>
      </c>
      <c r="C527" s="1223"/>
      <c r="D527" s="1223"/>
      <c r="E527" s="1223"/>
      <c r="F527" s="1223"/>
      <c r="G527" s="1223"/>
      <c r="H527" s="1223"/>
      <c r="I527" s="1223"/>
      <c r="J527" s="1223"/>
      <c r="K527" s="1223"/>
      <c r="L527" s="1223"/>
      <c r="M527" s="1223"/>
      <c r="N527" s="1223"/>
      <c r="O527" s="1223"/>
      <c r="P527" s="1223"/>
      <c r="Q527" s="1223"/>
      <c r="R527" s="1223"/>
      <c r="S527" s="1223"/>
      <c r="T527" s="1223"/>
      <c r="U527" s="1223"/>
      <c r="V527" s="1223"/>
      <c r="W527" s="1223"/>
      <c r="X527" s="1223"/>
      <c r="Y527" s="1223"/>
      <c r="Z527" s="1223"/>
      <c r="AA527" s="1223"/>
      <c r="AB527" s="1223"/>
      <c r="AC527" s="1310"/>
      <c r="AD527" s="1223"/>
      <c r="AE527" s="2491" t="s">
        <v>1760</v>
      </c>
      <c r="AF527" s="2491"/>
      <c r="AG527" s="2491"/>
      <c r="AH527" s="2491"/>
      <c r="AI527" s="2491"/>
      <c r="AJ527" s="2491"/>
      <c r="AK527" s="2491"/>
      <c r="AL527" s="1267"/>
      <c r="AM527" s="1267"/>
      <c r="AN527" s="1296"/>
    </row>
    <row r="528" spans="1:81" s="1222" customFormat="1" ht="12.75" customHeight="1">
      <c r="A528" s="1210"/>
      <c r="B528" s="1210" t="s">
        <v>1515</v>
      </c>
      <c r="C528" s="1223"/>
      <c r="D528" s="1223"/>
      <c r="E528" s="1223"/>
      <c r="F528" s="1223"/>
      <c r="G528" s="1223"/>
      <c r="H528" s="1223"/>
      <c r="I528" s="1223"/>
      <c r="J528" s="1223"/>
      <c r="K528" s="1223"/>
      <c r="L528" s="1223"/>
      <c r="M528" s="1223"/>
      <c r="N528" s="1223"/>
      <c r="O528" s="1223"/>
      <c r="P528" s="1223"/>
      <c r="Q528" s="1223"/>
      <c r="R528" s="1223"/>
      <c r="S528" s="1223"/>
      <c r="T528" s="1223"/>
      <c r="U528" s="1223"/>
      <c r="V528" s="1223"/>
      <c r="W528" s="1223"/>
      <c r="X528" s="1223"/>
      <c r="Y528" s="1223"/>
      <c r="Z528" s="1223"/>
      <c r="AA528" s="1223"/>
      <c r="AB528" s="1223"/>
      <c r="AC528" s="1310"/>
      <c r="AD528" s="1223"/>
      <c r="AE528" s="1214"/>
      <c r="AF528" s="1214"/>
      <c r="AG528" s="1214"/>
      <c r="AH528" s="1214"/>
      <c r="AI528" s="1214"/>
      <c r="AJ528" s="1214"/>
      <c r="AK528" s="1214"/>
      <c r="AL528" s="1267"/>
      <c r="AM528" s="1267"/>
      <c r="AN528" s="1296"/>
    </row>
    <row r="529" spans="1:49" s="1222" customFormat="1" ht="12.75" customHeight="1">
      <c r="A529" s="1210"/>
      <c r="B529" s="1210"/>
      <c r="C529" s="1223"/>
      <c r="D529" s="1223"/>
      <c r="E529" s="1223"/>
      <c r="F529" s="1223"/>
      <c r="G529" s="1223"/>
      <c r="H529" s="1223"/>
      <c r="I529" s="1223"/>
      <c r="J529" s="1223"/>
      <c r="K529" s="1223"/>
      <c r="L529" s="1223"/>
      <c r="M529" s="1223"/>
      <c r="N529" s="1223"/>
      <c r="O529" s="1223"/>
      <c r="P529" s="1223"/>
      <c r="Q529" s="1223"/>
      <c r="R529" s="1223"/>
      <c r="S529" s="1223"/>
      <c r="T529" s="1223"/>
      <c r="U529" s="1223"/>
      <c r="V529" s="1223"/>
      <c r="W529" s="1223"/>
      <c r="X529" s="1223"/>
      <c r="Y529" s="1223"/>
      <c r="Z529" s="1223"/>
      <c r="AA529" s="1223"/>
      <c r="AB529" s="1223"/>
      <c r="AC529" s="1310"/>
      <c r="AD529" s="1223"/>
      <c r="AE529" s="1214"/>
      <c r="AF529" s="1214"/>
      <c r="AG529" s="1214"/>
      <c r="AH529" s="1214"/>
      <c r="AI529" s="1214"/>
      <c r="AJ529" s="1214"/>
      <c r="AK529" s="1214"/>
      <c r="AL529" s="1267"/>
      <c r="AM529" s="1267"/>
      <c r="AN529" s="1296"/>
    </row>
    <row r="530" spans="1:49" s="1222" customFormat="1" ht="12.75" customHeight="1">
      <c r="A530" s="1210"/>
      <c r="B530" s="1210"/>
      <c r="C530" s="2482" t="s">
        <v>569</v>
      </c>
      <c r="D530" s="2482"/>
      <c r="E530" s="1223"/>
      <c r="F530" s="2515" t="s">
        <v>1761</v>
      </c>
      <c r="G530" s="2516"/>
      <c r="H530" s="2516"/>
      <c r="I530" s="2516"/>
      <c r="J530" s="2516"/>
      <c r="K530" s="2516"/>
      <c r="L530" s="2516"/>
      <c r="M530" s="2516"/>
      <c r="N530" s="2516"/>
      <c r="O530" s="2516"/>
      <c r="P530" s="2516"/>
      <c r="Q530" s="2516"/>
      <c r="R530" s="2516"/>
      <c r="S530" s="2516"/>
      <c r="T530" s="2516"/>
      <c r="U530" s="2516"/>
      <c r="V530" s="2516"/>
      <c r="W530" s="2516"/>
      <c r="X530" s="2516"/>
      <c r="Y530" s="2516"/>
      <c r="Z530" s="2516"/>
      <c r="AA530" s="2516"/>
      <c r="AB530" s="2516"/>
      <c r="AC530" s="2516"/>
      <c r="AD530" s="2516"/>
      <c r="AE530" s="2516"/>
      <c r="AF530" s="2516"/>
      <c r="AG530" s="2516"/>
      <c r="AH530" s="2516"/>
      <c r="AI530" s="2516"/>
      <c r="AJ530" s="2516"/>
      <c r="AK530" s="2516"/>
      <c r="AL530" s="2517"/>
      <c r="AM530" s="1267"/>
      <c r="AN530" s="1296"/>
    </row>
    <row r="531" spans="1:49" s="1222" customFormat="1" ht="12.75" customHeight="1">
      <c r="A531" s="1210"/>
      <c r="B531" s="1210"/>
      <c r="C531" s="1223"/>
      <c r="D531" s="1223"/>
      <c r="E531" s="1223"/>
      <c r="F531" s="2518"/>
      <c r="G531" s="2519"/>
      <c r="H531" s="2519"/>
      <c r="I531" s="2519"/>
      <c r="J531" s="2519"/>
      <c r="K531" s="2519"/>
      <c r="L531" s="2519"/>
      <c r="M531" s="2519"/>
      <c r="N531" s="2519"/>
      <c r="O531" s="2519"/>
      <c r="P531" s="2519"/>
      <c r="Q531" s="2519"/>
      <c r="R531" s="2519"/>
      <c r="S531" s="2519"/>
      <c r="T531" s="2519"/>
      <c r="U531" s="2519"/>
      <c r="V531" s="2519"/>
      <c r="W531" s="2519"/>
      <c r="X531" s="2519"/>
      <c r="Y531" s="2519"/>
      <c r="Z531" s="2519"/>
      <c r="AA531" s="2519"/>
      <c r="AB531" s="2519"/>
      <c r="AC531" s="2519"/>
      <c r="AD531" s="2519"/>
      <c r="AE531" s="2519"/>
      <c r="AF531" s="2519"/>
      <c r="AG531" s="2519"/>
      <c r="AH531" s="2519"/>
      <c r="AI531" s="2519"/>
      <c r="AJ531" s="2519"/>
      <c r="AK531" s="2519"/>
      <c r="AL531" s="2520"/>
      <c r="AM531" s="1267"/>
      <c r="AN531" s="1296"/>
    </row>
    <row r="532" spans="1:49" s="1222" customFormat="1" ht="12.75" customHeight="1">
      <c r="A532" s="1210"/>
      <c r="B532" s="1210"/>
      <c r="C532" s="1223"/>
      <c r="D532" s="1223"/>
      <c r="E532" s="1223"/>
      <c r="F532" s="1535"/>
      <c r="G532" s="1535"/>
      <c r="H532" s="1535"/>
      <c r="I532" s="1535"/>
      <c r="J532" s="1535"/>
      <c r="K532" s="1535"/>
      <c r="L532" s="1535"/>
      <c r="M532" s="1535"/>
      <c r="N532" s="1535"/>
      <c r="O532" s="1535"/>
      <c r="P532" s="1535"/>
      <c r="Q532" s="1535"/>
      <c r="R532" s="1535"/>
      <c r="S532" s="1535"/>
      <c r="T532" s="1535"/>
      <c r="U532" s="1535"/>
      <c r="V532" s="1535"/>
      <c r="W532" s="1535"/>
      <c r="X532" s="1535"/>
      <c r="Y532" s="1535"/>
      <c r="Z532" s="1535"/>
      <c r="AA532" s="1535"/>
      <c r="AB532" s="1535"/>
      <c r="AC532" s="1535"/>
      <c r="AD532" s="1535"/>
      <c r="AE532" s="1535"/>
      <c r="AF532" s="1535"/>
      <c r="AG532" s="1535"/>
      <c r="AH532" s="1535"/>
      <c r="AI532" s="1535"/>
      <c r="AJ532" s="1535"/>
      <c r="AK532" s="1535"/>
      <c r="AL532" s="1535"/>
      <c r="AM532" s="1267"/>
      <c r="AN532" s="1296"/>
    </row>
    <row r="533" spans="1:49" s="1222" customFormat="1" ht="12.75" customHeight="1">
      <c r="A533" s="1210"/>
      <c r="B533" s="1536"/>
      <c r="C533" s="2482" t="s">
        <v>616</v>
      </c>
      <c r="D533" s="2482"/>
      <c r="E533" s="1536"/>
      <c r="F533" s="1394" t="s">
        <v>1762</v>
      </c>
      <c r="G533" s="1537"/>
      <c r="H533" s="1538"/>
      <c r="I533" s="1538"/>
      <c r="J533" s="1538"/>
      <c r="K533" s="1538"/>
      <c r="L533" s="1538"/>
      <c r="M533" s="1538"/>
      <c r="N533" s="1538"/>
      <c r="O533" s="1538"/>
      <c r="P533" s="1538"/>
      <c r="Q533" s="1538"/>
      <c r="R533" s="1538"/>
      <c r="S533" s="1538"/>
      <c r="T533" s="1538"/>
      <c r="U533" s="1538"/>
      <c r="V533" s="1538"/>
      <c r="W533" s="1538"/>
      <c r="X533" s="1538"/>
      <c r="Y533" s="1538"/>
      <c r="Z533" s="1538"/>
      <c r="AA533" s="1538"/>
      <c r="AB533" s="1538"/>
      <c r="AC533" s="1538"/>
      <c r="AD533" s="1538"/>
      <c r="AE533" s="1538"/>
      <c r="AF533" s="1538"/>
      <c r="AG533" s="1538"/>
      <c r="AH533" s="1538"/>
      <c r="AI533" s="1538"/>
      <c r="AJ533" s="1538"/>
      <c r="AK533" s="1539"/>
      <c r="AL533" s="1540"/>
      <c r="AM533" s="1267"/>
      <c r="AN533" s="1296"/>
    </row>
    <row r="534" spans="1:49" s="1222" customFormat="1" ht="12.75" customHeight="1">
      <c r="B534" s="1536"/>
      <c r="C534" s="1536"/>
      <c r="D534" s="1536"/>
      <c r="E534" s="1536"/>
      <c r="F534" s="2505" t="s">
        <v>1763</v>
      </c>
      <c r="G534" s="2475"/>
      <c r="H534" s="2475"/>
      <c r="I534" s="2475"/>
      <c r="J534" s="2475"/>
      <c r="K534" s="2475"/>
      <c r="L534" s="2475"/>
      <c r="M534" s="2475"/>
      <c r="N534" s="2475"/>
      <c r="O534" s="2475"/>
      <c r="P534" s="2475"/>
      <c r="Q534" s="2475"/>
      <c r="R534" s="2475"/>
      <c r="S534" s="2475"/>
      <c r="T534" s="2475"/>
      <c r="U534" s="2475"/>
      <c r="V534" s="2475"/>
      <c r="W534" s="2475"/>
      <c r="X534" s="2475"/>
      <c r="Y534" s="2475"/>
      <c r="Z534" s="2475"/>
      <c r="AA534" s="2475"/>
      <c r="AB534" s="2475"/>
      <c r="AC534" s="2475"/>
      <c r="AD534" s="2475"/>
      <c r="AE534" s="2475"/>
      <c r="AF534" s="2475"/>
      <c r="AG534" s="2475"/>
      <c r="AH534" s="2475"/>
      <c r="AI534" s="2475"/>
      <c r="AJ534" s="2475"/>
      <c r="AK534" s="2475"/>
      <c r="AL534" s="2506"/>
      <c r="AM534" s="1267"/>
      <c r="AN534" s="1296"/>
      <c r="AS534" s="1541"/>
      <c r="AT534" s="1541"/>
      <c r="AU534" s="1541"/>
      <c r="AV534" s="1541"/>
      <c r="AW534" s="1541"/>
    </row>
    <row r="535" spans="1:49" s="1222" customFormat="1" ht="12.75" customHeight="1">
      <c r="B535" s="1536"/>
      <c r="C535" s="1536"/>
      <c r="D535" s="1536"/>
      <c r="E535" s="1536"/>
      <c r="F535" s="2505"/>
      <c r="G535" s="2475"/>
      <c r="H535" s="2475"/>
      <c r="I535" s="2475"/>
      <c r="J535" s="2475"/>
      <c r="K535" s="2475"/>
      <c r="L535" s="2475"/>
      <c r="M535" s="2475"/>
      <c r="N535" s="2475"/>
      <c r="O535" s="2475"/>
      <c r="P535" s="2475"/>
      <c r="Q535" s="2475"/>
      <c r="R535" s="2475"/>
      <c r="S535" s="2475"/>
      <c r="T535" s="2475"/>
      <c r="U535" s="2475"/>
      <c r="V535" s="2475"/>
      <c r="W535" s="2475"/>
      <c r="X535" s="2475"/>
      <c r="Y535" s="2475"/>
      <c r="Z535" s="2475"/>
      <c r="AA535" s="2475"/>
      <c r="AB535" s="2475"/>
      <c r="AC535" s="2475"/>
      <c r="AD535" s="2475"/>
      <c r="AE535" s="2475"/>
      <c r="AF535" s="2475"/>
      <c r="AG535" s="2475"/>
      <c r="AH535" s="2475"/>
      <c r="AI535" s="2475"/>
      <c r="AJ535" s="2475"/>
      <c r="AK535" s="2475"/>
      <c r="AL535" s="2506"/>
      <c r="AM535" s="1267"/>
      <c r="AN535" s="1296"/>
    </row>
    <row r="536" spans="1:49" s="1222" customFormat="1" ht="12.75" customHeight="1">
      <c r="B536" s="1536"/>
      <c r="C536" s="1536"/>
      <c r="D536" s="1536"/>
      <c r="E536" s="1536"/>
      <c r="F536" s="1542" t="s">
        <v>2719</v>
      </c>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310"/>
      <c r="AH536" s="1310"/>
      <c r="AI536" s="1310"/>
      <c r="AJ536" s="1310"/>
      <c r="AK536" s="1310"/>
      <c r="AL536" s="1543"/>
      <c r="AM536" s="1267"/>
      <c r="AN536" s="1296"/>
    </row>
    <row r="537" spans="1:49" s="1222" customFormat="1" ht="12.75" customHeight="1">
      <c r="B537" s="1536"/>
      <c r="C537" s="1536"/>
      <c r="D537" s="1536"/>
      <c r="E537" s="1536"/>
      <c r="F537" s="2505" t="s">
        <v>1764</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2475"/>
      <c r="AH537" s="2475"/>
      <c r="AI537" s="2475"/>
      <c r="AJ537" s="2475"/>
      <c r="AK537" s="2475"/>
      <c r="AL537" s="1544"/>
      <c r="AM537" s="1267"/>
      <c r="AN537" s="1296"/>
    </row>
    <row r="538" spans="1:49" s="1222" customFormat="1" ht="12.75" customHeight="1">
      <c r="B538" s="1536"/>
      <c r="C538" s="1536"/>
      <c r="D538" s="1536"/>
      <c r="E538" s="1536"/>
      <c r="F538" s="2507"/>
      <c r="G538" s="2508"/>
      <c r="H538" s="2508"/>
      <c r="I538" s="2508"/>
      <c r="J538" s="2508"/>
      <c r="K538" s="2508"/>
      <c r="L538" s="2508"/>
      <c r="M538" s="2508"/>
      <c r="N538" s="2508"/>
      <c r="O538" s="2508"/>
      <c r="P538" s="2508"/>
      <c r="Q538" s="2508"/>
      <c r="R538" s="2508"/>
      <c r="S538" s="2508"/>
      <c r="T538" s="2508"/>
      <c r="U538" s="2508"/>
      <c r="V538" s="2508"/>
      <c r="W538" s="2508"/>
      <c r="X538" s="2508"/>
      <c r="Y538" s="2508"/>
      <c r="Z538" s="2508"/>
      <c r="AA538" s="2508"/>
      <c r="AB538" s="2508"/>
      <c r="AC538" s="2508"/>
      <c r="AD538" s="2508"/>
      <c r="AE538" s="2508"/>
      <c r="AF538" s="2508"/>
      <c r="AG538" s="2508"/>
      <c r="AH538" s="2508"/>
      <c r="AI538" s="2508"/>
      <c r="AJ538" s="2508"/>
      <c r="AK538" s="2508"/>
      <c r="AL538" s="1545"/>
      <c r="AM538" s="1267"/>
      <c r="AN538" s="1296"/>
    </row>
    <row r="539" spans="1:49" s="1222" customFormat="1" ht="12.75" customHeight="1">
      <c r="B539" s="1536"/>
      <c r="C539" s="1536"/>
      <c r="D539" s="1536"/>
      <c r="E539" s="1536"/>
      <c r="F539" s="1294"/>
      <c r="G539" s="1294"/>
      <c r="H539" s="1294"/>
      <c r="I539" s="1294"/>
      <c r="J539" s="1294"/>
      <c r="K539" s="1294"/>
      <c r="L539" s="1294"/>
      <c r="M539" s="1294"/>
      <c r="N539" s="1294"/>
      <c r="O539" s="1294"/>
      <c r="P539" s="1294"/>
      <c r="Q539" s="1294"/>
      <c r="R539" s="1294"/>
      <c r="S539" s="1294"/>
      <c r="T539" s="1294"/>
      <c r="U539" s="1294"/>
      <c r="V539" s="1294"/>
      <c r="W539" s="1294"/>
      <c r="X539" s="1294"/>
      <c r="Y539" s="1294"/>
      <c r="Z539" s="1294"/>
      <c r="AA539" s="1294"/>
      <c r="AB539" s="1294"/>
      <c r="AC539" s="1294"/>
      <c r="AD539" s="1294"/>
      <c r="AE539" s="1294"/>
      <c r="AF539" s="1294"/>
      <c r="AG539" s="1294"/>
      <c r="AH539" s="1294"/>
      <c r="AI539" s="1294"/>
      <c r="AJ539" s="1294"/>
      <c r="AK539" s="1294"/>
      <c r="AL539" s="1267"/>
      <c r="AM539" s="1267"/>
      <c r="AN539" s="1296"/>
      <c r="AP539" s="2504">
        <f>Application!AJ975</f>
        <v>66101600</v>
      </c>
      <c r="AQ539" s="2504"/>
      <c r="AR539" s="2504"/>
    </row>
    <row r="540" spans="1:49" s="1222" customFormat="1" ht="12.75" customHeight="1">
      <c r="A540" s="1323"/>
      <c r="B540" s="1216" t="s">
        <v>1765</v>
      </c>
      <c r="C540" s="1322"/>
      <c r="D540" s="1322"/>
      <c r="E540" s="1322"/>
      <c r="F540" s="1205"/>
      <c r="G540" s="1368"/>
      <c r="H540" s="1368"/>
      <c r="I540" s="1368"/>
      <c r="J540" s="1368"/>
      <c r="K540" s="1368"/>
      <c r="L540" s="1368"/>
      <c r="M540" s="1368"/>
      <c r="N540" s="1368"/>
      <c r="O540" s="1368"/>
      <c r="P540" s="1368"/>
      <c r="Q540" s="1368"/>
      <c r="R540" s="1205"/>
      <c r="S540" s="1205"/>
      <c r="T540" s="1205"/>
      <c r="U540" s="1205"/>
      <c r="V540" s="1205"/>
      <c r="W540" s="1205"/>
      <c r="X540" s="1368"/>
      <c r="Y540" s="1368"/>
      <c r="Z540" s="1368"/>
      <c r="AA540" s="1367"/>
      <c r="AB540" s="1367"/>
      <c r="AC540" s="1367"/>
      <c r="AD540" s="1367"/>
      <c r="AE540" s="1205"/>
      <c r="AF540" s="2509">
        <f>'Sources and Uses Budget'!S107+'Sources and Uses Budget'!T107</f>
        <v>82270597</v>
      </c>
      <c r="AG540" s="2509"/>
      <c r="AH540" s="2509"/>
      <c r="AI540" s="2509"/>
      <c r="AJ540" s="2509"/>
      <c r="AK540" s="1267"/>
      <c r="AL540" s="1267"/>
      <c r="AM540" s="1267"/>
      <c r="AN540" s="1296"/>
    </row>
    <row r="541" spans="1:49" s="1222" customFormat="1" ht="12.75" customHeight="1">
      <c r="A541" s="1370"/>
      <c r="B541" s="1370" t="s">
        <v>1766</v>
      </c>
      <c r="C541" s="1368"/>
      <c r="D541" s="1368"/>
      <c r="E541" s="1371"/>
      <c r="F541" s="1371"/>
      <c r="G541" s="1371"/>
      <c r="H541" s="1371"/>
      <c r="I541" s="1371"/>
      <c r="J541" s="1371"/>
      <c r="K541" s="1371"/>
      <c r="L541" s="1368"/>
      <c r="M541" s="1371"/>
      <c r="N541" s="1371"/>
      <c r="O541" s="1371"/>
      <c r="P541" s="1371"/>
      <c r="Q541" s="1371"/>
      <c r="R541" s="1205"/>
      <c r="S541" s="1205"/>
      <c r="T541" s="1205"/>
      <c r="U541" s="1205"/>
      <c r="V541" s="1205"/>
      <c r="W541" s="1205"/>
      <c r="X541" s="1368"/>
      <c r="Y541" s="1368"/>
      <c r="Z541" s="1368"/>
      <c r="AA541" s="1367"/>
      <c r="AB541" s="1367"/>
      <c r="AC541" s="1367"/>
      <c r="AD541" s="1367"/>
      <c r="AE541" s="1205"/>
      <c r="AF541" s="2510">
        <f>AP548</f>
        <v>145423520</v>
      </c>
      <c r="AG541" s="2510"/>
      <c r="AH541" s="2510"/>
      <c r="AI541" s="2510"/>
      <c r="AJ541" s="2510"/>
      <c r="AK541" s="1267"/>
      <c r="AL541" s="1267"/>
      <c r="AM541" s="1267"/>
      <c r="AN541" s="1296"/>
      <c r="AP541" s="2504">
        <f>Application!AJ1024</f>
        <v>13881336</v>
      </c>
      <c r="AQ541" s="2504"/>
      <c r="AR541" s="2504"/>
    </row>
    <row r="542" spans="1:49" s="1222" customFormat="1" ht="12.75" customHeight="1">
      <c r="A542" s="1368"/>
      <c r="B542" s="1368" t="s">
        <v>13</v>
      </c>
      <c r="C542" s="1368"/>
      <c r="D542" s="1368"/>
      <c r="E542" s="1368"/>
      <c r="F542" s="1368"/>
      <c r="G542" s="1368"/>
      <c r="H542" s="1368"/>
      <c r="I542" s="1368"/>
      <c r="J542" s="1368"/>
      <c r="K542" s="1368"/>
      <c r="L542" s="1368"/>
      <c r="M542" s="1368"/>
      <c r="N542" s="1368"/>
      <c r="O542" s="1368"/>
      <c r="P542" s="1368"/>
      <c r="Q542" s="1368"/>
      <c r="R542" s="1205"/>
      <c r="S542" s="1205"/>
      <c r="T542" s="1205"/>
      <c r="U542" s="1205"/>
      <c r="V542" s="1205"/>
      <c r="W542" s="1205"/>
      <c r="X542" s="1368"/>
      <c r="Y542" s="1368"/>
      <c r="Z542" s="1368"/>
      <c r="AA542" s="1367"/>
      <c r="AB542" s="1367"/>
      <c r="AC542" s="1367"/>
      <c r="AD542" s="1367"/>
      <c r="AE542" s="1205"/>
      <c r="AF542" s="2492">
        <f>ROUNDDOWN(IF(C533="YES",((1-(AF540/AF541))*2),(1-(AF540/AF541))),2)</f>
        <v>0.43</v>
      </c>
      <c r="AG542" s="2492"/>
      <c r="AH542" s="2492"/>
      <c r="AI542" s="2492"/>
      <c r="AJ542" s="2492"/>
      <c r="AK542" s="1267"/>
      <c r="AL542" s="1267"/>
      <c r="AM542" s="1267"/>
      <c r="AN542" s="1296"/>
      <c r="AP542" s="2493">
        <f>Application!AJ1028</f>
        <v>35694864</v>
      </c>
      <c r="AQ542" s="2493"/>
      <c r="AR542" s="2493"/>
    </row>
    <row r="543" spans="1:49" s="1222" customFormat="1" ht="12.75" customHeight="1">
      <c r="A543" s="1368"/>
      <c r="B543" s="1368"/>
      <c r="C543" s="1368"/>
      <c r="D543" s="1368"/>
      <c r="E543" s="1368"/>
      <c r="F543" s="1368"/>
      <c r="G543" s="1368"/>
      <c r="H543" s="1368"/>
      <c r="I543" s="1368"/>
      <c r="J543" s="1368"/>
      <c r="K543" s="1368"/>
      <c r="L543" s="1368"/>
      <c r="M543" s="1368"/>
      <c r="N543" s="1368"/>
      <c r="O543" s="1368"/>
      <c r="P543" s="1368"/>
      <c r="Q543" s="1368"/>
      <c r="R543" s="1205"/>
      <c r="S543" s="1205"/>
      <c r="T543" s="1205"/>
      <c r="U543" s="1205"/>
      <c r="V543" s="1205"/>
      <c r="W543" s="1205"/>
      <c r="X543" s="1368"/>
      <c r="Y543" s="1368"/>
      <c r="Z543" s="1368"/>
      <c r="AA543" s="1367"/>
      <c r="AB543" s="1367"/>
      <c r="AC543" s="1367"/>
      <c r="AD543" s="1367"/>
      <c r="AE543" s="1205"/>
      <c r="AF543" s="1546"/>
      <c r="AG543" s="1546"/>
      <c r="AH543" s="1546"/>
      <c r="AI543" s="1546"/>
      <c r="AJ543" s="1546"/>
      <c r="AK543" s="1267"/>
      <c r="AL543" s="1267"/>
      <c r="AM543" s="1267"/>
      <c r="AN543" s="1296"/>
      <c r="AP543" s="2494">
        <f>IF(((AP541+AP542)/AP539)&gt;0.8,0.8,((AP541+AP542)/AP539))</f>
        <v>0.75</v>
      </c>
      <c r="AQ543" s="2494"/>
      <c r="AR543" s="2494"/>
    </row>
    <row r="544" spans="1:49" s="1222" customFormat="1" ht="12.75" customHeight="1">
      <c r="A544" s="1368"/>
      <c r="B544" s="2495" t="s">
        <v>2720</v>
      </c>
      <c r="C544" s="2496"/>
      <c r="D544" s="2496"/>
      <c r="E544" s="2496"/>
      <c r="F544" s="2496"/>
      <c r="G544" s="2496"/>
      <c r="H544" s="2496"/>
      <c r="I544" s="2496"/>
      <c r="J544" s="2496"/>
      <c r="K544" s="2496"/>
      <c r="L544" s="2496"/>
      <c r="M544" s="2496"/>
      <c r="N544" s="2496"/>
      <c r="O544" s="2496"/>
      <c r="P544" s="2496"/>
      <c r="Q544" s="2496"/>
      <c r="R544" s="2496"/>
      <c r="S544" s="2496"/>
      <c r="T544" s="2496"/>
      <c r="U544" s="2496"/>
      <c r="V544" s="2496"/>
      <c r="W544" s="2496"/>
      <c r="X544" s="2496"/>
      <c r="Y544" s="2496"/>
      <c r="Z544" s="2496"/>
      <c r="AA544" s="2496"/>
      <c r="AB544" s="2496"/>
      <c r="AC544" s="2496"/>
      <c r="AD544" s="2496"/>
      <c r="AE544" s="2496"/>
      <c r="AF544" s="2496"/>
      <c r="AG544" s="2496"/>
      <c r="AH544" s="2496"/>
      <c r="AI544" s="2496"/>
      <c r="AJ544" s="2497"/>
      <c r="AK544" s="1267"/>
      <c r="AL544" s="1267"/>
      <c r="AM544" s="1267"/>
      <c r="AN544" s="1296"/>
    </row>
    <row r="545" spans="1:44" s="1222" customFormat="1" ht="12.75" customHeight="1">
      <c r="A545" s="1368"/>
      <c r="B545" s="2498"/>
      <c r="C545" s="2499"/>
      <c r="D545" s="2499"/>
      <c r="E545" s="2499"/>
      <c r="F545" s="2499"/>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500"/>
      <c r="AK545" s="1267"/>
      <c r="AL545" s="1267"/>
      <c r="AM545" s="1267"/>
      <c r="AN545" s="1296"/>
      <c r="AP545" s="2504">
        <f>AP546-AP541-AP542</f>
        <v>95847320</v>
      </c>
      <c r="AQ545" s="2481"/>
      <c r="AR545" s="2481"/>
    </row>
    <row r="546" spans="1:44" s="1222" customFormat="1" ht="12.75" customHeight="1">
      <c r="A546" s="1368"/>
      <c r="B546" s="2501"/>
      <c r="C546" s="2502"/>
      <c r="D546" s="2502"/>
      <c r="E546" s="2502"/>
      <c r="F546" s="2502"/>
      <c r="G546" s="2502"/>
      <c r="H546" s="2502"/>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2"/>
      <c r="AH546" s="2502"/>
      <c r="AI546" s="2502"/>
      <c r="AJ546" s="2503"/>
      <c r="AK546" s="1267"/>
      <c r="AL546" s="1267"/>
      <c r="AM546" s="1267"/>
      <c r="AN546" s="1296"/>
      <c r="AP546" s="2504">
        <f>Application!AJ1032</f>
        <v>145423520</v>
      </c>
      <c r="AQ546" s="2504"/>
      <c r="AR546" s="2504"/>
    </row>
    <row r="547" spans="1:44" s="1222" customFormat="1" ht="12.75" customHeight="1">
      <c r="B547" s="1223"/>
      <c r="C547" s="1223"/>
      <c r="D547" s="1223"/>
      <c r="E547" s="1223"/>
      <c r="F547" s="1223"/>
      <c r="G547" s="1223"/>
      <c r="H547" s="1223"/>
      <c r="I547" s="1223"/>
      <c r="J547" s="1223"/>
      <c r="K547" s="1223"/>
      <c r="L547" s="1223"/>
      <c r="M547" s="1223"/>
      <c r="N547" s="1223"/>
      <c r="O547" s="1223"/>
      <c r="P547" s="1223"/>
      <c r="Q547" s="1223"/>
      <c r="R547" s="1223"/>
      <c r="S547" s="1223"/>
      <c r="T547" s="1223"/>
      <c r="U547" s="1223"/>
      <c r="V547" s="1223"/>
      <c r="W547" s="1223"/>
      <c r="X547" s="1223"/>
      <c r="Y547" s="1223"/>
      <c r="Z547" s="1223"/>
      <c r="AA547" s="1223"/>
      <c r="AB547" s="1223"/>
      <c r="AC547" s="1310"/>
      <c r="AD547" s="1223"/>
      <c r="AI547" s="1214"/>
      <c r="AJ547" s="1214"/>
      <c r="AK547" s="1267"/>
      <c r="AL547" s="1267"/>
      <c r="AM547" s="1267"/>
      <c r="AN547" s="1296"/>
    </row>
    <row r="548" spans="1:44" s="1222" customFormat="1" ht="12.75" customHeight="1">
      <c r="A548" s="1375"/>
      <c r="B548" s="1375"/>
      <c r="C548" s="1375"/>
      <c r="D548" s="1375"/>
      <c r="E548" s="1375"/>
      <c r="F548" s="1375"/>
      <c r="G548" s="1375"/>
      <c r="H548" s="1375"/>
      <c r="I548" s="1375"/>
      <c r="J548" s="1375"/>
      <c r="K548" s="1375"/>
      <c r="L548" s="1375"/>
      <c r="M548" s="1375"/>
      <c r="N548" s="1375"/>
      <c r="O548" s="1375"/>
      <c r="P548" s="1375"/>
      <c r="Q548" s="1375"/>
      <c r="R548" s="1375"/>
      <c r="S548" s="1375"/>
      <c r="T548" s="1375"/>
      <c r="U548" s="1375"/>
      <c r="V548" s="1375"/>
      <c r="W548" s="1375"/>
      <c r="X548" s="1375"/>
      <c r="Y548" s="1375"/>
      <c r="Z548" s="1375"/>
      <c r="AA548" s="1375"/>
      <c r="AB548" s="1375"/>
      <c r="AC548" s="1375"/>
      <c r="AD548" s="1375"/>
      <c r="AE548" s="1375"/>
      <c r="AF548" s="1375"/>
      <c r="AG548" s="1375"/>
      <c r="AH548" s="1376"/>
      <c r="AI548" s="1239"/>
      <c r="AJ548" s="1239" t="s">
        <v>1767</v>
      </c>
      <c r="AK548" s="2486">
        <f>IFERROR(IF(AF542=0,0,IF((AF542*100)&gt;12,12,(AF542*100))),0)</f>
        <v>12</v>
      </c>
      <c r="AL548" s="2486"/>
      <c r="AM548" s="2487"/>
      <c r="AN548" s="1296"/>
      <c r="AP548" s="2488">
        <f>AP545+(AP539*AP543)</f>
        <v>145423520</v>
      </c>
      <c r="AQ548" s="2489"/>
      <c r="AR548" s="2490"/>
    </row>
    <row r="549" spans="1:44" s="1222" customFormat="1" ht="12.75" customHeight="1" thickBot="1">
      <c r="A549" s="1489"/>
      <c r="B549" s="1489"/>
      <c r="C549" s="1489"/>
      <c r="D549" s="1489"/>
      <c r="E549" s="1489"/>
      <c r="F549" s="1489"/>
      <c r="G549" s="1489"/>
      <c r="H549" s="1489"/>
      <c r="I549" s="1489"/>
      <c r="J549" s="1489"/>
      <c r="K549" s="1489"/>
      <c r="L549" s="1489"/>
      <c r="M549" s="1489"/>
      <c r="N549" s="1489"/>
      <c r="O549" s="1489"/>
      <c r="P549" s="1489"/>
      <c r="Q549" s="1489"/>
      <c r="R549" s="1489"/>
      <c r="S549" s="1489"/>
      <c r="T549" s="1489"/>
      <c r="U549" s="1489"/>
      <c r="V549" s="1489"/>
      <c r="W549" s="1489"/>
      <c r="X549" s="1489"/>
      <c r="Y549" s="1489"/>
      <c r="Z549" s="1489"/>
      <c r="AA549" s="1489"/>
      <c r="AB549" s="1489"/>
      <c r="AC549" s="1489"/>
      <c r="AD549" s="1489"/>
      <c r="AE549" s="1489"/>
      <c r="AF549" s="1489"/>
      <c r="AG549" s="1489"/>
      <c r="AH549" s="1489"/>
      <c r="AI549" s="1489"/>
      <c r="AJ549" s="1489"/>
      <c r="AK549" s="1489"/>
      <c r="AL549" s="1489"/>
      <c r="AM549" s="1490"/>
      <c r="AN549" s="1296"/>
    </row>
    <row r="550" spans="1:44" s="1222" customFormat="1" ht="12.75" customHeight="1" thickTop="1">
      <c r="A550" s="1547"/>
      <c r="B550" s="1429"/>
      <c r="C550" s="1547"/>
      <c r="D550" s="1429"/>
      <c r="E550" s="1429"/>
      <c r="F550" s="1429"/>
      <c r="G550" s="1429"/>
      <c r="H550" s="1429"/>
      <c r="I550" s="1429"/>
      <c r="J550" s="1429"/>
      <c r="K550" s="1429"/>
      <c r="L550" s="1429"/>
      <c r="M550" s="1429"/>
      <c r="N550" s="1429"/>
      <c r="O550" s="1429"/>
      <c r="P550" s="1429"/>
      <c r="Q550" s="1429"/>
      <c r="R550" s="1429"/>
      <c r="S550" s="1429"/>
      <c r="T550" s="1429"/>
      <c r="U550" s="1429"/>
      <c r="V550" s="1429"/>
      <c r="W550" s="1429"/>
      <c r="X550" s="1429"/>
      <c r="Y550" s="1429"/>
      <c r="Z550" s="1429"/>
      <c r="AA550" s="1429"/>
      <c r="AB550" s="1429"/>
      <c r="AC550" s="1548"/>
      <c r="AD550" s="1548"/>
      <c r="AE550" s="1548"/>
      <c r="AF550" s="1429"/>
      <c r="AG550" s="1429"/>
      <c r="AH550" s="1429"/>
      <c r="AI550" s="1429"/>
      <c r="AJ550" s="1429"/>
      <c r="AK550" s="1429"/>
      <c r="AL550" s="1429"/>
      <c r="AM550" s="1549"/>
      <c r="AN550" s="1296"/>
    </row>
    <row r="551" spans="1:44" s="1222" customFormat="1" ht="12.75" customHeight="1">
      <c r="A551" s="1209" t="s">
        <v>2721</v>
      </c>
      <c r="C551" s="1209"/>
      <c r="D551" s="1295"/>
      <c r="E551" s="1295"/>
      <c r="F551" s="1295"/>
      <c r="G551" s="1295"/>
      <c r="H551" s="1295"/>
      <c r="I551" s="1295"/>
      <c r="J551" s="1295"/>
      <c r="K551" s="1295"/>
      <c r="L551" s="1295"/>
      <c r="M551" s="1295"/>
      <c r="N551" s="1295"/>
      <c r="O551" s="1295"/>
      <c r="P551" s="1295"/>
      <c r="Q551" s="1295"/>
      <c r="R551" s="1295"/>
      <c r="S551" s="1295"/>
      <c r="T551" s="1295"/>
      <c r="U551" s="1295"/>
      <c r="V551" s="1295"/>
      <c r="W551" s="1295"/>
      <c r="X551" s="1295"/>
      <c r="Y551" s="1295"/>
      <c r="Z551" s="1295"/>
      <c r="AA551" s="1295"/>
      <c r="AB551" s="1295"/>
      <c r="AC551" s="1295"/>
      <c r="AD551" s="1295"/>
      <c r="AE551" s="2491" t="s">
        <v>1505</v>
      </c>
      <c r="AF551" s="2491"/>
      <c r="AG551" s="2491"/>
      <c r="AH551" s="2491"/>
      <c r="AI551" s="2491"/>
      <c r="AJ551" s="2491"/>
      <c r="AK551" s="2491"/>
      <c r="AL551" s="1286"/>
      <c r="AM551" s="1295"/>
      <c r="AN551" s="1296"/>
    </row>
    <row r="552" spans="1:44" s="1222" customFormat="1" ht="12.75" customHeight="1">
      <c r="C552" s="1295"/>
      <c r="D552" s="1295"/>
      <c r="E552" s="1295"/>
      <c r="F552" s="1295"/>
      <c r="G552" s="1295"/>
      <c r="H552" s="1295"/>
      <c r="I552" s="1295"/>
      <c r="J552" s="1295"/>
      <c r="K552" s="1295"/>
      <c r="L552" s="1295"/>
      <c r="M552" s="1295"/>
      <c r="N552" s="1295"/>
      <c r="O552" s="1295"/>
      <c r="P552" s="1295"/>
      <c r="Q552" s="1295"/>
      <c r="R552" s="1295"/>
      <c r="S552" s="1295"/>
      <c r="T552" s="1295"/>
      <c r="U552" s="1295"/>
      <c r="V552" s="1295"/>
      <c r="W552" s="1295"/>
      <c r="X552" s="1295"/>
      <c r="Y552" s="1295"/>
      <c r="Z552" s="1295"/>
      <c r="AA552" s="1295"/>
      <c r="AB552" s="1295"/>
      <c r="AC552" s="1295"/>
      <c r="AD552" s="1295"/>
      <c r="AE552" s="1295"/>
      <c r="AF552" s="1295"/>
      <c r="AG552" s="1295"/>
      <c r="AH552" s="1295"/>
      <c r="AI552" s="1295"/>
      <c r="AJ552" s="1295"/>
      <c r="AK552" s="1295"/>
      <c r="AL552" s="1295"/>
      <c r="AM552" s="1295"/>
      <c r="AN552" s="1296"/>
    </row>
    <row r="553" spans="1:44" s="1222" customFormat="1" ht="12.75" customHeight="1">
      <c r="A553" s="1295"/>
      <c r="B553" s="2475" t="s">
        <v>2722</v>
      </c>
      <c r="C553" s="2475"/>
      <c r="D553" s="2475"/>
      <c r="E553" s="2475"/>
      <c r="F553" s="2475"/>
      <c r="G553" s="2475"/>
      <c r="H553" s="2475"/>
      <c r="I553" s="2475"/>
      <c r="J553" s="2475"/>
      <c r="K553" s="2475"/>
      <c r="L553" s="2475"/>
      <c r="M553" s="2475"/>
      <c r="N553" s="2475"/>
      <c r="O553" s="2475"/>
      <c r="P553" s="2475"/>
      <c r="Q553" s="2475"/>
      <c r="R553" s="2475"/>
      <c r="S553" s="2475"/>
      <c r="T553" s="2475"/>
      <c r="U553" s="2475"/>
      <c r="V553" s="2475"/>
      <c r="W553" s="2475"/>
      <c r="X553" s="2475"/>
      <c r="Y553" s="2475"/>
      <c r="Z553" s="2475"/>
      <c r="AA553" s="2475"/>
      <c r="AB553" s="2475"/>
      <c r="AC553" s="2475"/>
      <c r="AD553" s="2475"/>
      <c r="AE553" s="2475"/>
      <c r="AF553" s="2475"/>
      <c r="AG553" s="2475"/>
      <c r="AH553" s="2475"/>
      <c r="AI553" s="2475"/>
      <c r="AJ553" s="2475"/>
      <c r="AK553" s="1294"/>
      <c r="AL553" s="1244"/>
      <c r="AM553" s="1295"/>
      <c r="AN553" s="1296"/>
    </row>
    <row r="554" spans="1:44" s="1222" customFormat="1" ht="12.75" customHeight="1">
      <c r="A554" s="1295"/>
      <c r="B554" s="2475"/>
      <c r="C554" s="2475"/>
      <c r="D554" s="2475"/>
      <c r="E554" s="2475"/>
      <c r="F554" s="2475"/>
      <c r="G554" s="2475"/>
      <c r="H554" s="2475"/>
      <c r="I554" s="2475"/>
      <c r="J554" s="2475"/>
      <c r="K554" s="2475"/>
      <c r="L554" s="2475"/>
      <c r="M554" s="2475"/>
      <c r="N554" s="2475"/>
      <c r="O554" s="2475"/>
      <c r="P554" s="2475"/>
      <c r="Q554" s="2475"/>
      <c r="R554" s="2475"/>
      <c r="S554" s="2475"/>
      <c r="T554" s="2475"/>
      <c r="U554" s="2475"/>
      <c r="V554" s="2475"/>
      <c r="W554" s="2475"/>
      <c r="X554" s="2475"/>
      <c r="Y554" s="2475"/>
      <c r="Z554" s="2475"/>
      <c r="AA554" s="2475"/>
      <c r="AB554" s="2475"/>
      <c r="AC554" s="2475"/>
      <c r="AD554" s="2475"/>
      <c r="AE554" s="2475"/>
      <c r="AF554" s="2475"/>
      <c r="AG554" s="2475"/>
      <c r="AH554" s="2475"/>
      <c r="AI554" s="2475"/>
      <c r="AJ554" s="2475"/>
      <c r="AK554" s="1294"/>
      <c r="AL554" s="1244"/>
      <c r="AM554" s="1295"/>
      <c r="AN554" s="1296"/>
    </row>
    <row r="555" spans="1:44" s="1222" customFormat="1" ht="12.75" customHeight="1">
      <c r="A555" s="1295"/>
      <c r="B555" s="2475"/>
      <c r="C555" s="2475"/>
      <c r="D555" s="2475"/>
      <c r="E555" s="2475"/>
      <c r="F555" s="2475"/>
      <c r="G555" s="2475"/>
      <c r="H555" s="2475"/>
      <c r="I555" s="2475"/>
      <c r="J555" s="2475"/>
      <c r="K555" s="2475"/>
      <c r="L555" s="2475"/>
      <c r="M555" s="2475"/>
      <c r="N555" s="2475"/>
      <c r="O555" s="2475"/>
      <c r="P555" s="2475"/>
      <c r="Q555" s="2475"/>
      <c r="R555" s="2475"/>
      <c r="S555" s="2475"/>
      <c r="T555" s="2475"/>
      <c r="U555" s="2475"/>
      <c r="V555" s="2475"/>
      <c r="W555" s="2475"/>
      <c r="X555" s="2475"/>
      <c r="Y555" s="2475"/>
      <c r="Z555" s="2475"/>
      <c r="AA555" s="2475"/>
      <c r="AB555" s="2475"/>
      <c r="AC555" s="2475"/>
      <c r="AD555" s="2475"/>
      <c r="AE555" s="2475"/>
      <c r="AF555" s="2475"/>
      <c r="AG555" s="2475"/>
      <c r="AH555" s="2475"/>
      <c r="AI555" s="2475"/>
      <c r="AJ555" s="2475"/>
      <c r="AK555" s="1294"/>
      <c r="AL555" s="1244"/>
      <c r="AM555" s="1295"/>
      <c r="AN555" s="1296"/>
    </row>
    <row r="556" spans="1:44" s="1222" customFormat="1" ht="12.75" customHeight="1">
      <c r="A556" s="1295"/>
      <c r="B556" s="2475"/>
      <c r="C556" s="2475"/>
      <c r="D556" s="2475"/>
      <c r="E556" s="2475"/>
      <c r="F556" s="2475"/>
      <c r="G556" s="2475"/>
      <c r="H556" s="2475"/>
      <c r="I556" s="2475"/>
      <c r="J556" s="2475"/>
      <c r="K556" s="2475"/>
      <c r="L556" s="2475"/>
      <c r="M556" s="2475"/>
      <c r="N556" s="2475"/>
      <c r="O556" s="2475"/>
      <c r="P556" s="2475"/>
      <c r="Q556" s="2475"/>
      <c r="R556" s="2475"/>
      <c r="S556" s="2475"/>
      <c r="T556" s="2475"/>
      <c r="U556" s="2475"/>
      <c r="V556" s="2475"/>
      <c r="W556" s="2475"/>
      <c r="X556" s="2475"/>
      <c r="Y556" s="2475"/>
      <c r="Z556" s="2475"/>
      <c r="AA556" s="2475"/>
      <c r="AB556" s="2475"/>
      <c r="AC556" s="2475"/>
      <c r="AD556" s="2475"/>
      <c r="AE556" s="2475"/>
      <c r="AF556" s="2475"/>
      <c r="AG556" s="2475"/>
      <c r="AH556" s="2475"/>
      <c r="AI556" s="2475"/>
      <c r="AJ556" s="2475"/>
      <c r="AK556" s="1294"/>
      <c r="AL556" s="1244"/>
      <c r="AM556" s="1295"/>
      <c r="AN556" s="1296"/>
    </row>
    <row r="557" spans="1:44" s="1222" customFormat="1" ht="12.75" customHeight="1">
      <c r="A557" s="1295"/>
      <c r="B557" s="2475"/>
      <c r="C557" s="2475"/>
      <c r="D557" s="2475"/>
      <c r="E557" s="2475"/>
      <c r="F557" s="2475"/>
      <c r="G557" s="2475"/>
      <c r="H557" s="2475"/>
      <c r="I557" s="2475"/>
      <c r="J557" s="2475"/>
      <c r="K557" s="2475"/>
      <c r="L557" s="2475"/>
      <c r="M557" s="2475"/>
      <c r="N557" s="2475"/>
      <c r="O557" s="2475"/>
      <c r="P557" s="2475"/>
      <c r="Q557" s="2475"/>
      <c r="R557" s="2475"/>
      <c r="S557" s="2475"/>
      <c r="T557" s="2475"/>
      <c r="U557" s="2475"/>
      <c r="V557" s="2475"/>
      <c r="W557" s="2475"/>
      <c r="X557" s="2475"/>
      <c r="Y557" s="2475"/>
      <c r="Z557" s="2475"/>
      <c r="AA557" s="2475"/>
      <c r="AB557" s="2475"/>
      <c r="AC557" s="2475"/>
      <c r="AD557" s="2475"/>
      <c r="AE557" s="2475"/>
      <c r="AF557" s="2475"/>
      <c r="AG557" s="2475"/>
      <c r="AH557" s="2475"/>
      <c r="AI557" s="2475"/>
      <c r="AJ557" s="2475"/>
      <c r="AK557" s="1294"/>
      <c r="AL557" s="1244"/>
      <c r="AM557" s="1295"/>
      <c r="AN557" s="1296"/>
    </row>
    <row r="558" spans="1:44" s="1222" customFormat="1" ht="12.75" customHeight="1">
      <c r="A558" s="1295"/>
      <c r="B558" s="2475"/>
      <c r="C558" s="2475"/>
      <c r="D558" s="2475"/>
      <c r="E558" s="2475"/>
      <c r="F558" s="2475"/>
      <c r="G558" s="2475"/>
      <c r="H558" s="2475"/>
      <c r="I558" s="2475"/>
      <c r="J558" s="2475"/>
      <c r="K558" s="2475"/>
      <c r="L558" s="2475"/>
      <c r="M558" s="2475"/>
      <c r="N558" s="2475"/>
      <c r="O558" s="2475"/>
      <c r="P558" s="2475"/>
      <c r="Q558" s="2475"/>
      <c r="R558" s="2475"/>
      <c r="S558" s="2475"/>
      <c r="T558" s="2475"/>
      <c r="U558" s="2475"/>
      <c r="V558" s="2475"/>
      <c r="W558" s="2475"/>
      <c r="X558" s="2475"/>
      <c r="Y558" s="2475"/>
      <c r="Z558" s="2475"/>
      <c r="AA558" s="2475"/>
      <c r="AB558" s="2475"/>
      <c r="AC558" s="2475"/>
      <c r="AD558" s="2475"/>
      <c r="AE558" s="2475"/>
      <c r="AF558" s="2475"/>
      <c r="AG558" s="2475"/>
      <c r="AH558" s="2475"/>
      <c r="AI558" s="2475"/>
      <c r="AJ558" s="2475"/>
      <c r="AK558" s="1294"/>
      <c r="AL558" s="1244"/>
      <c r="AM558" s="1295"/>
      <c r="AN558" s="1296"/>
    </row>
    <row r="559" spans="1:44" s="1222" customFormat="1" ht="12.75" customHeight="1">
      <c r="A559" s="1295"/>
      <c r="B559" s="2475"/>
      <c r="C559" s="2475"/>
      <c r="D559" s="2475"/>
      <c r="E559" s="2475"/>
      <c r="F559" s="2475"/>
      <c r="G559" s="2475"/>
      <c r="H559" s="2475"/>
      <c r="I559" s="2475"/>
      <c r="J559" s="2475"/>
      <c r="K559" s="2475"/>
      <c r="L559" s="2475"/>
      <c r="M559" s="2475"/>
      <c r="N559" s="2475"/>
      <c r="O559" s="2475"/>
      <c r="P559" s="2475"/>
      <c r="Q559" s="2475"/>
      <c r="R559" s="2475"/>
      <c r="S559" s="2475"/>
      <c r="T559" s="2475"/>
      <c r="U559" s="2475"/>
      <c r="V559" s="2475"/>
      <c r="W559" s="2475"/>
      <c r="X559" s="2475"/>
      <c r="Y559" s="2475"/>
      <c r="Z559" s="2475"/>
      <c r="AA559" s="2475"/>
      <c r="AB559" s="2475"/>
      <c r="AC559" s="2475"/>
      <c r="AD559" s="2475"/>
      <c r="AE559" s="2475"/>
      <c r="AF559" s="2475"/>
      <c r="AG559" s="2475"/>
      <c r="AH559" s="2475"/>
      <c r="AI559" s="2475"/>
      <c r="AJ559" s="2475"/>
      <c r="AK559" s="1294"/>
      <c r="AL559" s="1244"/>
      <c r="AM559" s="1295"/>
      <c r="AN559" s="1296"/>
    </row>
    <row r="560" spans="1:44" ht="12.75" customHeight="1">
      <c r="A560" s="1295"/>
      <c r="B560" s="2475"/>
      <c r="C560" s="2475"/>
      <c r="D560" s="2475"/>
      <c r="E560" s="2475"/>
      <c r="F560" s="2475"/>
      <c r="G560" s="2475"/>
      <c r="H560" s="2475"/>
      <c r="I560" s="2475"/>
      <c r="J560" s="2475"/>
      <c r="K560" s="2475"/>
      <c r="L560" s="2475"/>
      <c r="M560" s="2475"/>
      <c r="N560" s="2475"/>
      <c r="O560" s="2475"/>
      <c r="P560" s="2475"/>
      <c r="Q560" s="2475"/>
      <c r="R560" s="2475"/>
      <c r="S560" s="2475"/>
      <c r="T560" s="2475"/>
      <c r="U560" s="2475"/>
      <c r="V560" s="2475"/>
      <c r="W560" s="2475"/>
      <c r="X560" s="2475"/>
      <c r="Y560" s="2475"/>
      <c r="Z560" s="2475"/>
      <c r="AA560" s="2475"/>
      <c r="AB560" s="2475"/>
      <c r="AC560" s="2475"/>
      <c r="AD560" s="2475"/>
      <c r="AE560" s="2475"/>
      <c r="AF560" s="2475"/>
      <c r="AG560" s="2475"/>
      <c r="AH560" s="2475"/>
      <c r="AI560" s="2475"/>
      <c r="AJ560" s="2475"/>
      <c r="AK560" s="1294"/>
      <c r="AL560" s="1244"/>
      <c r="AM560" s="1295"/>
    </row>
    <row r="561" spans="1:42" s="1222" customFormat="1" ht="12.75" customHeight="1">
      <c r="B561" s="2475"/>
      <c r="C561" s="2475"/>
      <c r="D561" s="2475"/>
      <c r="E561" s="2475"/>
      <c r="F561" s="2475"/>
      <c r="G561" s="2475"/>
      <c r="H561" s="2475"/>
      <c r="I561" s="2475"/>
      <c r="J561" s="2475"/>
      <c r="K561" s="2475"/>
      <c r="L561" s="2475"/>
      <c r="M561" s="2475"/>
      <c r="N561" s="2475"/>
      <c r="O561" s="2475"/>
      <c r="P561" s="2475"/>
      <c r="Q561" s="2475"/>
      <c r="R561" s="2475"/>
      <c r="S561" s="2475"/>
      <c r="T561" s="2475"/>
      <c r="U561" s="2475"/>
      <c r="V561" s="2475"/>
      <c r="W561" s="2475"/>
      <c r="X561" s="2475"/>
      <c r="Y561" s="2475"/>
      <c r="Z561" s="2475"/>
      <c r="AA561" s="2475"/>
      <c r="AB561" s="2475"/>
      <c r="AC561" s="2475"/>
      <c r="AD561" s="2475"/>
      <c r="AE561" s="2475"/>
      <c r="AF561" s="2475"/>
      <c r="AG561" s="2475"/>
      <c r="AH561" s="2475"/>
      <c r="AI561" s="2475"/>
      <c r="AJ561" s="2475"/>
      <c r="AK561" s="1294"/>
      <c r="AL561" s="1244"/>
      <c r="AN561" s="1296"/>
    </row>
    <row r="562" spans="1:42" s="1222" customFormat="1" ht="12.75" customHeight="1">
      <c r="B562" s="1294"/>
      <c r="C562" s="1294"/>
      <c r="D562" s="1294"/>
      <c r="E562" s="1294"/>
      <c r="F562" s="1294"/>
      <c r="G562" s="1294"/>
      <c r="H562" s="1294"/>
      <c r="I562" s="1294"/>
      <c r="J562" s="1294"/>
      <c r="K562" s="1294"/>
      <c r="L562" s="1294"/>
      <c r="M562" s="1294"/>
      <c r="N562" s="1294"/>
      <c r="O562" s="1294"/>
      <c r="P562" s="1294"/>
      <c r="Q562" s="1294"/>
      <c r="R562" s="1294"/>
      <c r="S562" s="1294"/>
      <c r="T562" s="1294"/>
      <c r="U562" s="1294"/>
      <c r="V562" s="1294"/>
      <c r="W562" s="1294"/>
      <c r="X562" s="1294"/>
      <c r="Y562" s="1294"/>
      <c r="Z562" s="1294"/>
      <c r="AA562" s="1294"/>
      <c r="AB562" s="1294"/>
      <c r="AC562" s="1294"/>
      <c r="AD562" s="1294"/>
      <c r="AE562" s="1294"/>
      <c r="AF562" s="1294"/>
      <c r="AG562" s="1294"/>
      <c r="AH562" s="1294"/>
      <c r="AI562" s="1294"/>
      <c r="AJ562" s="1294"/>
      <c r="AK562" s="1294"/>
      <c r="AL562" s="1244"/>
      <c r="AN562" s="1296"/>
    </row>
    <row r="563" spans="1:42" s="1222" customFormat="1" ht="12.75" customHeight="1">
      <c r="B563" s="1317" t="s">
        <v>1585</v>
      </c>
      <c r="C563" s="1550"/>
      <c r="D563" s="1244"/>
      <c r="E563" s="1244"/>
      <c r="F563" s="1244"/>
      <c r="G563" s="1244"/>
      <c r="H563" s="1244"/>
      <c r="I563" s="1244"/>
      <c r="J563" s="1244"/>
      <c r="K563" s="1244"/>
      <c r="L563" s="1244"/>
      <c r="M563" s="1244"/>
      <c r="N563" s="1244"/>
      <c r="O563" s="1244"/>
      <c r="P563" s="1244"/>
      <c r="Q563" s="1244"/>
      <c r="R563" s="1244"/>
      <c r="S563" s="1244"/>
      <c r="T563" s="1244"/>
      <c r="U563" s="1244"/>
      <c r="V563" s="1244"/>
      <c r="W563" s="1244"/>
      <c r="X563" s="1244"/>
      <c r="Y563" s="1244"/>
      <c r="Z563" s="1244"/>
      <c r="AA563" s="1244"/>
      <c r="AB563" s="1244"/>
      <c r="AC563" s="1244"/>
      <c r="AD563" s="1244"/>
      <c r="AE563" s="1244"/>
      <c r="AF563" s="1244"/>
      <c r="AG563" s="1244"/>
      <c r="AH563" s="1244"/>
      <c r="AI563" s="1244"/>
      <c r="AN563" s="1296"/>
      <c r="AP563" s="1222" t="s">
        <v>616</v>
      </c>
    </row>
    <row r="564" spans="1:42" s="1222" customFormat="1" ht="12.75" customHeight="1">
      <c r="B564" s="1207"/>
      <c r="C564" s="1550"/>
      <c r="D564" s="1244"/>
      <c r="E564" s="1244"/>
      <c r="F564" s="1244"/>
      <c r="G564" s="1244"/>
      <c r="H564" s="1244"/>
      <c r="I564" s="1244"/>
      <c r="J564" s="1244"/>
      <c r="K564" s="1244"/>
      <c r="L564" s="1244"/>
      <c r="M564" s="1244"/>
      <c r="N564" s="1244"/>
      <c r="O564" s="1244"/>
      <c r="P564" s="1244"/>
      <c r="Q564" s="1244"/>
      <c r="R564" s="1244"/>
      <c r="S564" s="1244"/>
      <c r="T564" s="1244"/>
      <c r="U564" s="1244"/>
      <c r="V564" s="1244"/>
      <c r="W564" s="1244"/>
      <c r="X564" s="1244"/>
      <c r="Y564" s="1244"/>
      <c r="Z564" s="1244"/>
      <c r="AA564" s="1244"/>
      <c r="AB564" s="1244"/>
      <c r="AC564" s="1244"/>
      <c r="AD564" s="1244"/>
      <c r="AE564" s="1244"/>
      <c r="AF564" s="1244"/>
      <c r="AG564" s="1244"/>
      <c r="AH564" s="1244"/>
      <c r="AI564" s="1244"/>
      <c r="AN564" s="1296"/>
      <c r="AP564" s="1222" t="s">
        <v>569</v>
      </c>
    </row>
    <row r="565" spans="1:42" s="1222" customFormat="1" ht="12.75" customHeight="1">
      <c r="C565" s="1210" t="s">
        <v>1586</v>
      </c>
      <c r="D565" s="1551"/>
      <c r="E565" s="1244"/>
      <c r="F565" s="1244"/>
      <c r="G565" s="1244"/>
      <c r="H565" s="1244"/>
      <c r="I565" s="1244"/>
      <c r="J565" s="1244"/>
      <c r="K565" s="1244"/>
      <c r="L565" s="1244"/>
      <c r="M565" s="1244"/>
      <c r="N565" s="1244"/>
      <c r="O565" s="1244"/>
      <c r="P565" s="1244"/>
      <c r="Q565" s="1244"/>
      <c r="R565" s="1244"/>
      <c r="S565" s="1244"/>
      <c r="T565" s="1244"/>
      <c r="U565" s="1244"/>
      <c r="V565" s="1244"/>
      <c r="W565" s="1244"/>
      <c r="X565" s="1244"/>
      <c r="Y565" s="1244"/>
      <c r="Z565" s="1244"/>
      <c r="AA565" s="1244"/>
      <c r="AB565" s="1244"/>
      <c r="AC565" s="1244"/>
      <c r="AD565" s="1244"/>
      <c r="AE565" s="1244"/>
      <c r="AF565" s="1244"/>
      <c r="AG565" s="1244"/>
      <c r="AH565" s="1244"/>
      <c r="AI565" s="1244"/>
      <c r="AN565" s="1296"/>
    </row>
    <row r="566" spans="1:42" s="1222" customFormat="1" ht="12.75" customHeight="1">
      <c r="B566" s="1207"/>
      <c r="C566" s="1207"/>
      <c r="D566" s="1392"/>
      <c r="E566" s="1319"/>
      <c r="F566" s="1319"/>
      <c r="G566" s="1319"/>
      <c r="H566" s="1319"/>
      <c r="I566" s="1319"/>
      <c r="J566" s="1319"/>
      <c r="K566" s="1319"/>
      <c r="L566" s="1319"/>
      <c r="M566" s="1319"/>
      <c r="N566" s="1319"/>
      <c r="O566" s="1319"/>
      <c r="P566" s="1319"/>
      <c r="Q566" s="1319"/>
      <c r="R566" s="1319"/>
      <c r="S566" s="1319"/>
      <c r="T566" s="1319"/>
      <c r="U566" s="1319"/>
      <c r="V566" s="1319"/>
      <c r="W566" s="1319"/>
      <c r="X566" s="1319"/>
      <c r="Y566" s="1319"/>
      <c r="Z566" s="1319"/>
      <c r="AA566" s="1319"/>
      <c r="AB566" s="1319"/>
      <c r="AC566" s="1319"/>
      <c r="AD566" s="1319"/>
      <c r="AE566" s="1319"/>
      <c r="AF566" s="1207"/>
      <c r="AG566" s="1207"/>
      <c r="AH566" s="1207"/>
      <c r="AI566" s="1207"/>
      <c r="AJ566" s="1207"/>
      <c r="AK566" s="1207"/>
      <c r="AL566" s="1207"/>
      <c r="AN566" s="1296"/>
    </row>
    <row r="567" spans="1:42" s="1222" customFormat="1" ht="12.75" customHeight="1">
      <c r="B567" s="1207"/>
      <c r="C567" s="1207"/>
      <c r="D567" s="1317" t="s">
        <v>713</v>
      </c>
      <c r="E567" s="1359" t="s">
        <v>2008</v>
      </c>
      <c r="F567" s="1294"/>
      <c r="G567" s="1294"/>
      <c r="H567" s="1294"/>
      <c r="I567" s="1294"/>
      <c r="J567" s="1294"/>
      <c r="K567" s="1294"/>
      <c r="L567" s="1294"/>
      <c r="M567" s="1294"/>
      <c r="N567" s="1294"/>
      <c r="O567" s="1294"/>
      <c r="P567" s="1294"/>
      <c r="Q567" s="1294"/>
      <c r="R567" s="1294"/>
      <c r="S567" s="1294"/>
      <c r="T567" s="1294"/>
      <c r="U567" s="1294"/>
      <c r="V567" s="1294"/>
      <c r="W567" s="1294"/>
      <c r="X567" s="1294"/>
      <c r="Y567" s="1294"/>
      <c r="Z567" s="1294"/>
      <c r="AA567" s="1294"/>
      <c r="AB567" s="1294"/>
      <c r="AC567" s="1207"/>
      <c r="AD567" s="1207"/>
      <c r="AE567" s="1207"/>
      <c r="AF567" s="2476" t="s">
        <v>1529</v>
      </c>
      <c r="AG567" s="2476"/>
      <c r="AH567" s="2476"/>
      <c r="AI567" s="2476"/>
      <c r="AJ567" s="2476"/>
      <c r="AK567" s="2476"/>
      <c r="AL567" s="2476"/>
      <c r="AN567" s="1296"/>
    </row>
    <row r="568" spans="1:42" s="1222" customFormat="1" ht="12.75" customHeight="1">
      <c r="B568" s="1207"/>
      <c r="C568" s="1310"/>
      <c r="D568" s="1317"/>
      <c r="E568" s="1359" t="s">
        <v>2009</v>
      </c>
      <c r="F568" s="1294"/>
      <c r="G568" s="1294"/>
      <c r="H568" s="1294"/>
      <c r="I568" s="1294"/>
      <c r="J568" s="1294"/>
      <c r="K568" s="1294"/>
      <c r="L568" s="1294"/>
      <c r="M568" s="1294"/>
      <c r="N568" s="1294"/>
      <c r="O568" s="1294"/>
      <c r="P568" s="1294"/>
      <c r="Q568" s="1294"/>
      <c r="R568" s="1294"/>
      <c r="S568" s="1294"/>
      <c r="T568" s="1294"/>
      <c r="U568" s="1294"/>
      <c r="V568" s="1294"/>
      <c r="W568" s="1294"/>
      <c r="X568" s="1294"/>
      <c r="Y568" s="1294"/>
      <c r="Z568" s="1294"/>
      <c r="AA568" s="1294"/>
      <c r="AB568" s="1294"/>
      <c r="AC568" s="1207"/>
      <c r="AD568" s="1207"/>
      <c r="AE568" s="1310"/>
      <c r="AF568" s="1310"/>
      <c r="AG568" s="1310"/>
      <c r="AH568" s="1310"/>
      <c r="AI568" s="1310"/>
      <c r="AJ568" s="1310"/>
      <c r="AK568" s="1310"/>
      <c r="AL568" s="1310"/>
      <c r="AN568" s="1296"/>
    </row>
    <row r="569" spans="1:42" s="1222" customFormat="1" ht="12.75" customHeight="1">
      <c r="B569" s="1207"/>
      <c r="C569" s="1310"/>
      <c r="D569" s="1317"/>
      <c r="E569" s="1359" t="s">
        <v>2010</v>
      </c>
      <c r="F569" s="1294"/>
      <c r="G569" s="1294"/>
      <c r="H569" s="1294"/>
      <c r="I569" s="1294"/>
      <c r="J569" s="1294"/>
      <c r="K569" s="1294"/>
      <c r="L569" s="1294"/>
      <c r="M569" s="1294"/>
      <c r="N569" s="1294"/>
      <c r="O569" s="1294"/>
      <c r="P569" s="1294"/>
      <c r="Q569" s="1294"/>
      <c r="R569" s="1294"/>
      <c r="S569" s="1294"/>
      <c r="T569" s="1294"/>
      <c r="U569" s="1294"/>
      <c r="V569" s="1294"/>
      <c r="W569" s="1294"/>
      <c r="X569" s="1294"/>
      <c r="Y569" s="1294"/>
      <c r="Z569" s="1294"/>
      <c r="AA569" s="1294"/>
      <c r="AB569" s="1294"/>
      <c r="AC569" s="1207"/>
      <c r="AD569" s="1207"/>
      <c r="AE569" s="1310"/>
      <c r="AF569" s="1310"/>
      <c r="AG569" s="1310"/>
      <c r="AH569" s="1310"/>
      <c r="AI569" s="1310"/>
      <c r="AJ569" s="1310"/>
      <c r="AK569" s="1310"/>
      <c r="AL569" s="1310"/>
      <c r="AN569" s="1296"/>
    </row>
    <row r="570" spans="1:42" s="1222" customFormat="1" ht="12.75" customHeight="1">
      <c r="B570" s="1207"/>
      <c r="C570" s="1310"/>
      <c r="D570" s="1317"/>
      <c r="E570" s="1359" t="s">
        <v>2011</v>
      </c>
      <c r="F570" s="1294"/>
      <c r="G570" s="1294"/>
      <c r="H570" s="1294"/>
      <c r="I570" s="1294"/>
      <c r="J570" s="1294"/>
      <c r="K570" s="1294"/>
      <c r="L570" s="1294"/>
      <c r="M570" s="1294"/>
      <c r="N570" s="1294"/>
      <c r="O570" s="1294"/>
      <c r="P570" s="1294"/>
      <c r="Q570" s="1294"/>
      <c r="R570" s="1294"/>
      <c r="S570" s="1294"/>
      <c r="T570" s="1294"/>
      <c r="U570" s="1294"/>
      <c r="V570" s="1294"/>
      <c r="W570" s="1294"/>
      <c r="X570" s="1294"/>
      <c r="Y570" s="1294"/>
      <c r="Z570" s="1294"/>
      <c r="AA570" s="1294"/>
      <c r="AB570" s="1294"/>
      <c r="AC570" s="1207"/>
      <c r="AD570" s="1207"/>
      <c r="AE570" s="1310"/>
      <c r="AF570" s="1310"/>
      <c r="AG570" s="1310"/>
      <c r="AH570" s="1310"/>
      <c r="AI570" s="1310"/>
      <c r="AJ570" s="1310"/>
      <c r="AK570" s="1310"/>
      <c r="AL570" s="1310"/>
      <c r="AN570" s="1296"/>
    </row>
    <row r="571" spans="1:42" s="1222" customFormat="1" ht="12.75" customHeight="1">
      <c r="B571" s="1207"/>
      <c r="C571" s="1310"/>
      <c r="D571" s="1317"/>
      <c r="E571" s="1359" t="s">
        <v>2012</v>
      </c>
      <c r="F571" s="1294"/>
      <c r="G571" s="1294"/>
      <c r="H571" s="1294"/>
      <c r="I571" s="1294"/>
      <c r="J571" s="1294"/>
      <c r="K571" s="1294"/>
      <c r="L571" s="1294"/>
      <c r="M571" s="1294"/>
      <c r="N571" s="1294"/>
      <c r="O571" s="1294"/>
      <c r="P571" s="1294"/>
      <c r="Q571" s="1294"/>
      <c r="R571" s="1294"/>
      <c r="S571" s="1294"/>
      <c r="T571" s="1294"/>
      <c r="U571" s="1294"/>
      <c r="V571" s="1294"/>
      <c r="W571" s="1294"/>
      <c r="X571" s="1294"/>
      <c r="Y571" s="1294"/>
      <c r="Z571" s="1294"/>
      <c r="AA571" s="1294"/>
      <c r="AB571" s="1294"/>
      <c r="AC571" s="1207"/>
      <c r="AD571" s="1207"/>
      <c r="AE571" s="1310"/>
      <c r="AF571" s="1310"/>
      <c r="AG571" s="1310"/>
      <c r="AH571" s="1310"/>
      <c r="AI571" s="1310"/>
      <c r="AJ571" s="1310"/>
      <c r="AK571" s="1310"/>
      <c r="AL571" s="1310"/>
      <c r="AN571" s="1296"/>
    </row>
    <row r="572" spans="1:42" s="1222" customFormat="1" ht="12.75" customHeight="1">
      <c r="B572" s="1207"/>
      <c r="C572" s="1310"/>
      <c r="D572" s="1317"/>
      <c r="E572" s="1359" t="s">
        <v>2013</v>
      </c>
      <c r="F572" s="1294"/>
      <c r="G572" s="1294"/>
      <c r="H572" s="1294"/>
      <c r="I572" s="1294"/>
      <c r="J572" s="1294"/>
      <c r="K572" s="1294"/>
      <c r="L572" s="1294"/>
      <c r="M572" s="1294"/>
      <c r="N572" s="1294"/>
      <c r="O572" s="1294"/>
      <c r="P572" s="1294"/>
      <c r="Q572" s="1294"/>
      <c r="R572" s="1294"/>
      <c r="S572" s="1294"/>
      <c r="T572" s="1294"/>
      <c r="U572" s="1294"/>
      <c r="V572" s="1294"/>
      <c r="W572" s="1294"/>
      <c r="X572" s="1294"/>
      <c r="Y572" s="1294"/>
      <c r="Z572" s="1294"/>
      <c r="AA572" s="1294"/>
      <c r="AB572" s="1294"/>
      <c r="AC572" s="1207"/>
      <c r="AD572" s="1207"/>
      <c r="AE572" s="1310"/>
      <c r="AF572" s="1310"/>
      <c r="AG572" s="1310"/>
      <c r="AH572" s="1310"/>
      <c r="AI572" s="1310"/>
      <c r="AJ572" s="1310"/>
      <c r="AK572" s="1310"/>
      <c r="AL572" s="1310"/>
      <c r="AN572" s="1296"/>
    </row>
    <row r="573" spans="1:42" s="1222" customFormat="1" ht="12.75" customHeight="1">
      <c r="B573" s="1207"/>
      <c r="C573" s="1310"/>
      <c r="D573" s="1317"/>
      <c r="E573" s="1359"/>
      <c r="F573" s="1294"/>
      <c r="G573" s="1294"/>
      <c r="H573" s="1294"/>
      <c r="I573" s="1294"/>
      <c r="J573" s="1294"/>
      <c r="K573" s="1294"/>
      <c r="L573" s="1294"/>
      <c r="M573" s="1294"/>
      <c r="N573" s="1294"/>
      <c r="O573" s="1294"/>
      <c r="P573" s="1294"/>
      <c r="Q573" s="1294"/>
      <c r="R573" s="1294"/>
      <c r="S573" s="1294"/>
      <c r="T573" s="1294"/>
      <c r="U573" s="1294"/>
      <c r="V573" s="1294"/>
      <c r="W573" s="1294"/>
      <c r="X573" s="1294"/>
      <c r="Y573" s="1294"/>
      <c r="Z573" s="1294"/>
      <c r="AA573" s="1294"/>
      <c r="AB573" s="1294"/>
      <c r="AC573" s="1207"/>
      <c r="AD573" s="1207"/>
      <c r="AE573" s="1310"/>
      <c r="AF573" s="1207"/>
      <c r="AG573" s="1207"/>
      <c r="AH573" s="1207"/>
      <c r="AI573" s="1207"/>
      <c r="AJ573" s="1207"/>
      <c r="AK573" s="1207"/>
      <c r="AL573" s="1207"/>
      <c r="AN573" s="1296"/>
    </row>
    <row r="574" spans="1:42" s="1222" customFormat="1" ht="12.75" customHeight="1">
      <c r="A574" s="1385"/>
      <c r="B574" s="1207"/>
      <c r="C574" s="1552"/>
      <c r="D574" s="1317" t="s">
        <v>533</v>
      </c>
      <c r="E574" s="1359" t="s">
        <v>2014</v>
      </c>
      <c r="F574" s="1553"/>
      <c r="G574" s="1553"/>
      <c r="H574" s="1553"/>
      <c r="I574" s="1553"/>
      <c r="J574" s="1553"/>
      <c r="K574" s="1553"/>
      <c r="L574" s="1553"/>
      <c r="M574" s="1553"/>
      <c r="N574" s="1553"/>
      <c r="O574" s="1553"/>
      <c r="P574" s="1553"/>
      <c r="Q574" s="1553"/>
      <c r="R574" s="1553"/>
      <c r="S574" s="1553"/>
      <c r="T574" s="1553"/>
      <c r="U574" s="1553"/>
      <c r="V574" s="1553"/>
      <c r="W574" s="1553"/>
      <c r="X574" s="1553"/>
      <c r="Y574" s="1553"/>
      <c r="Z574" s="1553"/>
      <c r="AA574" s="1553"/>
      <c r="AB574" s="1553"/>
      <c r="AC574" s="1207"/>
      <c r="AD574" s="1207"/>
      <c r="AE574" s="1207"/>
      <c r="AF574" s="2476" t="s">
        <v>1587</v>
      </c>
      <c r="AG574" s="2476"/>
      <c r="AH574" s="2476"/>
      <c r="AI574" s="2476"/>
      <c r="AJ574" s="2476"/>
      <c r="AK574" s="2476"/>
      <c r="AL574" s="2476"/>
      <c r="AN574" s="1296"/>
    </row>
    <row r="575" spans="1:42" s="1222" customFormat="1" ht="12.75" customHeight="1">
      <c r="B575" s="1207"/>
      <c r="C575" s="1554"/>
      <c r="D575" s="1317"/>
      <c r="E575" s="1359" t="s">
        <v>2015</v>
      </c>
      <c r="F575" s="1553"/>
      <c r="G575" s="1553"/>
      <c r="H575" s="1553"/>
      <c r="I575" s="1553"/>
      <c r="J575" s="1553"/>
      <c r="K575" s="1553"/>
      <c r="L575" s="1553"/>
      <c r="M575" s="1553"/>
      <c r="N575" s="1553"/>
      <c r="O575" s="1553"/>
      <c r="P575" s="1553"/>
      <c r="Q575" s="1553"/>
      <c r="R575" s="1553"/>
      <c r="S575" s="1553"/>
      <c r="T575" s="1553"/>
      <c r="U575" s="1553"/>
      <c r="V575" s="1553"/>
      <c r="W575" s="1553"/>
      <c r="X575" s="1553"/>
      <c r="Y575" s="1553"/>
      <c r="Z575" s="1553"/>
      <c r="AA575" s="1553"/>
      <c r="AB575" s="1553"/>
      <c r="AC575" s="1207"/>
      <c r="AD575" s="1207"/>
      <c r="AE575" s="1207"/>
      <c r="AF575" s="1207"/>
      <c r="AG575" s="1207"/>
      <c r="AH575" s="1207"/>
      <c r="AI575" s="1207"/>
      <c r="AJ575" s="1207"/>
      <c r="AK575" s="1207"/>
      <c r="AL575" s="1207"/>
      <c r="AN575" s="1296"/>
      <c r="AO575" s="1222" t="s">
        <v>616</v>
      </c>
      <c r="AP575" s="1555">
        <v>0</v>
      </c>
    </row>
    <row r="576" spans="1:42" s="1222" customFormat="1" ht="12.75" customHeight="1">
      <c r="B576" s="1304"/>
      <c r="C576" s="1552"/>
      <c r="D576" s="1317"/>
      <c r="E576" s="1359" t="s">
        <v>2016</v>
      </c>
      <c r="F576" s="1553"/>
      <c r="G576" s="1553"/>
      <c r="H576" s="1553"/>
      <c r="I576" s="1553"/>
      <c r="J576" s="1553"/>
      <c r="K576" s="1553"/>
      <c r="L576" s="1553"/>
      <c r="M576" s="1553"/>
      <c r="N576" s="1553"/>
      <c r="O576" s="1553"/>
      <c r="P576" s="1553"/>
      <c r="Q576" s="1553"/>
      <c r="R576" s="1553"/>
      <c r="S576" s="1553"/>
      <c r="T576" s="1553"/>
      <c r="U576" s="1553"/>
      <c r="V576" s="1553"/>
      <c r="W576" s="1553"/>
      <c r="X576" s="1553"/>
      <c r="Y576" s="1553"/>
      <c r="Z576" s="1553"/>
      <c r="AA576" s="1553"/>
      <c r="AB576" s="1553"/>
      <c r="AC576" s="1207"/>
      <c r="AD576" s="1207"/>
      <c r="AE576" s="1207"/>
      <c r="AF576" s="1207"/>
      <c r="AG576" s="1207"/>
      <c r="AH576" s="1207"/>
      <c r="AI576" s="1207"/>
      <c r="AJ576" s="1207"/>
      <c r="AK576" s="1207"/>
      <c r="AL576" s="1207"/>
      <c r="AN576" s="1296"/>
      <c r="AO576" s="1305" t="s">
        <v>713</v>
      </c>
      <c r="AP576" s="1222">
        <v>7</v>
      </c>
    </row>
    <row r="577" spans="1:53" s="1222" customFormat="1" ht="12.75" customHeight="1">
      <c r="B577" s="1304"/>
      <c r="C577" s="1552"/>
      <c r="D577" s="1317"/>
      <c r="E577" s="1359" t="s">
        <v>2018</v>
      </c>
      <c r="F577" s="1553"/>
      <c r="G577" s="1553"/>
      <c r="H577" s="1553"/>
      <c r="I577" s="1553"/>
      <c r="J577" s="1553"/>
      <c r="K577" s="1553"/>
      <c r="L577" s="1553"/>
      <c r="M577" s="1553"/>
      <c r="N577" s="1553"/>
      <c r="O577" s="1553"/>
      <c r="P577" s="1553"/>
      <c r="Q577" s="1553"/>
      <c r="R577" s="1553"/>
      <c r="S577" s="1553"/>
      <c r="T577" s="1553"/>
      <c r="U577" s="1553"/>
      <c r="V577" s="1553"/>
      <c r="W577" s="1553"/>
      <c r="X577" s="1553"/>
      <c r="Y577" s="1553"/>
      <c r="Z577" s="1553"/>
      <c r="AA577" s="1553"/>
      <c r="AB577" s="1553"/>
      <c r="AC577" s="1207"/>
      <c r="AD577" s="1207"/>
      <c r="AE577" s="1207"/>
      <c r="AF577" s="1207"/>
      <c r="AG577" s="1207"/>
      <c r="AH577" s="1207"/>
      <c r="AI577" s="1207"/>
      <c r="AJ577" s="1207"/>
      <c r="AK577" s="1207"/>
      <c r="AL577" s="1207"/>
      <c r="AN577" s="1296"/>
      <c r="AO577" s="1305" t="s">
        <v>533</v>
      </c>
      <c r="AP577" s="1222">
        <v>6</v>
      </c>
    </row>
    <row r="578" spans="1:53" s="1222" customFormat="1" ht="12.75" customHeight="1">
      <c r="B578" s="1304"/>
      <c r="C578" s="1552"/>
      <c r="D578" s="1317"/>
      <c r="E578" s="1359" t="s">
        <v>2017</v>
      </c>
      <c r="F578" s="1553"/>
      <c r="G578" s="1553"/>
      <c r="H578" s="1553"/>
      <c r="I578" s="1553"/>
      <c r="J578" s="1553"/>
      <c r="K578" s="1553"/>
      <c r="L578" s="1553"/>
      <c r="M578" s="1553"/>
      <c r="N578" s="1553"/>
      <c r="O578" s="1553"/>
      <c r="P578" s="1553"/>
      <c r="Q578" s="1553"/>
      <c r="R578" s="1553"/>
      <c r="S578" s="1553"/>
      <c r="T578" s="1553"/>
      <c r="U578" s="1553"/>
      <c r="V578" s="1553"/>
      <c r="W578" s="1553"/>
      <c r="X578" s="1553"/>
      <c r="Y578" s="1553"/>
      <c r="Z578" s="1553"/>
      <c r="AA578" s="1553"/>
      <c r="AB578" s="1553"/>
      <c r="AC578" s="1207"/>
      <c r="AD578" s="1207"/>
      <c r="AE578" s="1207"/>
      <c r="AF578" s="1207"/>
      <c r="AG578" s="1207"/>
      <c r="AH578" s="1207"/>
      <c r="AI578" s="1207"/>
      <c r="AJ578" s="1207"/>
      <c r="AK578" s="1207"/>
      <c r="AL578" s="1207"/>
      <c r="AN578" s="1296"/>
      <c r="AO578" s="1305" t="s">
        <v>283</v>
      </c>
      <c r="AP578" s="1222">
        <v>5</v>
      </c>
    </row>
    <row r="579" spans="1:53" s="1222" customFormat="1" ht="12.75" customHeight="1">
      <c r="B579" s="1304"/>
      <c r="C579" s="1552"/>
      <c r="D579" s="1317"/>
      <c r="E579" s="1556"/>
      <c r="F579" s="1557"/>
      <c r="G579" s="1557"/>
      <c r="H579" s="1557"/>
      <c r="I579" s="1310"/>
      <c r="J579" s="1310"/>
      <c r="K579" s="1310"/>
      <c r="L579" s="1310"/>
      <c r="M579" s="1310"/>
      <c r="N579" s="1310"/>
      <c r="O579" s="1310"/>
      <c r="P579" s="1310"/>
      <c r="Q579" s="1310"/>
      <c r="R579" s="1310"/>
      <c r="S579" s="1310"/>
      <c r="T579" s="1310"/>
      <c r="U579" s="1310"/>
      <c r="V579" s="1310"/>
      <c r="W579" s="1310"/>
      <c r="X579" s="1310"/>
      <c r="Y579" s="1310"/>
      <c r="Z579" s="1310"/>
      <c r="AA579" s="1310"/>
      <c r="AB579" s="1310"/>
      <c r="AC579" s="1207"/>
      <c r="AD579" s="1207"/>
      <c r="AE579" s="1310"/>
      <c r="AF579" s="1207"/>
      <c r="AG579" s="1207"/>
      <c r="AH579" s="1207"/>
      <c r="AI579" s="1207"/>
      <c r="AJ579" s="1207"/>
      <c r="AK579" s="1207"/>
      <c r="AL579" s="1207"/>
      <c r="AN579" s="1296"/>
      <c r="AO579" s="1305" t="s">
        <v>1588</v>
      </c>
      <c r="AP579" s="1222">
        <v>4</v>
      </c>
    </row>
    <row r="580" spans="1:53" s="1222" customFormat="1" ht="12.75" customHeight="1">
      <c r="B580" s="1207"/>
      <c r="C580" s="1552"/>
      <c r="D580" s="1317" t="s">
        <v>283</v>
      </c>
      <c r="E580" s="1359" t="s">
        <v>2019</v>
      </c>
      <c r="F580" s="1553"/>
      <c r="G580" s="1553"/>
      <c r="H580" s="1553"/>
      <c r="I580" s="1553"/>
      <c r="J580" s="1553"/>
      <c r="K580" s="1553"/>
      <c r="L580" s="1553"/>
      <c r="M580" s="1553"/>
      <c r="N580" s="1553"/>
      <c r="O580" s="1553"/>
      <c r="P580" s="1553"/>
      <c r="Q580" s="1553"/>
      <c r="R580" s="1553"/>
      <c r="S580" s="1553"/>
      <c r="T580" s="1553"/>
      <c r="U580" s="1553"/>
      <c r="V580" s="1553"/>
      <c r="W580" s="1553"/>
      <c r="X580" s="1553"/>
      <c r="Y580" s="1553"/>
      <c r="Z580" s="1553"/>
      <c r="AA580" s="1553"/>
      <c r="AB580" s="1553"/>
      <c r="AC580" s="1207"/>
      <c r="AD580" s="1207"/>
      <c r="AE580" s="1207"/>
      <c r="AF580" s="2476" t="s">
        <v>1569</v>
      </c>
      <c r="AG580" s="2476"/>
      <c r="AH580" s="2476"/>
      <c r="AI580" s="2476"/>
      <c r="AJ580" s="2476"/>
      <c r="AK580" s="2476"/>
      <c r="AL580" s="2476"/>
      <c r="AN580" s="1296"/>
      <c r="AO580" s="1305" t="s">
        <v>1589</v>
      </c>
      <c r="AP580" s="1222">
        <v>3</v>
      </c>
    </row>
    <row r="581" spans="1:53" s="1222" customFormat="1" ht="12.75" customHeight="1">
      <c r="B581" s="1207"/>
      <c r="C581" s="1554"/>
      <c r="D581" s="1317"/>
      <c r="E581" s="1359" t="s">
        <v>2015</v>
      </c>
      <c r="F581" s="1553"/>
      <c r="G581" s="1553"/>
      <c r="H581" s="1553"/>
      <c r="I581" s="1553"/>
      <c r="J581" s="1553"/>
      <c r="K581" s="1553"/>
      <c r="L581" s="1553"/>
      <c r="M581" s="1553"/>
      <c r="N581" s="1553"/>
      <c r="O581" s="1553"/>
      <c r="P581" s="1553"/>
      <c r="Q581" s="1553"/>
      <c r="R581" s="1553"/>
      <c r="S581" s="1553"/>
      <c r="T581" s="1553"/>
      <c r="U581" s="1553"/>
      <c r="V581" s="1553"/>
      <c r="W581" s="1553"/>
      <c r="X581" s="1553"/>
      <c r="Y581" s="1553"/>
      <c r="Z581" s="1553"/>
      <c r="AA581" s="1553"/>
      <c r="AB581" s="1553"/>
      <c r="AC581" s="1207"/>
      <c r="AD581" s="1207"/>
      <c r="AE581" s="1207"/>
      <c r="AF581" s="1207"/>
      <c r="AG581" s="1207"/>
      <c r="AH581" s="1207"/>
      <c r="AI581" s="1207"/>
      <c r="AJ581" s="1207"/>
      <c r="AK581" s="1207"/>
      <c r="AL581" s="1207"/>
      <c r="AN581" s="1296"/>
    </row>
    <row r="582" spans="1:53" s="1222" customFormat="1" ht="12.75" customHeight="1">
      <c r="B582" s="1207"/>
      <c r="C582" s="1554"/>
      <c r="D582" s="1317"/>
      <c r="E582" s="1359" t="s">
        <v>2016</v>
      </c>
      <c r="F582" s="1553"/>
      <c r="G582" s="1553"/>
      <c r="H582" s="1553"/>
      <c r="I582" s="1553"/>
      <c r="J582" s="1553"/>
      <c r="K582" s="1553"/>
      <c r="L582" s="1553"/>
      <c r="M582" s="1553"/>
      <c r="N582" s="1553"/>
      <c r="O582" s="1553"/>
      <c r="P582" s="1553"/>
      <c r="Q582" s="1553"/>
      <c r="R582" s="1553"/>
      <c r="S582" s="1553"/>
      <c r="T582" s="1553"/>
      <c r="U582" s="1553"/>
      <c r="V582" s="1553"/>
      <c r="W582" s="1553"/>
      <c r="X582" s="1553"/>
      <c r="Y582" s="1553"/>
      <c r="Z582" s="1553"/>
      <c r="AA582" s="1553"/>
      <c r="AB582" s="1553"/>
      <c r="AC582" s="1207"/>
      <c r="AD582" s="1207"/>
      <c r="AE582" s="1207"/>
      <c r="AF582" s="1207"/>
      <c r="AG582" s="1207"/>
      <c r="AH582" s="1207"/>
      <c r="AI582" s="1207"/>
      <c r="AJ582" s="1207"/>
      <c r="AK582" s="1207"/>
      <c r="AL582" s="1207"/>
      <c r="AN582" s="1296"/>
    </row>
    <row r="583" spans="1:53" s="1222" customFormat="1" ht="12.75" customHeight="1">
      <c r="B583" s="1207"/>
      <c r="C583" s="1554"/>
      <c r="D583" s="1317"/>
      <c r="E583" s="1359" t="s">
        <v>2018</v>
      </c>
      <c r="F583" s="1553"/>
      <c r="G583" s="1553"/>
      <c r="H583" s="1553"/>
      <c r="I583" s="1553"/>
      <c r="J583" s="1553"/>
      <c r="K583" s="1553"/>
      <c r="L583" s="1553"/>
      <c r="M583" s="1553"/>
      <c r="N583" s="1553"/>
      <c r="O583" s="1553"/>
      <c r="P583" s="1553"/>
      <c r="Q583" s="1553"/>
      <c r="R583" s="1553"/>
      <c r="S583" s="1553"/>
      <c r="T583" s="1553"/>
      <c r="U583" s="1553"/>
      <c r="V583" s="1553"/>
      <c r="W583" s="1553"/>
      <c r="X583" s="1553"/>
      <c r="Y583" s="1553"/>
      <c r="Z583" s="1553"/>
      <c r="AA583" s="1553"/>
      <c r="AB583" s="1553"/>
      <c r="AC583" s="1207"/>
      <c r="AD583" s="1207"/>
      <c r="AE583" s="1207"/>
      <c r="AF583" s="1207"/>
      <c r="AG583" s="1207"/>
      <c r="AH583" s="1207"/>
      <c r="AI583" s="1207"/>
      <c r="AJ583" s="1207"/>
      <c r="AK583" s="1207"/>
      <c r="AL583" s="1207"/>
      <c r="AN583" s="1296"/>
    </row>
    <row r="584" spans="1:53" s="1222" customFormat="1" ht="12.75" customHeight="1">
      <c r="B584" s="1207"/>
      <c r="C584" s="1554"/>
      <c r="D584" s="1317"/>
      <c r="E584" s="1359" t="s">
        <v>2017</v>
      </c>
      <c r="F584" s="1553"/>
      <c r="G584" s="1553"/>
      <c r="H584" s="1553"/>
      <c r="I584" s="1553"/>
      <c r="J584" s="1553"/>
      <c r="K584" s="1553"/>
      <c r="L584" s="1553"/>
      <c r="M584" s="1553"/>
      <c r="N584" s="1553"/>
      <c r="O584" s="1553"/>
      <c r="P584" s="1553"/>
      <c r="Q584" s="1553"/>
      <c r="R584" s="1553"/>
      <c r="S584" s="1553"/>
      <c r="T584" s="1553"/>
      <c r="U584" s="1553"/>
      <c r="V584" s="1553"/>
      <c r="W584" s="1553"/>
      <c r="X584" s="1553"/>
      <c r="Y584" s="1553"/>
      <c r="Z584" s="1553"/>
      <c r="AA584" s="1553"/>
      <c r="AB584" s="1553"/>
      <c r="AC584" s="1207"/>
      <c r="AD584" s="1207"/>
      <c r="AE584" s="1207"/>
      <c r="AF584" s="1207"/>
      <c r="AG584" s="1207"/>
      <c r="AH584" s="1207"/>
      <c r="AI584" s="1207"/>
      <c r="AJ584" s="1207"/>
      <c r="AK584" s="1207"/>
      <c r="AL584" s="1207"/>
      <c r="AN584" s="1296"/>
    </row>
    <row r="585" spans="1:53" s="1222" customFormat="1" ht="12.75" customHeight="1">
      <c r="A585" s="1205"/>
      <c r="B585" s="1205"/>
      <c r="C585" s="1205"/>
      <c r="D585" s="1317"/>
      <c r="E585" s="1558"/>
      <c r="F585" s="1205"/>
      <c r="G585" s="1205"/>
      <c r="H585" s="1205"/>
      <c r="I585" s="1205"/>
      <c r="J585" s="1205"/>
      <c r="K585" s="1205"/>
      <c r="L585" s="1205"/>
      <c r="M585" s="1205"/>
      <c r="N585" s="1205"/>
      <c r="O585" s="1205"/>
      <c r="P585" s="1205"/>
      <c r="Q585" s="1205"/>
      <c r="R585" s="1205"/>
      <c r="S585" s="1205"/>
      <c r="T585" s="1205"/>
      <c r="U585" s="1205"/>
      <c r="V585" s="1205"/>
      <c r="W585" s="1205"/>
      <c r="X585" s="1205"/>
      <c r="Y585" s="1205"/>
      <c r="Z585" s="1205"/>
      <c r="AA585" s="1205"/>
      <c r="AB585" s="1205"/>
      <c r="AC585" s="1207"/>
      <c r="AD585" s="1207"/>
      <c r="AE585" s="1205"/>
      <c r="AF585" s="1207"/>
      <c r="AG585" s="1207"/>
      <c r="AH585" s="1207"/>
      <c r="AI585" s="1207"/>
      <c r="AJ585" s="1207"/>
      <c r="AK585" s="1207"/>
      <c r="AL585" s="1207"/>
      <c r="AM585" s="1205"/>
      <c r="AN585" s="1296"/>
    </row>
    <row r="586" spans="1:53" s="1222" customFormat="1" ht="12.75" customHeight="1">
      <c r="B586" s="1207"/>
      <c r="C586" s="1552"/>
      <c r="D586" s="1317" t="s">
        <v>1588</v>
      </c>
      <c r="E586" s="1359" t="s">
        <v>2020</v>
      </c>
      <c r="F586" s="1553"/>
      <c r="G586" s="1553"/>
      <c r="H586" s="1553"/>
      <c r="I586" s="1553"/>
      <c r="J586" s="1553"/>
      <c r="K586" s="1553"/>
      <c r="L586" s="1553"/>
      <c r="M586" s="1553"/>
      <c r="N586" s="1553"/>
      <c r="O586" s="1553"/>
      <c r="P586" s="1553"/>
      <c r="Q586" s="1553"/>
      <c r="R586" s="1553"/>
      <c r="S586" s="1553"/>
      <c r="T586" s="1553"/>
      <c r="U586" s="1553"/>
      <c r="V586" s="1553"/>
      <c r="W586" s="1553"/>
      <c r="X586" s="1553"/>
      <c r="Y586" s="1553"/>
      <c r="Z586" s="1553"/>
      <c r="AA586" s="1553"/>
      <c r="AB586" s="1553"/>
      <c r="AC586" s="1207"/>
      <c r="AD586" s="1207"/>
      <c r="AE586" s="1207"/>
      <c r="AF586" s="2476" t="s">
        <v>1590</v>
      </c>
      <c r="AG586" s="2476"/>
      <c r="AH586" s="2476"/>
      <c r="AI586" s="2476"/>
      <c r="AJ586" s="2476"/>
      <c r="AK586" s="2476"/>
      <c r="AL586" s="2476"/>
      <c r="AN586" s="1296"/>
      <c r="AO586" s="1222" t="str">
        <f>X623</f>
        <v>N/A</v>
      </c>
    </row>
    <row r="587" spans="1:53" s="1222" customFormat="1" ht="12.75" customHeight="1">
      <c r="B587" s="1207"/>
      <c r="C587" s="1554"/>
      <c r="D587" s="1317"/>
      <c r="E587" s="1359" t="s">
        <v>2021</v>
      </c>
      <c r="F587" s="1553"/>
      <c r="G587" s="1553"/>
      <c r="H587" s="1553"/>
      <c r="I587" s="1553"/>
      <c r="J587" s="1553"/>
      <c r="K587" s="1553"/>
      <c r="L587" s="1553"/>
      <c r="M587" s="1553"/>
      <c r="N587" s="1553"/>
      <c r="O587" s="1553"/>
      <c r="P587" s="1553"/>
      <c r="Q587" s="1553"/>
      <c r="R587" s="1553"/>
      <c r="S587" s="1553"/>
      <c r="T587" s="1553"/>
      <c r="U587" s="1553"/>
      <c r="V587" s="1553"/>
      <c r="W587" s="1553"/>
      <c r="X587" s="1553"/>
      <c r="Y587" s="1553"/>
      <c r="Z587" s="1553"/>
      <c r="AA587" s="1553"/>
      <c r="AB587" s="1553"/>
      <c r="AC587" s="1205"/>
      <c r="AD587" s="1205"/>
      <c r="AE587" s="1207"/>
      <c r="AF587" s="1207"/>
      <c r="AG587" s="1207"/>
      <c r="AH587" s="1207"/>
      <c r="AI587" s="1207"/>
      <c r="AJ587" s="1207"/>
      <c r="AK587" s="1207"/>
      <c r="AL587" s="1207"/>
      <c r="AN587" s="1296"/>
      <c r="AU587" s="1289"/>
      <c r="AV587" s="1289"/>
      <c r="AW587" s="1289"/>
      <c r="AX587" s="1289"/>
      <c r="AY587" s="1289"/>
      <c r="AZ587" s="1289"/>
      <c r="BA587" s="1289"/>
    </row>
    <row r="588" spans="1:53" s="1222" customFormat="1" ht="12.75" customHeight="1">
      <c r="B588" s="1304"/>
      <c r="C588" s="1552"/>
      <c r="D588" s="1317"/>
      <c r="E588" s="1359" t="s">
        <v>2022</v>
      </c>
      <c r="F588" s="1553"/>
      <c r="G588" s="1553"/>
      <c r="H588" s="1553"/>
      <c r="I588" s="1553"/>
      <c r="J588" s="1553"/>
      <c r="K588" s="1553"/>
      <c r="L588" s="1553"/>
      <c r="M588" s="1553"/>
      <c r="N588" s="1553"/>
      <c r="O588" s="1553"/>
      <c r="P588" s="1553"/>
      <c r="Q588" s="1553"/>
      <c r="R588" s="1553"/>
      <c r="S588" s="1553"/>
      <c r="T588" s="1553"/>
      <c r="U588" s="1553"/>
      <c r="V588" s="1553"/>
      <c r="W588" s="1553"/>
      <c r="X588" s="1553"/>
      <c r="Y588" s="1553"/>
      <c r="Z588" s="1553"/>
      <c r="AA588" s="1553"/>
      <c r="AB588" s="1553"/>
      <c r="AC588" s="1207"/>
      <c r="AD588" s="1207"/>
      <c r="AE588" s="1207"/>
      <c r="AF588" s="1207"/>
      <c r="AG588" s="1207"/>
      <c r="AH588" s="1207"/>
      <c r="AI588" s="1207"/>
      <c r="AJ588" s="1207"/>
      <c r="AK588" s="1207"/>
      <c r="AL588" s="1207"/>
      <c r="AN588" s="1296"/>
    </row>
    <row r="589" spans="1:53" s="1222" customFormat="1" ht="12.75" customHeight="1">
      <c r="B589" s="1304"/>
      <c r="C589" s="1552"/>
      <c r="D589" s="1317"/>
      <c r="E589" s="1359"/>
      <c r="F589" s="1553"/>
      <c r="G589" s="1553"/>
      <c r="H589" s="1553"/>
      <c r="I589" s="1553"/>
      <c r="J589" s="1553"/>
      <c r="K589" s="1553"/>
      <c r="L589" s="1553"/>
      <c r="M589" s="1553"/>
      <c r="N589" s="1553"/>
      <c r="O589" s="1553"/>
      <c r="P589" s="1553"/>
      <c r="Q589" s="1553"/>
      <c r="R589" s="1553"/>
      <c r="S589" s="1553"/>
      <c r="T589" s="1553"/>
      <c r="U589" s="1553"/>
      <c r="V589" s="1553"/>
      <c r="W589" s="1553"/>
      <c r="X589" s="1553"/>
      <c r="Y589" s="1553"/>
      <c r="Z589" s="1553"/>
      <c r="AA589" s="1553"/>
      <c r="AB589" s="1553"/>
      <c r="AC589" s="1207"/>
      <c r="AD589" s="1207"/>
      <c r="AE589" s="1207"/>
      <c r="AF589" s="1207"/>
      <c r="AG589" s="1207"/>
      <c r="AH589" s="1207"/>
      <c r="AI589" s="1207"/>
      <c r="AJ589" s="1207"/>
      <c r="AK589" s="1207"/>
      <c r="AL589" s="1207"/>
      <c r="AN589" s="1296"/>
    </row>
    <row r="590" spans="1:53" s="1222" customFormat="1" ht="12.75" customHeight="1">
      <c r="B590" s="1304"/>
      <c r="C590" s="1552"/>
      <c r="D590" s="1317"/>
      <c r="E590" s="1207" t="s">
        <v>2180</v>
      </c>
      <c r="O590" s="2484" t="s">
        <v>1345</v>
      </c>
      <c r="P590" s="2484"/>
      <c r="Q590" s="2484"/>
      <c r="R590" s="2484"/>
      <c r="S590" s="2484"/>
      <c r="T590" s="2484"/>
      <c r="U590" s="2484"/>
      <c r="V590" s="2484"/>
      <c r="W590" s="2484"/>
      <c r="X590" s="2484"/>
      <c r="Y590" s="2484"/>
      <c r="Z590" s="2484"/>
      <c r="AA590" s="2484"/>
      <c r="AB590" s="2484"/>
      <c r="AH590" s="1207"/>
      <c r="AI590" s="1207"/>
      <c r="AJ590" s="1207"/>
      <c r="AK590" s="1207"/>
      <c r="AL590" s="1207"/>
      <c r="AN590" s="1296"/>
    </row>
    <row r="591" spans="1:53" s="1222" customFormat="1" ht="12.75" customHeight="1">
      <c r="B591" s="1304"/>
      <c r="C591" s="1552"/>
      <c r="D591" s="1317"/>
      <c r="E591" s="1359"/>
      <c r="F591" s="1553"/>
      <c r="G591" s="1553"/>
      <c r="H591" s="1553"/>
      <c r="I591" s="1553"/>
      <c r="J591" s="1553"/>
      <c r="K591" s="1553"/>
      <c r="L591" s="1553"/>
      <c r="M591" s="1553"/>
      <c r="N591" s="1553"/>
      <c r="O591" s="1553"/>
      <c r="P591" s="1553"/>
      <c r="Q591" s="1553"/>
      <c r="R591" s="1553"/>
      <c r="S591" s="1553"/>
      <c r="T591" s="1553"/>
      <c r="U591" s="1553"/>
      <c r="V591" s="1553"/>
      <c r="W591" s="1553"/>
      <c r="X591" s="1553"/>
      <c r="Y591" s="1553"/>
      <c r="Z591" s="1553"/>
      <c r="AA591" s="1553"/>
      <c r="AB591" s="1553"/>
      <c r="AC591" s="1207"/>
      <c r="AD591" s="1207"/>
      <c r="AE591" s="1207"/>
      <c r="AF591" s="1207"/>
      <c r="AG591" s="1207"/>
      <c r="AH591" s="1207"/>
      <c r="AI591" s="1207"/>
      <c r="AJ591" s="1207"/>
      <c r="AK591" s="1207"/>
      <c r="AL591" s="1207"/>
      <c r="AN591" s="1296"/>
    </row>
    <row r="592" spans="1:53" s="1222" customFormat="1" ht="12.75" customHeight="1">
      <c r="B592" s="1207"/>
      <c r="C592" s="1552"/>
      <c r="D592" s="1317" t="s">
        <v>1589</v>
      </c>
      <c r="E592" s="1359" t="s">
        <v>2024</v>
      </c>
      <c r="F592" s="1553"/>
      <c r="G592" s="1553"/>
      <c r="H592" s="1553"/>
      <c r="I592" s="1553"/>
      <c r="J592" s="1553"/>
      <c r="K592" s="1553"/>
      <c r="L592" s="1553"/>
      <c r="M592" s="1553"/>
      <c r="N592" s="1553"/>
      <c r="O592" s="1553"/>
      <c r="P592" s="1553"/>
      <c r="Q592" s="1553"/>
      <c r="R592" s="1553"/>
      <c r="S592" s="1553"/>
      <c r="T592" s="1553"/>
      <c r="U592" s="1553"/>
      <c r="V592" s="1553"/>
      <c r="W592" s="1553"/>
      <c r="X592" s="1553"/>
      <c r="Y592" s="1553"/>
      <c r="Z592" s="1553"/>
      <c r="AA592" s="1553"/>
      <c r="AB592" s="1553"/>
      <c r="AC592" s="1207"/>
      <c r="AD592" s="1207"/>
      <c r="AE592" s="1207"/>
      <c r="AF592" s="2476" t="s">
        <v>1543</v>
      </c>
      <c r="AG592" s="2476"/>
      <c r="AH592" s="2476"/>
      <c r="AI592" s="2476"/>
      <c r="AJ592" s="2476"/>
      <c r="AK592" s="2476"/>
      <c r="AL592" s="2476"/>
      <c r="AN592" s="1296"/>
    </row>
    <row r="593" spans="2:47" s="1222" customFormat="1" ht="12.75" customHeight="1">
      <c r="B593" s="1207"/>
      <c r="C593" s="1552"/>
      <c r="D593" s="1317"/>
      <c r="E593" s="1359" t="s">
        <v>2023</v>
      </c>
      <c r="F593" s="1553"/>
      <c r="G593" s="1553"/>
      <c r="H593" s="1553"/>
      <c r="I593" s="1553"/>
      <c r="J593" s="1553"/>
      <c r="K593" s="1553"/>
      <c r="L593" s="1553"/>
      <c r="M593" s="1553"/>
      <c r="N593" s="1553"/>
      <c r="O593" s="1553"/>
      <c r="P593" s="1553"/>
      <c r="Q593" s="1553"/>
      <c r="R593" s="1553"/>
      <c r="S593" s="1553"/>
      <c r="T593" s="1553"/>
      <c r="U593" s="1553"/>
      <c r="V593" s="1553"/>
      <c r="W593" s="1553"/>
      <c r="X593" s="1553"/>
      <c r="Y593" s="1553"/>
      <c r="Z593" s="1553"/>
      <c r="AA593" s="1553"/>
      <c r="AB593" s="1553"/>
      <c r="AC593" s="1207"/>
      <c r="AD593" s="1207"/>
      <c r="AE593" s="1289"/>
      <c r="AF593" s="1207"/>
      <c r="AG593" s="1207"/>
      <c r="AH593" s="1207"/>
      <c r="AI593" s="1207"/>
      <c r="AJ593" s="1207"/>
      <c r="AK593" s="1207"/>
      <c r="AL593" s="1207"/>
      <c r="AN593" s="1296"/>
    </row>
    <row r="594" spans="2:47" s="1222" customFormat="1" ht="12.75" customHeight="1">
      <c r="B594" s="1207"/>
      <c r="C594" s="1554"/>
      <c r="D594" s="1207"/>
      <c r="E594" s="1310"/>
      <c r="F594" s="1559"/>
      <c r="G594" s="1559"/>
      <c r="H594" s="1559"/>
      <c r="I594" s="1559"/>
      <c r="J594" s="1559"/>
      <c r="K594" s="1559"/>
      <c r="L594" s="1559"/>
      <c r="M594" s="1559"/>
      <c r="N594" s="1559"/>
      <c r="O594" s="1559"/>
      <c r="P594" s="1559"/>
      <c r="Q594" s="1559"/>
      <c r="R594" s="1559"/>
      <c r="S594" s="1559"/>
      <c r="T594" s="1559"/>
      <c r="U594" s="1559"/>
      <c r="V594" s="1559"/>
      <c r="W594" s="1559"/>
      <c r="X594" s="1559"/>
      <c r="Y594" s="1559"/>
      <c r="Z594" s="1559"/>
      <c r="AA594" s="1559"/>
      <c r="AB594" s="1559"/>
      <c r="AC594" s="1207"/>
      <c r="AD594" s="1207"/>
      <c r="AE594" s="1207"/>
      <c r="AF594" s="1207"/>
      <c r="AG594" s="1207"/>
      <c r="AH594" s="1207"/>
      <c r="AI594" s="1207"/>
      <c r="AJ594" s="1207"/>
      <c r="AK594" s="1207"/>
      <c r="AL594" s="1207"/>
      <c r="AN594" s="1296"/>
      <c r="AO594" s="1222" t="s">
        <v>616</v>
      </c>
      <c r="AP594" s="1555">
        <v>0</v>
      </c>
      <c r="AT594" s="1222" t="s">
        <v>616</v>
      </c>
      <c r="AU594" s="1555">
        <v>0</v>
      </c>
    </row>
    <row r="595" spans="2:47" s="1222" customFormat="1" ht="12.75" customHeight="1">
      <c r="B595" s="1207"/>
      <c r="C595" s="1554"/>
      <c r="D595" s="1207" t="s">
        <v>1591</v>
      </c>
      <c r="E595" s="1559"/>
      <c r="F595" s="1559"/>
      <c r="G595" s="1559"/>
      <c r="H595" s="2477" t="s">
        <v>713</v>
      </c>
      <c r="I595" s="2477"/>
      <c r="J595" s="1559"/>
      <c r="K595" s="1559"/>
      <c r="L595" s="1559"/>
      <c r="M595" s="1559"/>
      <c r="N595" s="1207"/>
      <c r="O595" s="1207"/>
      <c r="P595" s="1207"/>
      <c r="Q595" s="1207"/>
      <c r="R595" s="1207"/>
      <c r="S595" s="1207"/>
      <c r="T595" s="1207"/>
      <c r="U595" s="1207"/>
      <c r="V595" s="1207"/>
      <c r="W595" s="1207"/>
      <c r="X595" s="1207"/>
      <c r="Y595" s="1207"/>
      <c r="Z595" s="1207"/>
      <c r="AA595" s="1207"/>
      <c r="AB595" s="1207"/>
      <c r="AC595" s="1207"/>
      <c r="AD595" s="1207"/>
      <c r="AE595" s="1207"/>
      <c r="AF595" s="1207"/>
      <c r="AG595" s="1207"/>
      <c r="AH595" s="1207"/>
      <c r="AI595" s="1207"/>
      <c r="AJ595" s="1207"/>
      <c r="AK595" s="1207"/>
      <c r="AL595" s="1207"/>
      <c r="AN595" s="1296"/>
      <c r="AO595" s="1305" t="s">
        <v>713</v>
      </c>
      <c r="AP595" s="1222">
        <v>3</v>
      </c>
      <c r="AT595" s="1305" t="s">
        <v>713</v>
      </c>
      <c r="AU595" s="1222">
        <v>3</v>
      </c>
    </row>
    <row r="596" spans="2:47" s="1222" customFormat="1" ht="12.75" customHeight="1">
      <c r="B596" s="1207"/>
      <c r="C596" s="1554"/>
      <c r="D596" s="1207"/>
      <c r="E596" s="1559"/>
      <c r="F596" s="1559"/>
      <c r="G596" s="1559"/>
      <c r="H596" s="1559"/>
      <c r="I596" s="1559"/>
      <c r="J596" s="1559"/>
      <c r="K596" s="1559"/>
      <c r="L596" s="1559"/>
      <c r="M596" s="1559"/>
      <c r="N596" s="1207"/>
      <c r="O596" s="1207"/>
      <c r="P596" s="1207"/>
      <c r="Q596" s="1207"/>
      <c r="R596" s="1207"/>
      <c r="S596" s="1207"/>
      <c r="T596" s="1207"/>
      <c r="U596" s="1207"/>
      <c r="V596" s="1207"/>
      <c r="W596" s="1207"/>
      <c r="X596" s="1207"/>
      <c r="Y596" s="1207"/>
      <c r="Z596" s="1207"/>
      <c r="AA596" s="1207"/>
      <c r="AB596" s="1207"/>
      <c r="AC596" s="1207"/>
      <c r="AD596" s="1207"/>
      <c r="AE596" s="1207"/>
      <c r="AF596" s="1207"/>
      <c r="AG596" s="1207"/>
      <c r="AH596" s="1207"/>
      <c r="AI596" s="1207"/>
      <c r="AJ596" s="1207"/>
      <c r="AK596" s="1207"/>
      <c r="AL596" s="1207"/>
      <c r="AN596" s="1296"/>
      <c r="AO596" s="1305" t="s">
        <v>533</v>
      </c>
      <c r="AP596" s="1222">
        <v>2</v>
      </c>
      <c r="AT596" s="1305" t="s">
        <v>533</v>
      </c>
      <c r="AU596" s="1222">
        <v>2</v>
      </c>
    </row>
    <row r="597" spans="2:47" s="1222" customFormat="1" ht="12.75" customHeight="1">
      <c r="B597" s="1207"/>
      <c r="C597" s="1554"/>
      <c r="D597" s="1207"/>
      <c r="E597" s="1559"/>
      <c r="F597" s="1559"/>
      <c r="G597" s="1559"/>
      <c r="H597" s="1559"/>
      <c r="I597" s="1559"/>
      <c r="J597" s="1559"/>
      <c r="K597" s="1559"/>
      <c r="L597" s="1559"/>
      <c r="M597" s="1559"/>
      <c r="N597" s="1207"/>
      <c r="O597" s="1207"/>
      <c r="P597" s="1207"/>
      <c r="Q597" s="1207"/>
      <c r="R597" s="1207"/>
      <c r="S597" s="1207"/>
      <c r="T597" s="1207"/>
      <c r="U597" s="1207"/>
      <c r="V597" s="1207"/>
      <c r="W597" s="1207"/>
      <c r="X597" s="1207"/>
      <c r="Y597" s="1207"/>
      <c r="Z597" s="1207"/>
      <c r="AA597" s="1207"/>
      <c r="AB597" s="1207"/>
      <c r="AC597" s="1207"/>
      <c r="AD597" s="1207"/>
      <c r="AE597" s="1207"/>
      <c r="AF597" s="1207"/>
      <c r="AG597" s="1207"/>
      <c r="AH597" s="1207"/>
      <c r="AI597" s="1207"/>
      <c r="AJ597" s="1207"/>
      <c r="AK597" s="1207"/>
      <c r="AL597" s="1207"/>
      <c r="AN597" s="1296"/>
      <c r="AO597" s="1305"/>
      <c r="AT597" s="1305"/>
    </row>
    <row r="598" spans="2:47" s="1222" customFormat="1" ht="12.75" customHeight="1">
      <c r="B598" s="1207"/>
      <c r="C598" s="1554"/>
      <c r="D598" s="1207" t="s">
        <v>2025</v>
      </c>
      <c r="E598" s="1559"/>
      <c r="F598" s="1559"/>
      <c r="G598" s="1559"/>
      <c r="H598" s="1559"/>
      <c r="I598" s="1559"/>
      <c r="J598" s="1559"/>
      <c r="K598" s="1559"/>
      <c r="L598" s="1559"/>
      <c r="M598" s="1559"/>
      <c r="N598" s="1207"/>
      <c r="O598" s="1207"/>
      <c r="P598" s="1207"/>
      <c r="Q598" s="1207"/>
      <c r="R598" s="1207"/>
      <c r="S598" s="1207"/>
      <c r="T598" s="1207"/>
      <c r="U598" s="1207"/>
      <c r="V598" s="1207"/>
      <c r="W598" s="1207"/>
      <c r="X598" s="1207"/>
      <c r="Y598" s="1207"/>
      <c r="Z598" s="1207"/>
      <c r="AA598" s="1207"/>
      <c r="AB598" s="1207"/>
      <c r="AC598" s="1207"/>
      <c r="AD598" s="1207"/>
      <c r="AE598" s="1207"/>
      <c r="AF598" s="1207"/>
      <c r="AG598" s="1207"/>
      <c r="AH598" s="1207"/>
      <c r="AI598" s="1207"/>
      <c r="AJ598" s="1207"/>
      <c r="AK598" s="1207"/>
      <c r="AL598" s="1207"/>
      <c r="AN598" s="1296"/>
    </row>
    <row r="599" spans="2:47" s="1222" customFormat="1" ht="12.75" customHeight="1">
      <c r="B599" s="1207"/>
      <c r="C599" s="1554"/>
      <c r="D599" s="1207" t="s">
        <v>2026</v>
      </c>
      <c r="E599" s="1559"/>
      <c r="F599" s="1559"/>
      <c r="G599" s="1559"/>
      <c r="H599" s="1559"/>
      <c r="I599" s="1559"/>
      <c r="J599" s="1559"/>
      <c r="K599" s="1559"/>
      <c r="L599" s="1559"/>
      <c r="M599" s="1559"/>
      <c r="N599" s="1207"/>
      <c r="O599" s="1207"/>
      <c r="P599" s="1207"/>
      <c r="Q599" s="1207"/>
      <c r="R599" s="1207"/>
      <c r="S599" s="1207"/>
      <c r="T599" s="1207"/>
      <c r="U599" s="1207"/>
      <c r="V599" s="1207"/>
      <c r="W599" s="1207"/>
      <c r="X599" s="1207"/>
      <c r="Y599" s="1207"/>
      <c r="Z599" s="1207"/>
      <c r="AA599" s="1207"/>
      <c r="AB599" s="1207"/>
      <c r="AC599" s="1207"/>
      <c r="AD599" s="1207"/>
      <c r="AE599" s="1207"/>
      <c r="AF599" s="1207"/>
      <c r="AG599" s="1207"/>
      <c r="AH599" s="1207"/>
      <c r="AI599" s="1207"/>
      <c r="AJ599" s="1207"/>
      <c r="AK599" s="1207"/>
      <c r="AL599" s="1207"/>
      <c r="AN599" s="1296"/>
    </row>
    <row r="600" spans="2:47" s="1222" customFormat="1" ht="12.75" customHeight="1">
      <c r="B600" s="1207"/>
      <c r="C600" s="1554"/>
      <c r="D600" s="1207" t="s">
        <v>2027</v>
      </c>
      <c r="E600" s="1559"/>
      <c r="F600" s="1559"/>
      <c r="G600" s="1559"/>
      <c r="H600" s="1559"/>
      <c r="I600" s="1559"/>
      <c r="J600" s="1559"/>
      <c r="K600" s="1559"/>
      <c r="L600" s="1559"/>
      <c r="M600" s="1559"/>
      <c r="N600" s="1207"/>
      <c r="O600" s="1207"/>
      <c r="P600" s="1207"/>
      <c r="Q600" s="1207"/>
      <c r="R600" s="1207"/>
      <c r="S600" s="1207"/>
      <c r="T600" s="1207"/>
      <c r="U600" s="1207"/>
      <c r="V600" s="1207"/>
      <c r="W600" s="1207"/>
      <c r="X600" s="1207"/>
      <c r="Y600" s="1207"/>
      <c r="Z600" s="1207"/>
      <c r="AA600" s="1207"/>
      <c r="AB600" s="1207"/>
      <c r="AC600" s="1207"/>
      <c r="AD600" s="1207"/>
      <c r="AE600" s="1207"/>
      <c r="AF600" s="1207"/>
      <c r="AG600" s="1207"/>
      <c r="AH600" s="1207"/>
      <c r="AI600" s="1207"/>
      <c r="AJ600" s="1207"/>
      <c r="AK600" s="1207"/>
      <c r="AL600" s="1207"/>
      <c r="AN600" s="1296"/>
    </row>
    <row r="601" spans="2:47" s="1222" customFormat="1" ht="12.75" customHeight="1">
      <c r="B601" s="1207"/>
      <c r="C601" s="1554"/>
      <c r="D601" s="1288" t="s">
        <v>2028</v>
      </c>
      <c r="E601" s="1559"/>
      <c r="F601" s="1559"/>
      <c r="G601" s="1559"/>
      <c r="H601" s="1559"/>
      <c r="I601" s="1559"/>
      <c r="J601" s="1559"/>
      <c r="K601" s="1559"/>
      <c r="L601" s="1559"/>
      <c r="M601" s="1559"/>
      <c r="N601" s="1207"/>
      <c r="O601" s="1207"/>
      <c r="P601" s="1207"/>
      <c r="Q601" s="1207"/>
      <c r="R601" s="1207"/>
      <c r="S601" s="1207"/>
      <c r="T601" s="1207"/>
      <c r="U601" s="1207"/>
      <c r="V601" s="1207"/>
      <c r="W601" s="1207"/>
      <c r="X601" s="1207"/>
      <c r="Y601" s="1207"/>
      <c r="Z601" s="1207"/>
      <c r="AA601" s="1207"/>
      <c r="AB601" s="1207"/>
      <c r="AC601" s="1207"/>
      <c r="AD601" s="1207"/>
      <c r="AE601" s="1207"/>
      <c r="AF601" s="1207"/>
      <c r="AG601" s="1207"/>
      <c r="AH601" s="1207"/>
      <c r="AI601" s="1207"/>
      <c r="AJ601" s="1207"/>
      <c r="AK601" s="1207"/>
      <c r="AL601" s="1207"/>
      <c r="AN601" s="1296"/>
    </row>
    <row r="602" spans="2:47" s="1222" customFormat="1" ht="12.75" customHeight="1">
      <c r="B602" s="1207"/>
      <c r="C602" s="1554"/>
      <c r="D602" s="1207"/>
      <c r="E602" s="1207"/>
      <c r="F602" s="1207"/>
      <c r="G602" s="1207"/>
      <c r="H602" s="1207"/>
      <c r="I602" s="1207"/>
      <c r="J602" s="1207"/>
      <c r="K602" s="1207"/>
      <c r="L602" s="1207"/>
      <c r="M602" s="1207"/>
      <c r="N602" s="1207"/>
      <c r="O602" s="1207"/>
      <c r="P602" s="1207"/>
      <c r="Q602" s="1207"/>
      <c r="R602" s="1207"/>
      <c r="S602" s="1207"/>
      <c r="T602" s="1207"/>
      <c r="U602" s="1207"/>
      <c r="V602" s="1207"/>
      <c r="W602" s="1207"/>
      <c r="X602" s="1207"/>
      <c r="Y602" s="1207"/>
      <c r="Z602" s="1207"/>
      <c r="AA602" s="1207"/>
      <c r="AB602" s="1207"/>
      <c r="AC602" s="1207"/>
      <c r="AD602" s="1207"/>
      <c r="AE602" s="1207"/>
      <c r="AF602" s="1207"/>
      <c r="AG602" s="1207"/>
      <c r="AH602" s="1207"/>
      <c r="AI602" s="1207"/>
      <c r="AJ602" s="1207"/>
      <c r="AK602" s="1207"/>
      <c r="AL602" s="1207"/>
      <c r="AN602" s="1296"/>
      <c r="AO602" s="1222" t="s">
        <v>616</v>
      </c>
      <c r="AP602" s="1555">
        <v>0</v>
      </c>
    </row>
    <row r="603" spans="2:47" s="1222" customFormat="1" ht="12.75" customHeight="1">
      <c r="B603" s="1207"/>
      <c r="C603" s="1554"/>
      <c r="D603" s="1207"/>
      <c r="E603" s="1207" t="s">
        <v>1591</v>
      </c>
      <c r="F603" s="1559"/>
      <c r="G603" s="1559"/>
      <c r="I603" s="2485" t="s">
        <v>616</v>
      </c>
      <c r="J603" s="2485"/>
      <c r="K603" s="2485"/>
      <c r="L603" s="2485"/>
      <c r="M603" s="2485"/>
      <c r="N603" s="2485"/>
      <c r="O603" s="2485"/>
      <c r="P603" s="2485"/>
      <c r="Q603" s="2485"/>
      <c r="R603" s="2485"/>
      <c r="S603" s="2485"/>
      <c r="T603" s="2485"/>
      <c r="U603" s="2485"/>
      <c r="V603" s="2485"/>
      <c r="W603" s="2485"/>
      <c r="X603" s="2485"/>
      <c r="Y603" s="2485"/>
      <c r="Z603" s="2485"/>
      <c r="AA603" s="2485"/>
      <c r="AB603" s="2485"/>
      <c r="AC603" s="2485"/>
      <c r="AD603" s="2485"/>
      <c r="AE603" s="2485"/>
      <c r="AF603" s="1207"/>
      <c r="AG603" s="1207"/>
      <c r="AH603" s="1207"/>
      <c r="AI603" s="1207"/>
      <c r="AJ603" s="1207"/>
      <c r="AK603" s="1207"/>
      <c r="AL603" s="1207"/>
      <c r="AN603" s="1296"/>
      <c r="AO603" s="1222" t="s">
        <v>1592</v>
      </c>
      <c r="AP603" s="1222">
        <v>3</v>
      </c>
    </row>
    <row r="604" spans="2:47" s="1222" customFormat="1" ht="12.75" customHeight="1">
      <c r="B604" s="1207"/>
      <c r="C604" s="1207"/>
      <c r="D604" s="1207"/>
      <c r="E604" s="1207"/>
      <c r="F604" s="1294"/>
      <c r="G604" s="1294"/>
      <c r="H604" s="1294"/>
      <c r="I604" s="1294"/>
      <c r="J604" s="1294"/>
      <c r="K604" s="1294"/>
      <c r="L604" s="1294"/>
      <c r="M604" s="1294"/>
      <c r="N604" s="1294"/>
      <c r="O604" s="1294"/>
      <c r="P604" s="1294"/>
      <c r="Q604" s="1294"/>
      <c r="R604" s="1294"/>
      <c r="S604" s="1294"/>
      <c r="T604" s="1294"/>
      <c r="U604" s="1294"/>
      <c r="V604" s="1294"/>
      <c r="W604" s="1294"/>
      <c r="X604" s="1294"/>
      <c r="Y604" s="1294"/>
      <c r="Z604" s="1294"/>
      <c r="AA604" s="1294"/>
      <c r="AB604" s="1294"/>
      <c r="AC604" s="1294"/>
      <c r="AD604" s="1294"/>
      <c r="AE604" s="1294"/>
      <c r="AF604" s="1294"/>
      <c r="AG604" s="1294"/>
      <c r="AH604" s="1294"/>
      <c r="AI604" s="1294"/>
      <c r="AJ604" s="1294"/>
      <c r="AK604" s="1294"/>
      <c r="AL604" s="1294"/>
      <c r="AN604" s="1296"/>
      <c r="AO604" s="1222" t="s">
        <v>1593</v>
      </c>
      <c r="AP604" s="1222">
        <v>2</v>
      </c>
    </row>
    <row r="605" spans="2:47" s="1222" customFormat="1" ht="12.75" customHeight="1">
      <c r="B605" s="2482" t="s">
        <v>616</v>
      </c>
      <c r="C605" s="2482"/>
      <c r="D605" s="1294"/>
      <c r="E605" s="2475" t="s">
        <v>1594</v>
      </c>
      <c r="F605" s="2475"/>
      <c r="G605" s="2475"/>
      <c r="H605" s="2475"/>
      <c r="I605" s="2475"/>
      <c r="J605" s="2475"/>
      <c r="K605" s="2475"/>
      <c r="L605" s="2475"/>
      <c r="M605" s="2475"/>
      <c r="N605" s="2475"/>
      <c r="O605" s="2475"/>
      <c r="P605" s="2475"/>
      <c r="Q605" s="2475"/>
      <c r="R605" s="2475"/>
      <c r="S605" s="2475"/>
      <c r="T605" s="2475"/>
      <c r="U605" s="2475"/>
      <c r="V605" s="2475"/>
      <c r="W605" s="2475"/>
      <c r="X605" s="2475"/>
      <c r="Y605" s="2475"/>
      <c r="Z605" s="2475"/>
      <c r="AA605" s="2475"/>
      <c r="AB605" s="2475"/>
      <c r="AC605" s="2475"/>
      <c r="AD605" s="2475"/>
      <c r="AE605" s="2475"/>
      <c r="AF605" s="2475"/>
      <c r="AG605" s="2475"/>
      <c r="AH605" s="1294"/>
      <c r="AI605" s="1294"/>
      <c r="AJ605" s="1294"/>
      <c r="AK605" s="1294"/>
      <c r="AL605" s="1294"/>
      <c r="AN605" s="1296"/>
    </row>
    <row r="606" spans="2:47" s="1222" customFormat="1" ht="12.75" customHeight="1">
      <c r="B606" s="1207"/>
      <c r="C606" s="1554"/>
      <c r="D606" s="1294"/>
      <c r="E606" s="2475"/>
      <c r="F606" s="2475"/>
      <c r="G606" s="2475"/>
      <c r="H606" s="2475"/>
      <c r="I606" s="2475"/>
      <c r="J606" s="2475"/>
      <c r="K606" s="2475"/>
      <c r="L606" s="2475"/>
      <c r="M606" s="2475"/>
      <c r="N606" s="2475"/>
      <c r="O606" s="2475"/>
      <c r="P606" s="2475"/>
      <c r="Q606" s="2475"/>
      <c r="R606" s="2475"/>
      <c r="S606" s="2475"/>
      <c r="T606" s="2475"/>
      <c r="U606" s="2475"/>
      <c r="V606" s="2475"/>
      <c r="W606" s="2475"/>
      <c r="X606" s="2475"/>
      <c r="Y606" s="2475"/>
      <c r="Z606" s="2475"/>
      <c r="AA606" s="2475"/>
      <c r="AB606" s="2475"/>
      <c r="AC606" s="2475"/>
      <c r="AD606" s="2475"/>
      <c r="AE606" s="2475"/>
      <c r="AF606" s="2475"/>
      <c r="AG606" s="2475"/>
      <c r="AH606" s="1294"/>
      <c r="AI606" s="1294"/>
      <c r="AJ606" s="1294"/>
      <c r="AK606" s="1294"/>
      <c r="AL606" s="1294"/>
      <c r="AN606" s="1296"/>
    </row>
    <row r="607" spans="2:47" s="1222" customFormat="1" ht="12.75" customHeight="1">
      <c r="B607" s="1207"/>
      <c r="C607" s="1554"/>
      <c r="D607" s="1294"/>
      <c r="E607" s="2475"/>
      <c r="F607" s="2475"/>
      <c r="G607" s="2475"/>
      <c r="H607" s="2475"/>
      <c r="I607" s="2475"/>
      <c r="J607" s="2475"/>
      <c r="K607" s="2475"/>
      <c r="L607" s="2475"/>
      <c r="M607" s="2475"/>
      <c r="N607" s="2475"/>
      <c r="O607" s="2475"/>
      <c r="P607" s="2475"/>
      <c r="Q607" s="2475"/>
      <c r="R607" s="2475"/>
      <c r="S607" s="2475"/>
      <c r="T607" s="2475"/>
      <c r="U607" s="2475"/>
      <c r="V607" s="2475"/>
      <c r="W607" s="2475"/>
      <c r="X607" s="2475"/>
      <c r="Y607" s="2475"/>
      <c r="Z607" s="2475"/>
      <c r="AA607" s="2475"/>
      <c r="AB607" s="2475"/>
      <c r="AC607" s="2475"/>
      <c r="AD607" s="2475"/>
      <c r="AE607" s="2475"/>
      <c r="AF607" s="2475"/>
      <c r="AG607" s="2475"/>
      <c r="AH607" s="1294"/>
      <c r="AI607" s="1294"/>
      <c r="AJ607" s="1294"/>
      <c r="AK607" s="1294"/>
      <c r="AL607" s="1294"/>
      <c r="AN607" s="1296"/>
    </row>
    <row r="608" spans="2:47" s="1222" customFormat="1" ht="12.75" customHeight="1">
      <c r="B608" s="1207"/>
      <c r="C608" s="1554"/>
      <c r="D608" s="1294"/>
      <c r="E608" s="2475"/>
      <c r="F608" s="2475"/>
      <c r="G608" s="2475"/>
      <c r="H608" s="2475"/>
      <c r="I608" s="2475"/>
      <c r="J608" s="2475"/>
      <c r="K608" s="2475"/>
      <c r="L608" s="2475"/>
      <c r="M608" s="2475"/>
      <c r="N608" s="2475"/>
      <c r="O608" s="2475"/>
      <c r="P608" s="2475"/>
      <c r="Q608" s="2475"/>
      <c r="R608" s="2475"/>
      <c r="S608" s="2475"/>
      <c r="T608" s="2475"/>
      <c r="U608" s="2475"/>
      <c r="V608" s="2475"/>
      <c r="W608" s="2475"/>
      <c r="X608" s="2475"/>
      <c r="Y608" s="2475"/>
      <c r="Z608" s="2475"/>
      <c r="AA608" s="2475"/>
      <c r="AB608" s="2475"/>
      <c r="AC608" s="2475"/>
      <c r="AD608" s="2475"/>
      <c r="AE608" s="2475"/>
      <c r="AF608" s="2475"/>
      <c r="AG608" s="2475"/>
      <c r="AH608" s="1294"/>
      <c r="AI608" s="1294"/>
      <c r="AJ608" s="1294"/>
      <c r="AK608" s="1294"/>
      <c r="AL608" s="1294"/>
      <c r="AN608" s="1296"/>
    </row>
    <row r="609" spans="1:42" s="1222" customFormat="1" ht="12.75" customHeight="1">
      <c r="B609" s="1207"/>
      <c r="C609" s="1554"/>
      <c r="D609" s="1560"/>
      <c r="E609" s="1561"/>
      <c r="F609" s="1561"/>
      <c r="G609" s="1561"/>
      <c r="H609" s="1561"/>
      <c r="I609" s="1561"/>
      <c r="J609" s="1561"/>
      <c r="K609" s="1561"/>
      <c r="L609" s="1561"/>
      <c r="M609" s="1561"/>
      <c r="N609" s="1561"/>
      <c r="O609" s="1561"/>
      <c r="P609" s="1561"/>
      <c r="Q609" s="1561"/>
      <c r="R609" s="1561"/>
      <c r="S609" s="1561"/>
      <c r="T609" s="1561"/>
      <c r="U609" s="1561"/>
      <c r="V609" s="1561"/>
      <c r="W609" s="1561"/>
      <c r="X609" s="1561"/>
      <c r="Y609" s="1561"/>
      <c r="Z609" s="1561"/>
      <c r="AA609" s="1561"/>
      <c r="AB609" s="1561"/>
      <c r="AC609" s="1561"/>
      <c r="AD609" s="1561"/>
      <c r="AE609" s="1561"/>
      <c r="AF609" s="1561"/>
      <c r="AG609" s="1561"/>
      <c r="AH609" s="1560"/>
      <c r="AI609" s="1560"/>
      <c r="AJ609" s="1560"/>
      <c r="AK609" s="1560"/>
      <c r="AL609" s="1294"/>
      <c r="AN609" s="1296"/>
    </row>
    <row r="610" spans="1:42" s="1222" customFormat="1" ht="12.75" customHeight="1">
      <c r="A610" s="1300"/>
      <c r="B610" s="1292"/>
      <c r="C610" s="1562"/>
      <c r="D610" s="1292"/>
      <c r="E610" s="1563"/>
      <c r="F610" s="1563"/>
      <c r="G610" s="1563"/>
      <c r="H610" s="1563"/>
      <c r="I610" s="1563"/>
      <c r="J610" s="1563"/>
      <c r="K610" s="1563"/>
      <c r="L610" s="1563"/>
      <c r="M610" s="1563"/>
      <c r="N610" s="1563"/>
      <c r="O610" s="1563"/>
      <c r="P610" s="1563"/>
      <c r="Q610" s="1563"/>
      <c r="R610" s="1563"/>
      <c r="S610" s="1563"/>
      <c r="T610" s="1563"/>
      <c r="U610" s="1563"/>
      <c r="V610" s="1563"/>
      <c r="W610" s="1563"/>
      <c r="X610" s="1563"/>
      <c r="Y610" s="1563"/>
      <c r="Z610" s="1563"/>
      <c r="AA610" s="1563"/>
      <c r="AB610" s="1292"/>
      <c r="AC610" s="1292"/>
      <c r="AD610" s="1292"/>
      <c r="AE610" s="1292"/>
      <c r="AF610" s="1292"/>
      <c r="AG610" s="1292"/>
      <c r="AH610" s="1292"/>
      <c r="AI610" s="1239" t="s">
        <v>1595</v>
      </c>
      <c r="AJ610" s="2455">
        <f>VLOOKUP($H$595,$AO$575:$AP$580,2,FALSE)+VLOOKUP($I$603,$AO$602:$AP$604,2,FALSE)</f>
        <v>7</v>
      </c>
      <c r="AK610" s="2457"/>
      <c r="AL610" s="1267"/>
      <c r="AM610" s="1564"/>
      <c r="AN610" s="1296"/>
    </row>
    <row r="611" spans="1:42" s="1222" customFormat="1" ht="12.75" customHeight="1">
      <c r="B611" s="1207"/>
      <c r="C611" s="1554"/>
      <c r="D611" s="1207"/>
      <c r="E611" s="1559"/>
      <c r="F611" s="1559"/>
      <c r="G611" s="1559"/>
      <c r="H611" s="1559"/>
      <c r="I611" s="1559"/>
      <c r="J611" s="1559"/>
      <c r="K611" s="1559"/>
      <c r="L611" s="1559"/>
      <c r="M611" s="1559"/>
      <c r="N611" s="1559"/>
      <c r="O611" s="1559"/>
      <c r="P611" s="1559"/>
      <c r="Q611" s="1559"/>
      <c r="R611" s="1559"/>
      <c r="S611" s="1559"/>
      <c r="T611" s="1559"/>
      <c r="U611" s="1559"/>
      <c r="V611" s="1559"/>
      <c r="W611" s="1559"/>
      <c r="X611" s="1559"/>
      <c r="Y611" s="1559"/>
      <c r="Z611" s="1559"/>
      <c r="AA611" s="1559"/>
      <c r="AB611" s="1559"/>
      <c r="AC611" s="1207"/>
      <c r="AD611" s="1207"/>
      <c r="AE611" s="1559"/>
      <c r="AF611" s="1559"/>
      <c r="AG611" s="1559"/>
      <c r="AH611" s="1559"/>
      <c r="AI611" s="1559"/>
      <c r="AJ611" s="1559"/>
      <c r="AK611" s="1559"/>
      <c r="AL611" s="1559"/>
      <c r="AM611" s="1564"/>
      <c r="AN611" s="1296"/>
    </row>
    <row r="612" spans="1:42" s="1222" customFormat="1" ht="12.75" customHeight="1">
      <c r="B612" s="1207"/>
      <c r="C612" s="1210" t="s">
        <v>1596</v>
      </c>
      <c r="D612" s="1210"/>
      <c r="E612" s="1559"/>
      <c r="F612" s="1559"/>
      <c r="G612" s="1559"/>
      <c r="H612" s="1559"/>
      <c r="I612" s="1559"/>
      <c r="J612" s="1559"/>
      <c r="K612" s="1559"/>
      <c r="L612" s="1559"/>
      <c r="M612" s="1559"/>
      <c r="N612" s="1559"/>
      <c r="O612" s="1559"/>
      <c r="P612" s="1559"/>
      <c r="Q612" s="1559"/>
      <c r="R612" s="1559"/>
      <c r="S612" s="1559"/>
      <c r="T612" s="1559"/>
      <c r="U612" s="1559"/>
      <c r="V612" s="1559"/>
      <c r="W612" s="1559"/>
      <c r="X612" s="1559"/>
      <c r="Y612" s="1559"/>
      <c r="Z612" s="1559"/>
      <c r="AA612" s="1559"/>
      <c r="AB612" s="1559"/>
      <c r="AC612" s="1207"/>
      <c r="AD612" s="1207"/>
      <c r="AE612" s="1207"/>
      <c r="AF612" s="1207"/>
      <c r="AG612" s="1207"/>
      <c r="AH612" s="1207"/>
      <c r="AI612" s="1207"/>
      <c r="AJ612" s="1207"/>
      <c r="AK612" s="1207"/>
      <c r="AL612" s="1207"/>
      <c r="AN612" s="1296"/>
    </row>
    <row r="613" spans="1:42" s="1222" customFormat="1" ht="12.75" customHeight="1">
      <c r="B613" s="1304"/>
      <c r="C613" s="1207"/>
      <c r="D613" s="1557"/>
      <c r="E613" s="1559"/>
      <c r="F613" s="1559"/>
      <c r="G613" s="1559"/>
      <c r="H613" s="1559"/>
      <c r="I613" s="1559"/>
      <c r="J613" s="1559"/>
      <c r="K613" s="1559"/>
      <c r="L613" s="1559"/>
      <c r="M613" s="1559"/>
      <c r="N613" s="1559"/>
      <c r="O613" s="1559"/>
      <c r="P613" s="1559"/>
      <c r="Q613" s="1559"/>
      <c r="R613" s="1559"/>
      <c r="S613" s="1559"/>
      <c r="T613" s="1559"/>
      <c r="U613" s="1559"/>
      <c r="V613" s="1559"/>
      <c r="W613" s="1559"/>
      <c r="X613" s="1559"/>
      <c r="Y613" s="1559"/>
      <c r="Z613" s="1559"/>
      <c r="AA613" s="1559"/>
      <c r="AB613" s="1559"/>
      <c r="AC613" s="1207"/>
      <c r="AD613" s="1207"/>
      <c r="AE613" s="1207"/>
      <c r="AF613" s="1207"/>
      <c r="AG613" s="1207"/>
      <c r="AH613" s="1207"/>
      <c r="AI613" s="1207"/>
      <c r="AJ613" s="1207"/>
      <c r="AK613" s="1207"/>
      <c r="AL613" s="1207"/>
      <c r="AN613" s="1296"/>
    </row>
    <row r="614" spans="1:42" s="1382" customFormat="1" ht="12.75" customHeight="1">
      <c r="A614" s="1222"/>
      <c r="B614" s="1207"/>
      <c r="C614" s="1207"/>
      <c r="D614" s="1317" t="s">
        <v>713</v>
      </c>
      <c r="E614" s="2483" t="s">
        <v>2004</v>
      </c>
      <c r="F614" s="2483"/>
      <c r="G614" s="2483"/>
      <c r="H614" s="2483"/>
      <c r="I614" s="2483"/>
      <c r="J614" s="2483"/>
      <c r="K614" s="2483"/>
      <c r="L614" s="2483"/>
      <c r="M614" s="2483"/>
      <c r="N614" s="2483"/>
      <c r="O614" s="2483"/>
      <c r="P614" s="2483"/>
      <c r="Q614" s="2483"/>
      <c r="R614" s="2483"/>
      <c r="S614" s="2483"/>
      <c r="T614" s="2483"/>
      <c r="U614" s="2483"/>
      <c r="V614" s="2483"/>
      <c r="W614" s="2483"/>
      <c r="X614" s="2483"/>
      <c r="Y614" s="2483"/>
      <c r="Z614" s="2483"/>
      <c r="AA614" s="2483"/>
      <c r="AB614" s="2483"/>
      <c r="AC614" s="2483"/>
      <c r="AD614" s="2483"/>
      <c r="AE614" s="1210"/>
      <c r="AF614" s="2476" t="s">
        <v>1543</v>
      </c>
      <c r="AG614" s="2476"/>
      <c r="AH614" s="2476"/>
      <c r="AI614" s="2476"/>
      <c r="AJ614" s="2476"/>
      <c r="AK614" s="2476"/>
      <c r="AL614" s="2476"/>
      <c r="AM614" s="1222"/>
      <c r="AN614" s="1506"/>
    </row>
    <row r="615" spans="1:42" s="1222" customFormat="1" ht="12.75" customHeight="1">
      <c r="A615" s="1492"/>
      <c r="B615" s="1207"/>
      <c r="C615" s="1554"/>
      <c r="D615" s="1317"/>
      <c r="E615" s="2483"/>
      <c r="F615" s="2483"/>
      <c r="G615" s="2483"/>
      <c r="H615" s="2483"/>
      <c r="I615" s="2483"/>
      <c r="J615" s="2483"/>
      <c r="K615" s="2483"/>
      <c r="L615" s="2483"/>
      <c r="M615" s="2483"/>
      <c r="N615" s="2483"/>
      <c r="O615" s="2483"/>
      <c r="P615" s="2483"/>
      <c r="Q615" s="2483"/>
      <c r="R615" s="2483"/>
      <c r="S615" s="2483"/>
      <c r="T615" s="2483"/>
      <c r="U615" s="2483"/>
      <c r="V615" s="2483"/>
      <c r="W615" s="2483"/>
      <c r="X615" s="2483"/>
      <c r="Y615" s="2483"/>
      <c r="Z615" s="2483"/>
      <c r="AA615" s="2483"/>
      <c r="AB615" s="2483"/>
      <c r="AC615" s="2483"/>
      <c r="AD615" s="2483"/>
      <c r="AE615" s="1207"/>
      <c r="AF615" s="1207"/>
      <c r="AG615" s="1207"/>
      <c r="AH615" s="1207"/>
      <c r="AI615" s="1207"/>
      <c r="AJ615" s="1207"/>
      <c r="AK615" s="1207"/>
      <c r="AL615" s="1207"/>
      <c r="AN615" s="1296"/>
    </row>
    <row r="616" spans="1:42" s="1222" customFormat="1" ht="12.75" customHeight="1">
      <c r="B616" s="1207"/>
      <c r="C616" s="1552"/>
      <c r="D616" s="1317"/>
      <c r="E616" s="2483"/>
      <c r="F616" s="2483"/>
      <c r="G616" s="2483"/>
      <c r="H616" s="2483"/>
      <c r="I616" s="2483"/>
      <c r="J616" s="2483"/>
      <c r="K616" s="2483"/>
      <c r="L616" s="2483"/>
      <c r="M616" s="2483"/>
      <c r="N616" s="2483"/>
      <c r="O616" s="2483"/>
      <c r="P616" s="2483"/>
      <c r="Q616" s="2483"/>
      <c r="R616" s="2483"/>
      <c r="S616" s="2483"/>
      <c r="T616" s="2483"/>
      <c r="U616" s="2483"/>
      <c r="V616" s="2483"/>
      <c r="W616" s="2483"/>
      <c r="X616" s="2483"/>
      <c r="Y616" s="2483"/>
      <c r="Z616" s="2483"/>
      <c r="AA616" s="2483"/>
      <c r="AB616" s="2483"/>
      <c r="AC616" s="2483"/>
      <c r="AD616" s="2483"/>
      <c r="AE616" s="1207"/>
      <c r="AF616" s="1207"/>
      <c r="AG616" s="1207"/>
      <c r="AH616" s="1207"/>
      <c r="AI616" s="1207"/>
      <c r="AJ616" s="1207"/>
      <c r="AK616" s="1207"/>
      <c r="AL616" s="1207"/>
      <c r="AN616" s="1296"/>
    </row>
    <row r="617" spans="1:42" s="1222" customFormat="1" ht="12.75" customHeight="1">
      <c r="B617" s="1207"/>
      <c r="C617" s="1552"/>
      <c r="D617" s="1317"/>
      <c r="E617" s="2483"/>
      <c r="F617" s="2483"/>
      <c r="G617" s="2483"/>
      <c r="H617" s="2483"/>
      <c r="I617" s="2483"/>
      <c r="J617" s="2483"/>
      <c r="K617" s="2483"/>
      <c r="L617" s="2483"/>
      <c r="M617" s="2483"/>
      <c r="N617" s="2483"/>
      <c r="O617" s="2483"/>
      <c r="P617" s="2483"/>
      <c r="Q617" s="2483"/>
      <c r="R617" s="2483"/>
      <c r="S617" s="2483"/>
      <c r="T617" s="2483"/>
      <c r="U617" s="2483"/>
      <c r="V617" s="2483"/>
      <c r="W617" s="2483"/>
      <c r="X617" s="2483"/>
      <c r="Y617" s="2483"/>
      <c r="Z617" s="2483"/>
      <c r="AA617" s="2483"/>
      <c r="AB617" s="2483"/>
      <c r="AC617" s="2483"/>
      <c r="AD617" s="2483"/>
      <c r="AE617" s="1207"/>
      <c r="AF617" s="1207"/>
      <c r="AG617" s="1207"/>
      <c r="AH617" s="1207"/>
      <c r="AI617" s="1207"/>
      <c r="AJ617" s="1207"/>
      <c r="AK617" s="1207"/>
      <c r="AL617" s="1207"/>
      <c r="AN617" s="1296"/>
    </row>
    <row r="618" spans="1:42" s="1222" customFormat="1" ht="12.75" customHeight="1">
      <c r="B618" s="1207"/>
      <c r="C618" s="1552"/>
      <c r="D618" s="1317"/>
      <c r="E618" s="2483"/>
      <c r="F618" s="2483"/>
      <c r="G618" s="2483"/>
      <c r="H618" s="2483"/>
      <c r="I618" s="2483"/>
      <c r="J618" s="2483"/>
      <c r="K618" s="2483"/>
      <c r="L618" s="2483"/>
      <c r="M618" s="2483"/>
      <c r="N618" s="2483"/>
      <c r="O618" s="2483"/>
      <c r="P618" s="2483"/>
      <c r="Q618" s="2483"/>
      <c r="R618" s="2483"/>
      <c r="S618" s="2483"/>
      <c r="T618" s="2483"/>
      <c r="U618" s="2483"/>
      <c r="V618" s="2483"/>
      <c r="W618" s="2483"/>
      <c r="X618" s="2483"/>
      <c r="Y618" s="2483"/>
      <c r="Z618" s="2483"/>
      <c r="AA618" s="2483"/>
      <c r="AB618" s="2483"/>
      <c r="AC618" s="2483"/>
      <c r="AD618" s="2483"/>
      <c r="AE618" s="1207"/>
      <c r="AF618" s="1207"/>
      <c r="AG618" s="1207"/>
      <c r="AH618" s="1207"/>
      <c r="AI618" s="1207"/>
      <c r="AJ618" s="1207"/>
      <c r="AK618" s="1207"/>
      <c r="AL618" s="1207"/>
      <c r="AN618" s="1296"/>
    </row>
    <row r="619" spans="1:42" s="1222" customFormat="1" ht="12.75" customHeight="1">
      <c r="B619" s="1207"/>
      <c r="C619" s="1552"/>
      <c r="D619" s="1317"/>
      <c r="E619" s="2483"/>
      <c r="F619" s="2483"/>
      <c r="G619" s="2483"/>
      <c r="H619" s="2483"/>
      <c r="I619" s="2483"/>
      <c r="J619" s="2483"/>
      <c r="K619" s="2483"/>
      <c r="L619" s="2483"/>
      <c r="M619" s="2483"/>
      <c r="N619" s="2483"/>
      <c r="O619" s="2483"/>
      <c r="P619" s="2483"/>
      <c r="Q619" s="2483"/>
      <c r="R619" s="2483"/>
      <c r="S619" s="2483"/>
      <c r="T619" s="2483"/>
      <c r="U619" s="2483"/>
      <c r="V619" s="2483"/>
      <c r="W619" s="2483"/>
      <c r="X619" s="2483"/>
      <c r="Y619" s="2483"/>
      <c r="Z619" s="2483"/>
      <c r="AA619" s="2483"/>
      <c r="AB619" s="2483"/>
      <c r="AC619" s="2483"/>
      <c r="AD619" s="2483"/>
      <c r="AE619" s="1207"/>
      <c r="AF619" s="1207"/>
      <c r="AG619" s="1207"/>
      <c r="AH619" s="1207"/>
      <c r="AI619" s="1207"/>
      <c r="AJ619" s="1207"/>
      <c r="AK619" s="1207"/>
      <c r="AL619" s="1207"/>
      <c r="AN619" s="1296"/>
    </row>
    <row r="620" spans="1:42" s="1222" customFormat="1" ht="12.75" customHeight="1">
      <c r="A620" s="1385"/>
      <c r="B620" s="1310"/>
      <c r="C620" s="1565"/>
      <c r="D620" s="1317"/>
      <c r="E620" s="2483"/>
      <c r="F620" s="2483"/>
      <c r="G620" s="2483"/>
      <c r="H620" s="2483"/>
      <c r="I620" s="2483"/>
      <c r="J620" s="2483"/>
      <c r="K620" s="2483"/>
      <c r="L620" s="2483"/>
      <c r="M620" s="2483"/>
      <c r="N620" s="2483"/>
      <c r="O620" s="2483"/>
      <c r="P620" s="2483"/>
      <c r="Q620" s="2483"/>
      <c r="R620" s="2483"/>
      <c r="S620" s="2483"/>
      <c r="T620" s="2483"/>
      <c r="U620" s="2483"/>
      <c r="V620" s="2483"/>
      <c r="W620" s="2483"/>
      <c r="X620" s="2483"/>
      <c r="Y620" s="2483"/>
      <c r="Z620" s="2483"/>
      <c r="AA620" s="2483"/>
      <c r="AB620" s="2483"/>
      <c r="AC620" s="2483"/>
      <c r="AD620" s="2483"/>
      <c r="AE620" s="1310"/>
      <c r="AF620" s="1310"/>
      <c r="AG620" s="1310"/>
      <c r="AH620" s="1310"/>
      <c r="AI620" s="1310"/>
      <c r="AJ620" s="1310"/>
      <c r="AK620" s="1207"/>
      <c r="AL620" s="1207"/>
      <c r="AN620" s="1296"/>
    </row>
    <row r="621" spans="1:42" s="1222" customFormat="1" ht="12.75" customHeight="1">
      <c r="B621" s="1310"/>
      <c r="C621" s="1565"/>
      <c r="D621" s="1317"/>
      <c r="E621" s="2483"/>
      <c r="F621" s="2483"/>
      <c r="G621" s="2483"/>
      <c r="H621" s="2483"/>
      <c r="I621" s="2483"/>
      <c r="J621" s="2483"/>
      <c r="K621" s="2483"/>
      <c r="L621" s="2483"/>
      <c r="M621" s="2483"/>
      <c r="N621" s="2483"/>
      <c r="O621" s="2483"/>
      <c r="P621" s="2483"/>
      <c r="Q621" s="2483"/>
      <c r="R621" s="2483"/>
      <c r="S621" s="2483"/>
      <c r="T621" s="2483"/>
      <c r="U621" s="2483"/>
      <c r="V621" s="2483"/>
      <c r="W621" s="2483"/>
      <c r="X621" s="2483"/>
      <c r="Y621" s="2483"/>
      <c r="Z621" s="2483"/>
      <c r="AA621" s="2483"/>
      <c r="AB621" s="2483"/>
      <c r="AC621" s="2483"/>
      <c r="AD621" s="2483"/>
      <c r="AE621" s="1310"/>
      <c r="AF621" s="1310"/>
      <c r="AG621" s="1310"/>
      <c r="AH621" s="1310"/>
      <c r="AI621" s="1310"/>
      <c r="AJ621" s="1310"/>
      <c r="AK621" s="1207"/>
      <c r="AL621" s="1207"/>
      <c r="AN621" s="1296"/>
    </row>
    <row r="622" spans="1:42" s="1222" customFormat="1" ht="12" customHeight="1">
      <c r="B622" s="1310"/>
      <c r="C622" s="1565"/>
      <c r="D622" s="1317"/>
      <c r="E622" s="1566"/>
      <c r="F622" s="1566"/>
      <c r="G622" s="1566"/>
      <c r="H622" s="1566"/>
      <c r="I622" s="1566"/>
      <c r="J622" s="1566"/>
      <c r="K622" s="1566"/>
      <c r="L622" s="1566"/>
      <c r="M622" s="1566"/>
      <c r="N622" s="1566"/>
      <c r="O622" s="1566"/>
      <c r="P622" s="1566"/>
      <c r="Q622" s="1566"/>
      <c r="R622" s="1566"/>
      <c r="S622" s="1566"/>
      <c r="T622" s="1566"/>
      <c r="U622" s="1566"/>
      <c r="V622" s="1566"/>
      <c r="W622" s="1566"/>
      <c r="X622" s="1566"/>
      <c r="Y622" s="1566"/>
      <c r="Z622" s="1566"/>
      <c r="AA622" s="1566"/>
      <c r="AB622" s="1566"/>
      <c r="AC622" s="1566"/>
      <c r="AD622" s="1566"/>
      <c r="AE622" s="1310"/>
      <c r="AF622" s="1310"/>
      <c r="AG622" s="1310"/>
      <c r="AH622" s="1310"/>
      <c r="AI622" s="1310"/>
      <c r="AJ622" s="1310"/>
      <c r="AK622" s="1207"/>
      <c r="AL622" s="1207"/>
      <c r="AN622" s="1296"/>
      <c r="AO622" s="1222" t="s">
        <v>616</v>
      </c>
      <c r="AP622" s="1555">
        <v>0</v>
      </c>
    </row>
    <row r="623" spans="1:42" s="1222" customFormat="1" ht="12.75" customHeight="1">
      <c r="B623" s="1310"/>
      <c r="C623" s="1552"/>
      <c r="D623" s="1317"/>
      <c r="E623" s="1310" t="s">
        <v>1597</v>
      </c>
      <c r="F623" s="1567"/>
      <c r="G623" s="1567"/>
      <c r="H623" s="1567"/>
      <c r="I623" s="1567"/>
      <c r="J623" s="1567"/>
      <c r="K623" s="1567"/>
      <c r="L623" s="1567"/>
      <c r="M623" s="1567"/>
      <c r="N623" s="1567"/>
      <c r="O623" s="1567"/>
      <c r="P623" s="1567"/>
      <c r="Q623" s="1567"/>
      <c r="R623" s="1567"/>
      <c r="U623" s="1567"/>
      <c r="V623" s="1567"/>
      <c r="W623" s="1567"/>
      <c r="X623" s="2482" t="s">
        <v>616</v>
      </c>
      <c r="Y623" s="2482"/>
      <c r="Z623" s="1567"/>
      <c r="AA623" s="1567"/>
      <c r="AB623" s="1567"/>
      <c r="AC623" s="1567"/>
      <c r="AD623" s="1567"/>
      <c r="AE623" s="1207"/>
      <c r="AF623" s="1310"/>
      <c r="AG623" s="1310"/>
      <c r="AH623" s="1310"/>
      <c r="AI623" s="1310"/>
      <c r="AJ623" s="1310"/>
      <c r="AK623" s="1207"/>
      <c r="AL623" s="1207"/>
      <c r="AN623" s="1296"/>
      <c r="AO623" s="1305" t="s">
        <v>713</v>
      </c>
      <c r="AP623" s="1222">
        <v>5</v>
      </c>
    </row>
    <row r="624" spans="1:42" s="1222" customFormat="1" ht="12.75" customHeight="1">
      <c r="B624" s="1310"/>
      <c r="C624" s="1565"/>
      <c r="D624" s="1207"/>
      <c r="E624" s="1207"/>
      <c r="F624" s="1207"/>
      <c r="G624" s="1207"/>
      <c r="H624" s="1207"/>
      <c r="I624" s="1207"/>
      <c r="J624" s="1207"/>
      <c r="K624" s="1207"/>
      <c r="L624" s="1207"/>
      <c r="M624" s="1207"/>
      <c r="N624" s="1207"/>
      <c r="O624" s="1207"/>
      <c r="P624" s="1207"/>
      <c r="Q624" s="1207"/>
      <c r="R624" s="1207"/>
      <c r="S624" s="1207"/>
      <c r="T624" s="1207"/>
      <c r="U624" s="1207"/>
      <c r="V624" s="1207"/>
      <c r="W624" s="1310"/>
      <c r="X624" s="1310"/>
      <c r="Y624" s="1310"/>
      <c r="Z624" s="1310"/>
      <c r="AA624" s="1310"/>
      <c r="AB624" s="1310"/>
      <c r="AC624" s="1207"/>
      <c r="AD624" s="1207"/>
      <c r="AE624" s="1207"/>
      <c r="AF624" s="1207"/>
      <c r="AG624" s="1207"/>
      <c r="AH624" s="1207"/>
      <c r="AI624" s="1207"/>
      <c r="AJ624" s="1207"/>
      <c r="AK624" s="1207"/>
      <c r="AL624" s="1207"/>
      <c r="AN624" s="1296"/>
      <c r="AO624" s="1305" t="s">
        <v>533</v>
      </c>
      <c r="AP624" s="1568">
        <v>4</v>
      </c>
    </row>
    <row r="625" spans="1:42" s="1222" customFormat="1" ht="12.75" customHeight="1">
      <c r="B625" s="1207"/>
      <c r="C625" s="1552"/>
      <c r="D625" s="1317" t="s">
        <v>533</v>
      </c>
      <c r="E625" s="1569" t="s">
        <v>1598</v>
      </c>
      <c r="F625" s="1570"/>
      <c r="G625" s="1570"/>
      <c r="H625" s="1570"/>
      <c r="I625" s="1570"/>
      <c r="J625" s="1570"/>
      <c r="K625" s="1570"/>
      <c r="L625" s="1570"/>
      <c r="M625" s="1570"/>
      <c r="N625" s="1570"/>
      <c r="O625" s="1570"/>
      <c r="P625" s="1570"/>
      <c r="Q625" s="1570"/>
      <c r="R625" s="1570"/>
      <c r="S625" s="1570"/>
      <c r="T625" s="1570"/>
      <c r="U625" s="1207"/>
      <c r="V625" s="1207"/>
      <c r="W625" s="1570"/>
      <c r="X625" s="1570"/>
      <c r="Y625" s="1570"/>
      <c r="Z625" s="1570"/>
      <c r="AA625" s="1570"/>
      <c r="AB625" s="1570"/>
      <c r="AC625" s="1207"/>
      <c r="AD625" s="1207"/>
      <c r="AE625" s="1207"/>
      <c r="AF625" s="2476" t="s">
        <v>1599</v>
      </c>
      <c r="AG625" s="2476"/>
      <c r="AH625" s="2476"/>
      <c r="AI625" s="2476"/>
      <c r="AJ625" s="2476"/>
      <c r="AK625" s="2476"/>
      <c r="AL625" s="2476"/>
      <c r="AN625" s="1296"/>
      <c r="AO625" s="1305" t="s">
        <v>283</v>
      </c>
      <c r="AP625" s="1222">
        <v>3</v>
      </c>
    </row>
    <row r="626" spans="1:42" s="1222" customFormat="1" ht="12.75" customHeight="1">
      <c r="B626" s="1207"/>
      <c r="C626" s="1552"/>
      <c r="D626" s="1207"/>
      <c r="E626" s="1207"/>
      <c r="F626" s="1570"/>
      <c r="G626" s="1570"/>
      <c r="H626" s="1570"/>
      <c r="I626" s="1570"/>
      <c r="J626" s="1570"/>
      <c r="K626" s="1570"/>
      <c r="L626" s="1570"/>
      <c r="M626" s="1570"/>
      <c r="N626" s="1570"/>
      <c r="O626" s="1570"/>
      <c r="P626" s="1570"/>
      <c r="Q626" s="1570"/>
      <c r="R626" s="1570"/>
      <c r="S626" s="1570"/>
      <c r="T626" s="1570"/>
      <c r="U626" s="1207"/>
      <c r="V626" s="1207"/>
      <c r="W626" s="1207"/>
      <c r="X626" s="1570"/>
      <c r="Y626" s="1570"/>
      <c r="Z626" s="1570"/>
      <c r="AA626" s="1570"/>
      <c r="AB626" s="1570"/>
      <c r="AC626" s="1207"/>
      <c r="AD626" s="1207"/>
      <c r="AE626" s="1207"/>
      <c r="AF626" s="1207"/>
      <c r="AG626" s="1207"/>
      <c r="AH626" s="1207"/>
      <c r="AI626" s="1207"/>
      <c r="AJ626" s="1207"/>
      <c r="AK626" s="1207"/>
      <c r="AL626" s="1207"/>
      <c r="AN626" s="1296"/>
      <c r="AO626" s="1305" t="s">
        <v>1588</v>
      </c>
      <c r="AP626" s="1568">
        <v>4</v>
      </c>
    </row>
    <row r="627" spans="1:42" s="1222" customFormat="1" ht="12.75" customHeight="1">
      <c r="B627" s="1207"/>
      <c r="C627" s="1552"/>
      <c r="D627" s="1207" t="s">
        <v>1591</v>
      </c>
      <c r="E627" s="1559"/>
      <c r="F627" s="1559"/>
      <c r="G627" s="1559"/>
      <c r="H627" s="2477" t="s">
        <v>713</v>
      </c>
      <c r="I627" s="2477"/>
      <c r="J627" s="1570"/>
      <c r="K627" s="1570"/>
      <c r="L627" s="1570"/>
      <c r="M627" s="1570"/>
      <c r="N627" s="1570"/>
      <c r="O627" s="1570"/>
      <c r="P627" s="1570"/>
      <c r="Q627" s="1570"/>
      <c r="R627" s="1570"/>
      <c r="S627" s="1570"/>
      <c r="T627" s="1570"/>
      <c r="U627" s="1559"/>
      <c r="V627" s="1559"/>
      <c r="W627" s="1559"/>
      <c r="X627" s="1207"/>
      <c r="Y627" s="1207"/>
      <c r="Z627" s="1207"/>
      <c r="AA627" s="1207"/>
      <c r="AB627" s="1207"/>
      <c r="AC627" s="1207"/>
      <c r="AD627" s="1207"/>
      <c r="AE627" s="1207"/>
      <c r="AF627" s="1207"/>
      <c r="AG627" s="1207"/>
      <c r="AH627" s="1207"/>
      <c r="AI627" s="1207"/>
      <c r="AJ627" s="1207"/>
      <c r="AK627" s="1207"/>
      <c r="AL627" s="1207"/>
      <c r="AN627" s="1296"/>
      <c r="AO627" s="1305" t="s">
        <v>1589</v>
      </c>
      <c r="AP627" s="1222">
        <v>3</v>
      </c>
    </row>
    <row r="628" spans="1:42" s="1222" customFormat="1" ht="12.75" customHeight="1">
      <c r="B628" s="1207"/>
      <c r="C628" s="1552"/>
      <c r="D628" s="1207"/>
      <c r="E628" s="1559"/>
      <c r="F628" s="1570"/>
      <c r="G628" s="1570"/>
      <c r="H628" s="1570"/>
      <c r="I628" s="1571"/>
      <c r="J628" s="1570"/>
      <c r="K628" s="1570"/>
      <c r="L628" s="1570"/>
      <c r="M628" s="1570"/>
      <c r="N628" s="1570"/>
      <c r="O628" s="1570"/>
      <c r="P628" s="1570"/>
      <c r="Q628" s="1570"/>
      <c r="R628" s="1207"/>
      <c r="S628" s="1207"/>
      <c r="T628" s="1570"/>
      <c r="U628" s="1559"/>
      <c r="V628" s="1559"/>
      <c r="W628" s="1559"/>
      <c r="X628" s="1559"/>
      <c r="Y628" s="1559"/>
      <c r="Z628" s="1559"/>
      <c r="AA628" s="1559"/>
      <c r="AB628" s="1559"/>
      <c r="AC628" s="1207"/>
      <c r="AD628" s="1207"/>
      <c r="AE628" s="1207"/>
      <c r="AF628" s="1207"/>
      <c r="AG628" s="1207"/>
      <c r="AH628" s="1207"/>
      <c r="AI628" s="1570"/>
      <c r="AJ628" s="1570"/>
      <c r="AK628" s="1570"/>
      <c r="AL628" s="1570"/>
      <c r="AM628" s="1572"/>
      <c r="AN628" s="1296"/>
      <c r="AO628" s="1305" t="s">
        <v>1600</v>
      </c>
      <c r="AP628" s="1222">
        <v>2</v>
      </c>
    </row>
    <row r="629" spans="1:42" s="1222" customFormat="1" ht="12.75" customHeight="1">
      <c r="A629" s="1300"/>
      <c r="B629" s="1292"/>
      <c r="C629" s="1573"/>
      <c r="D629" s="1292"/>
      <c r="E629" s="1563"/>
      <c r="F629" s="1563"/>
      <c r="G629" s="1574"/>
      <c r="H629" s="1574"/>
      <c r="I629" s="1574"/>
      <c r="J629" s="1574"/>
      <c r="K629" s="1574"/>
      <c r="L629" s="1574"/>
      <c r="M629" s="1574"/>
      <c r="N629" s="1574"/>
      <c r="O629" s="1574"/>
      <c r="P629" s="1574"/>
      <c r="Q629" s="1574"/>
      <c r="R629" s="1574"/>
      <c r="S629" s="1574"/>
      <c r="T629" s="1563"/>
      <c r="U629" s="1563"/>
      <c r="V629" s="1563"/>
      <c r="W629" s="1563"/>
      <c r="X629" s="1563"/>
      <c r="Y629" s="1563"/>
      <c r="Z629" s="1563"/>
      <c r="AA629" s="1563"/>
      <c r="AB629" s="1292"/>
      <c r="AC629" s="1292"/>
      <c r="AD629" s="1292"/>
      <c r="AE629" s="1292"/>
      <c r="AF629" s="1292"/>
      <c r="AG629" s="1292"/>
      <c r="AH629" s="1292"/>
      <c r="AI629" s="1239" t="s">
        <v>1601</v>
      </c>
      <c r="AJ629" s="2455">
        <f>VLOOKUP($H$627,$AO$594:$AP$596,2,FALSE)</f>
        <v>3</v>
      </c>
      <c r="AK629" s="2457"/>
      <c r="AL629" s="1267"/>
      <c r="AN629" s="1296"/>
      <c r="AO629" s="1305" t="s">
        <v>1602</v>
      </c>
      <c r="AP629" s="1222">
        <v>1</v>
      </c>
    </row>
    <row r="630" spans="1:42" s="1222" customFormat="1" ht="12.75" customHeight="1">
      <c r="B630" s="1207"/>
      <c r="C630" s="1552"/>
      <c r="D630" s="1207"/>
      <c r="E630" s="1559"/>
      <c r="F630" s="1559"/>
      <c r="G630" s="1559"/>
      <c r="H630" s="1207"/>
      <c r="I630" s="1207"/>
      <c r="J630" s="1570"/>
      <c r="K630" s="1570"/>
      <c r="L630" s="1570"/>
      <c r="M630" s="1570"/>
      <c r="N630" s="1570"/>
      <c r="O630" s="1570"/>
      <c r="P630" s="1570"/>
      <c r="Q630" s="1570"/>
      <c r="R630" s="1570"/>
      <c r="S630" s="1570"/>
      <c r="T630" s="1570"/>
      <c r="U630" s="1559"/>
      <c r="V630" s="1559"/>
      <c r="W630" s="1559"/>
      <c r="X630" s="1559"/>
      <c r="Y630" s="1559"/>
      <c r="Z630" s="1559"/>
      <c r="AA630" s="1559"/>
      <c r="AB630" s="1559"/>
      <c r="AC630" s="1207"/>
      <c r="AD630" s="1207"/>
      <c r="AE630" s="1207"/>
      <c r="AF630" s="1207"/>
      <c r="AG630" s="1207"/>
      <c r="AH630" s="1207"/>
      <c r="AI630" s="1207"/>
      <c r="AJ630" s="1214"/>
      <c r="AK630" s="1207"/>
      <c r="AL630" s="1207"/>
      <c r="AN630" s="1296"/>
    </row>
    <row r="631" spans="1:42" s="1222" customFormat="1" ht="12.75" customHeight="1">
      <c r="B631" s="1207"/>
      <c r="C631" s="1210" t="s">
        <v>1603</v>
      </c>
      <c r="D631" s="1207"/>
      <c r="E631" s="1559"/>
      <c r="F631" s="1570"/>
      <c r="G631" s="1570"/>
      <c r="H631" s="1570"/>
      <c r="I631" s="1570"/>
      <c r="J631" s="1570"/>
      <c r="K631" s="1570"/>
      <c r="L631" s="1570"/>
      <c r="M631" s="1570"/>
      <c r="N631" s="1570"/>
      <c r="O631" s="1570"/>
      <c r="P631" s="1570"/>
      <c r="Q631" s="1570"/>
      <c r="R631" s="1570"/>
      <c r="S631" s="1570"/>
      <c r="T631" s="1570"/>
      <c r="U631" s="1207"/>
      <c r="V631" s="1207"/>
      <c r="W631" s="1570"/>
      <c r="X631" s="1570"/>
      <c r="Y631" s="1570"/>
      <c r="Z631" s="1570"/>
      <c r="AA631" s="1570"/>
      <c r="AB631" s="1570"/>
      <c r="AC631" s="1289"/>
      <c r="AD631" s="1289"/>
      <c r="AE631" s="1289"/>
      <c r="AF631" s="1289"/>
      <c r="AG631" s="1289"/>
      <c r="AH631" s="1289"/>
      <c r="AI631" s="1289"/>
      <c r="AJ631" s="1207"/>
      <c r="AK631" s="1207"/>
      <c r="AL631" s="1207"/>
      <c r="AN631" s="1296"/>
    </row>
    <row r="632" spans="1:42" s="1222" customFormat="1" ht="12.75" customHeight="1">
      <c r="A632" s="1385"/>
      <c r="B632" s="1207"/>
      <c r="C632" s="1554"/>
      <c r="D632" s="1207"/>
      <c r="E632" s="1570"/>
      <c r="F632" s="1570"/>
      <c r="G632" s="1570"/>
      <c r="H632" s="1570"/>
      <c r="I632" s="1570"/>
      <c r="J632" s="1570"/>
      <c r="K632" s="1570"/>
      <c r="L632" s="1570"/>
      <c r="M632" s="1570"/>
      <c r="N632" s="1570"/>
      <c r="O632" s="1570"/>
      <c r="P632" s="1570"/>
      <c r="Q632" s="1570"/>
      <c r="R632" s="1570"/>
      <c r="S632" s="1570"/>
      <c r="T632" s="1570"/>
      <c r="U632" s="1570"/>
      <c r="V632" s="1570"/>
      <c r="W632" s="1570"/>
      <c r="X632" s="1570"/>
      <c r="Y632" s="1570"/>
      <c r="Z632" s="1570"/>
      <c r="AA632" s="1570"/>
      <c r="AB632" s="1570"/>
      <c r="AC632" s="1207"/>
      <c r="AD632" s="1207"/>
      <c r="AE632" s="1207"/>
      <c r="AF632" s="1207"/>
      <c r="AG632" s="1207"/>
      <c r="AH632" s="1207"/>
      <c r="AI632" s="1207"/>
      <c r="AJ632" s="1207"/>
      <c r="AK632" s="1207"/>
      <c r="AL632" s="1207"/>
      <c r="AN632" s="1296"/>
    </row>
    <row r="633" spans="1:42" s="1222" customFormat="1" ht="12.75" customHeight="1">
      <c r="B633" s="1207"/>
      <c r="C633" s="1207"/>
      <c r="D633" s="1317" t="s">
        <v>713</v>
      </c>
      <c r="E633" s="1310" t="s">
        <v>1604</v>
      </c>
      <c r="F633" s="1570"/>
      <c r="G633" s="1570"/>
      <c r="H633" s="1570"/>
      <c r="I633" s="1570"/>
      <c r="J633" s="1570"/>
      <c r="K633" s="1570"/>
      <c r="L633" s="1570"/>
      <c r="M633" s="1570"/>
      <c r="N633" s="1570"/>
      <c r="O633" s="1570"/>
      <c r="P633" s="1570"/>
      <c r="Q633" s="1570"/>
      <c r="R633" s="1570"/>
      <c r="S633" s="1570"/>
      <c r="T633" s="1570"/>
      <c r="U633" s="1570"/>
      <c r="V633" s="1570"/>
      <c r="W633" s="1570"/>
      <c r="X633" s="1570"/>
      <c r="Y633" s="1570"/>
      <c r="Z633" s="1570"/>
      <c r="AA633" s="1570"/>
      <c r="AB633" s="1570"/>
      <c r="AC633" s="1207"/>
      <c r="AD633" s="1207"/>
      <c r="AE633" s="1207"/>
      <c r="AF633" s="2476" t="s">
        <v>1543</v>
      </c>
      <c r="AG633" s="2476"/>
      <c r="AH633" s="2476"/>
      <c r="AI633" s="2476"/>
      <c r="AJ633" s="2476"/>
      <c r="AK633" s="2476"/>
      <c r="AL633" s="2476"/>
      <c r="AN633" s="1296"/>
    </row>
    <row r="634" spans="1:42" s="1222" customFormat="1" ht="12.75" customHeight="1">
      <c r="B634" s="1207"/>
      <c r="C634" s="1207"/>
      <c r="D634" s="1317"/>
      <c r="E634" s="1310" t="s">
        <v>1605</v>
      </c>
      <c r="F634" s="1570"/>
      <c r="G634" s="1570"/>
      <c r="H634" s="1570"/>
      <c r="I634" s="1570"/>
      <c r="J634" s="1570"/>
      <c r="K634" s="1570"/>
      <c r="L634" s="1570"/>
      <c r="M634" s="1570"/>
      <c r="N634" s="1570"/>
      <c r="O634" s="1570"/>
      <c r="P634" s="1570"/>
      <c r="Q634" s="1570"/>
      <c r="R634" s="1570"/>
      <c r="S634" s="1570"/>
      <c r="T634" s="1570"/>
      <c r="U634" s="1570"/>
      <c r="V634" s="1570"/>
      <c r="W634" s="1570"/>
      <c r="X634" s="1570"/>
      <c r="Y634" s="1570"/>
      <c r="Z634" s="1570"/>
      <c r="AA634" s="1570"/>
      <c r="AB634" s="1570"/>
      <c r="AC634" s="1207"/>
      <c r="AD634" s="1207"/>
      <c r="AE634" s="1289"/>
      <c r="AF634" s="1289"/>
      <c r="AG634" s="1289"/>
      <c r="AH634" s="1289"/>
      <c r="AI634" s="1289"/>
      <c r="AJ634" s="1289"/>
      <c r="AK634" s="1289"/>
      <c r="AL634" s="1289"/>
      <c r="AN634" s="1296"/>
    </row>
    <row r="635" spans="1:42" s="1222" customFormat="1" ht="12.75" customHeight="1">
      <c r="B635" s="1310"/>
      <c r="C635" s="1565"/>
      <c r="D635" s="1317"/>
      <c r="E635" s="1310"/>
      <c r="F635" s="1310"/>
      <c r="G635" s="1310"/>
      <c r="H635" s="1310"/>
      <c r="I635" s="1310"/>
      <c r="J635" s="1310"/>
      <c r="K635" s="1310"/>
      <c r="L635" s="1310"/>
      <c r="M635" s="1310"/>
      <c r="N635" s="1310"/>
      <c r="O635" s="1310"/>
      <c r="P635" s="1310"/>
      <c r="Q635" s="1310"/>
      <c r="R635" s="1310"/>
      <c r="S635" s="1310"/>
      <c r="T635" s="1310"/>
      <c r="U635" s="1310"/>
      <c r="V635" s="1310"/>
      <c r="W635" s="1310"/>
      <c r="X635" s="1310"/>
      <c r="Y635" s="1310"/>
      <c r="Z635" s="1310"/>
      <c r="AA635" s="1310"/>
      <c r="AB635" s="1310"/>
      <c r="AC635" s="1207"/>
      <c r="AD635" s="1207"/>
      <c r="AE635" s="1310"/>
      <c r="AF635" s="1207"/>
      <c r="AG635" s="1207"/>
      <c r="AH635" s="1207"/>
      <c r="AI635" s="1207"/>
      <c r="AJ635" s="1207"/>
      <c r="AK635" s="1207"/>
      <c r="AL635" s="1207"/>
      <c r="AN635" s="1296"/>
    </row>
    <row r="636" spans="1:42" s="1222" customFormat="1" ht="12.75" customHeight="1">
      <c r="B636" s="1207"/>
      <c r="C636" s="1552"/>
      <c r="D636" s="1317" t="s">
        <v>533</v>
      </c>
      <c r="E636" s="1310" t="s">
        <v>1606</v>
      </c>
      <c r="F636" s="1310"/>
      <c r="G636" s="1310"/>
      <c r="H636" s="1310"/>
      <c r="I636" s="1310"/>
      <c r="J636" s="1310"/>
      <c r="K636" s="1310"/>
      <c r="L636" s="1310"/>
      <c r="M636" s="1310"/>
      <c r="N636" s="1310"/>
      <c r="O636" s="1310"/>
      <c r="P636" s="1310"/>
      <c r="Q636" s="1310"/>
      <c r="R636" s="1310"/>
      <c r="S636" s="1310"/>
      <c r="T636" s="1310"/>
      <c r="U636" s="1310"/>
      <c r="V636" s="1310"/>
      <c r="W636" s="1310"/>
      <c r="X636" s="1310"/>
      <c r="Y636" s="1310"/>
      <c r="Z636" s="1310"/>
      <c r="AA636" s="1310"/>
      <c r="AB636" s="1310"/>
      <c r="AC636" s="1207"/>
      <c r="AD636" s="1207"/>
      <c r="AE636" s="1207"/>
      <c r="AF636" s="2476" t="s">
        <v>1599</v>
      </c>
      <c r="AG636" s="2476"/>
      <c r="AH636" s="2476"/>
      <c r="AI636" s="2476"/>
      <c r="AJ636" s="2476"/>
      <c r="AK636" s="2476"/>
      <c r="AL636" s="2476"/>
      <c r="AN636" s="1296"/>
    </row>
    <row r="637" spans="1:42" s="1222" customFormat="1" ht="12.75" customHeight="1">
      <c r="B637" s="1207"/>
      <c r="C637" s="1552"/>
      <c r="D637" s="1317"/>
      <c r="E637" s="1310" t="s">
        <v>1607</v>
      </c>
      <c r="F637" s="1310"/>
      <c r="G637" s="1310"/>
      <c r="H637" s="1310"/>
      <c r="I637" s="1310"/>
      <c r="J637" s="1310"/>
      <c r="K637" s="1310"/>
      <c r="L637" s="1310"/>
      <c r="M637" s="1310"/>
      <c r="N637" s="1310"/>
      <c r="O637" s="1310"/>
      <c r="P637" s="1310"/>
      <c r="Q637" s="1310"/>
      <c r="R637" s="1310"/>
      <c r="S637" s="1310"/>
      <c r="T637" s="1310"/>
      <c r="U637" s="1310"/>
      <c r="V637" s="1310"/>
      <c r="W637" s="1310"/>
      <c r="X637" s="1310"/>
      <c r="Y637" s="1310"/>
      <c r="Z637" s="1310"/>
      <c r="AA637" s="1310"/>
      <c r="AB637" s="1310"/>
      <c r="AC637" s="1207"/>
      <c r="AD637" s="1207"/>
      <c r="AE637" s="1289"/>
      <c r="AF637" s="1289"/>
      <c r="AG637" s="1289"/>
      <c r="AH637" s="1289"/>
      <c r="AI637" s="1289"/>
      <c r="AJ637" s="1289"/>
      <c r="AK637" s="1289"/>
      <c r="AL637" s="1289"/>
      <c r="AN637" s="1296"/>
    </row>
    <row r="638" spans="1:42" s="1222" customFormat="1" ht="12.75" customHeight="1">
      <c r="B638" s="1207"/>
      <c r="C638" s="1552"/>
      <c r="D638" s="1207"/>
      <c r="E638" s="1310"/>
      <c r="F638" s="1310"/>
      <c r="G638" s="1310"/>
      <c r="H638" s="1310"/>
      <c r="I638" s="1310"/>
      <c r="J638" s="1310"/>
      <c r="K638" s="1310"/>
      <c r="L638" s="1310"/>
      <c r="M638" s="1310"/>
      <c r="N638" s="1310"/>
      <c r="O638" s="1310"/>
      <c r="P638" s="1310"/>
      <c r="Q638" s="1310"/>
      <c r="R638" s="1310"/>
      <c r="S638" s="1310"/>
      <c r="T638" s="1310"/>
      <c r="U638" s="1310"/>
      <c r="V638" s="1310"/>
      <c r="W638" s="1310"/>
      <c r="X638" s="1310"/>
      <c r="Y638" s="1310"/>
      <c r="Z638" s="1310"/>
      <c r="AA638" s="1310"/>
      <c r="AB638" s="1310"/>
      <c r="AC638" s="1207"/>
      <c r="AD638" s="1207"/>
      <c r="AE638" s="1207"/>
      <c r="AF638" s="1207"/>
      <c r="AG638" s="1207"/>
      <c r="AH638" s="1207"/>
      <c r="AI638" s="1207"/>
      <c r="AJ638" s="1207"/>
      <c r="AK638" s="1207"/>
      <c r="AL638" s="1207"/>
      <c r="AN638" s="1296"/>
      <c r="AP638" s="1568"/>
    </row>
    <row r="639" spans="1:42" s="1222" customFormat="1" ht="12.75" customHeight="1">
      <c r="B639" s="1207"/>
      <c r="C639" s="1552"/>
      <c r="D639" s="1207" t="s">
        <v>1591</v>
      </c>
      <c r="E639" s="1559"/>
      <c r="F639" s="1559"/>
      <c r="G639" s="1559"/>
      <c r="H639" s="2477" t="s">
        <v>713</v>
      </c>
      <c r="I639" s="2477"/>
      <c r="J639" s="1310"/>
      <c r="K639" s="1310"/>
      <c r="L639" s="1310"/>
      <c r="M639" s="1310"/>
      <c r="N639" s="1310"/>
      <c r="O639" s="1310"/>
      <c r="P639" s="1310"/>
      <c r="Q639" s="1310"/>
      <c r="R639" s="1310"/>
      <c r="S639" s="1310"/>
      <c r="T639" s="1310"/>
      <c r="U639" s="1310"/>
      <c r="V639" s="1310"/>
      <c r="W639" s="1207"/>
      <c r="X639" s="1207"/>
      <c r="Y639" s="1207"/>
      <c r="Z639" s="1207"/>
      <c r="AA639" s="1207"/>
      <c r="AB639" s="1207"/>
      <c r="AC639" s="1207"/>
      <c r="AD639" s="1207"/>
      <c r="AE639" s="1207"/>
      <c r="AF639" s="1207"/>
      <c r="AG639" s="1207"/>
      <c r="AH639" s="1207"/>
      <c r="AI639" s="1207"/>
      <c r="AJ639" s="1207"/>
      <c r="AK639" s="1207"/>
      <c r="AL639" s="1207"/>
      <c r="AN639" s="1296"/>
    </row>
    <row r="640" spans="1:42" s="1222" customFormat="1" ht="12.75" customHeight="1">
      <c r="B640" s="1207"/>
      <c r="C640" s="1552"/>
      <c r="D640" s="1207"/>
      <c r="E640" s="1559"/>
      <c r="F640" s="1559"/>
      <c r="G640" s="1310"/>
      <c r="H640" s="1310"/>
      <c r="I640" s="1310"/>
      <c r="J640" s="1310"/>
      <c r="K640" s="1310"/>
      <c r="L640" s="1310"/>
      <c r="M640" s="1310"/>
      <c r="N640" s="1310"/>
      <c r="O640" s="1310"/>
      <c r="P640" s="1310"/>
      <c r="Q640" s="1310"/>
      <c r="R640" s="1310"/>
      <c r="S640" s="1310"/>
      <c r="T640" s="1310"/>
      <c r="U640" s="1310"/>
      <c r="V640" s="1310"/>
      <c r="W640" s="1310"/>
      <c r="X640" s="1310"/>
      <c r="Y640" s="1310"/>
      <c r="Z640" s="1559"/>
      <c r="AA640" s="1559"/>
      <c r="AB640" s="1559"/>
      <c r="AC640" s="1207"/>
      <c r="AD640" s="1207"/>
      <c r="AE640" s="1207"/>
      <c r="AF640" s="1207"/>
      <c r="AG640" s="1207"/>
      <c r="AH640" s="1207"/>
      <c r="AI640" s="1207"/>
      <c r="AJ640" s="1310"/>
      <c r="AK640" s="1310"/>
      <c r="AL640" s="1310"/>
      <c r="AM640" s="1223"/>
      <c r="AN640" s="1296"/>
    </row>
    <row r="641" spans="1:42" s="1222" customFormat="1" ht="12.75" customHeight="1">
      <c r="A641" s="1300"/>
      <c r="B641" s="1292"/>
      <c r="C641" s="1573"/>
      <c r="D641" s="1292"/>
      <c r="E641" s="1563"/>
      <c r="F641" s="1563"/>
      <c r="G641" s="1416"/>
      <c r="H641" s="1416"/>
      <c r="I641" s="1416"/>
      <c r="J641" s="1416"/>
      <c r="K641" s="1416"/>
      <c r="L641" s="1416"/>
      <c r="M641" s="1416"/>
      <c r="N641" s="1416"/>
      <c r="O641" s="1416"/>
      <c r="P641" s="1416"/>
      <c r="Q641" s="1416"/>
      <c r="R641" s="1416"/>
      <c r="S641" s="1416"/>
      <c r="T641" s="1416"/>
      <c r="U641" s="1416"/>
      <c r="V641" s="1416"/>
      <c r="W641" s="1416"/>
      <c r="X641" s="1416"/>
      <c r="Y641" s="1563"/>
      <c r="Z641" s="1563"/>
      <c r="AA641" s="1563"/>
      <c r="AB641" s="1292"/>
      <c r="AC641" s="1292"/>
      <c r="AD641" s="1292"/>
      <c r="AE641" s="1292"/>
      <c r="AF641" s="1292"/>
      <c r="AG641" s="1292"/>
      <c r="AH641" s="1292"/>
      <c r="AI641" s="1239" t="s">
        <v>1608</v>
      </c>
      <c r="AJ641" s="2455">
        <f>VLOOKUP(H639,AT594:AU596,2,FALSE)</f>
        <v>3</v>
      </c>
      <c r="AK641" s="2457"/>
      <c r="AL641" s="1267"/>
      <c r="AN641" s="1296"/>
      <c r="AO641" s="1222" t="s">
        <v>616</v>
      </c>
      <c r="AP641" s="1555">
        <v>0</v>
      </c>
    </row>
    <row r="642" spans="1:42" s="1222" customFormat="1" ht="12.75" customHeight="1">
      <c r="B642" s="1207"/>
      <c r="C642" s="1552"/>
      <c r="D642" s="1207"/>
      <c r="E642" s="1207"/>
      <c r="F642" s="1207"/>
      <c r="G642" s="1207"/>
      <c r="H642" s="1207"/>
      <c r="I642" s="1207"/>
      <c r="J642" s="1207"/>
      <c r="K642" s="1207"/>
      <c r="L642" s="1207"/>
      <c r="M642" s="1207"/>
      <c r="N642" s="1207"/>
      <c r="O642" s="1207"/>
      <c r="P642" s="1207"/>
      <c r="Q642" s="1207"/>
      <c r="R642" s="1207"/>
      <c r="S642" s="1207"/>
      <c r="T642" s="1207"/>
      <c r="U642" s="1207"/>
      <c r="V642" s="1207"/>
      <c r="W642" s="1207"/>
      <c r="X642" s="1207"/>
      <c r="Y642" s="1207"/>
      <c r="Z642" s="1207"/>
      <c r="AA642" s="1207"/>
      <c r="AB642" s="1207"/>
      <c r="AC642" s="1207"/>
      <c r="AD642" s="1207"/>
      <c r="AE642" s="1207"/>
      <c r="AF642" s="1207"/>
      <c r="AG642" s="1207"/>
      <c r="AH642" s="1207"/>
      <c r="AI642" s="1207"/>
      <c r="AJ642" s="1207"/>
      <c r="AK642" s="1207"/>
      <c r="AL642" s="1207"/>
      <c r="AN642" s="1296"/>
      <c r="AO642" s="1305" t="s">
        <v>713</v>
      </c>
      <c r="AP642" s="1222">
        <v>3</v>
      </c>
    </row>
    <row r="643" spans="1:42" s="1222" customFormat="1" ht="12.75" customHeight="1">
      <c r="B643" s="1207"/>
      <c r="C643" s="1210" t="s">
        <v>1609</v>
      </c>
      <c r="D643" s="1207"/>
      <c r="E643" s="1207"/>
      <c r="F643" s="1207"/>
      <c r="G643" s="1207"/>
      <c r="H643" s="1207"/>
      <c r="I643" s="1207"/>
      <c r="J643" s="1207"/>
      <c r="K643" s="1207"/>
      <c r="L643" s="1207"/>
      <c r="M643" s="1207"/>
      <c r="N643" s="1207"/>
      <c r="O643" s="1207"/>
      <c r="P643" s="1207"/>
      <c r="Q643" s="1207"/>
      <c r="R643" s="1207"/>
      <c r="S643" s="1207"/>
      <c r="T643" s="1207"/>
      <c r="U643" s="1207"/>
      <c r="V643" s="1207"/>
      <c r="W643" s="1207"/>
      <c r="X643" s="1207"/>
      <c r="Y643" s="1207"/>
      <c r="Z643" s="1207"/>
      <c r="AA643" s="1207"/>
      <c r="AB643" s="1207"/>
      <c r="AC643" s="1207"/>
      <c r="AD643" s="1207"/>
      <c r="AE643" s="1207"/>
      <c r="AF643" s="1207"/>
      <c r="AG643" s="1207"/>
      <c r="AH643" s="1207"/>
      <c r="AI643" s="1207"/>
      <c r="AJ643" s="1207"/>
      <c r="AK643" s="1207"/>
      <c r="AL643" s="1207"/>
      <c r="AN643" s="1296"/>
      <c r="AO643" s="1305" t="s">
        <v>533</v>
      </c>
      <c r="AP643" s="1222">
        <v>2</v>
      </c>
    </row>
    <row r="644" spans="1:42" s="1222" customFormat="1" ht="12.75" customHeight="1">
      <c r="B644" s="1207"/>
      <c r="C644" s="1210"/>
      <c r="D644" s="1575" t="s">
        <v>1610</v>
      </c>
      <c r="E644" s="1207"/>
      <c r="F644" s="1207"/>
      <c r="G644" s="1207"/>
      <c r="H644" s="1207"/>
      <c r="I644" s="1207"/>
      <c r="J644" s="1207"/>
      <c r="K644" s="1207"/>
      <c r="L644" s="1207"/>
      <c r="M644" s="1207"/>
      <c r="N644" s="1207"/>
      <c r="O644" s="1207"/>
      <c r="P644" s="1207"/>
      <c r="Q644" s="1207"/>
      <c r="R644" s="1207"/>
      <c r="S644" s="1207"/>
      <c r="T644" s="1207"/>
      <c r="U644" s="1207"/>
      <c r="V644" s="1207"/>
      <c r="W644" s="1207"/>
      <c r="X644" s="1207"/>
      <c r="Y644" s="1207"/>
      <c r="Z644" s="1207"/>
      <c r="AA644" s="1207"/>
      <c r="AB644" s="1207"/>
      <c r="AC644" s="1207"/>
      <c r="AD644" s="1207"/>
      <c r="AE644" s="1207"/>
      <c r="AF644" s="1207"/>
      <c r="AG644" s="1207"/>
      <c r="AH644" s="1207"/>
      <c r="AI644" s="1207"/>
      <c r="AJ644" s="1207"/>
      <c r="AK644" s="1207"/>
      <c r="AL644" s="1207"/>
      <c r="AN644" s="1296"/>
    </row>
    <row r="645" spans="1:42" s="1222" customFormat="1" ht="12.75" customHeight="1">
      <c r="B645" s="1207"/>
      <c r="C645" s="1210"/>
      <c r="D645" s="1207"/>
      <c r="E645" s="1207"/>
      <c r="F645" s="1207"/>
      <c r="G645" s="1207"/>
      <c r="H645" s="1207"/>
      <c r="I645" s="1207"/>
      <c r="J645" s="1207"/>
      <c r="K645" s="1207"/>
      <c r="L645" s="1207"/>
      <c r="M645" s="1207"/>
      <c r="N645" s="1207"/>
      <c r="O645" s="1207"/>
      <c r="P645" s="1207"/>
      <c r="Q645" s="1207"/>
      <c r="R645" s="1207"/>
      <c r="S645" s="1207"/>
      <c r="T645" s="1207"/>
      <c r="U645" s="1207"/>
      <c r="V645" s="1207"/>
      <c r="W645" s="1207"/>
      <c r="X645" s="1207"/>
      <c r="Y645" s="1207"/>
      <c r="Z645" s="1207"/>
      <c r="AA645" s="1207"/>
      <c r="AB645" s="1207"/>
      <c r="AC645" s="1207"/>
      <c r="AD645" s="1207"/>
      <c r="AE645" s="1207"/>
      <c r="AF645" s="1207"/>
      <c r="AG645" s="1207"/>
      <c r="AH645" s="1207"/>
      <c r="AI645" s="1207"/>
      <c r="AJ645" s="1207"/>
      <c r="AK645" s="1207"/>
      <c r="AL645" s="1207"/>
      <c r="AN645" s="1296"/>
    </row>
    <row r="646" spans="1:42" s="1222" customFormat="1" ht="12.75" customHeight="1">
      <c r="B646" s="1207"/>
      <c r="C646" s="1210"/>
      <c r="D646" s="1317" t="s">
        <v>713</v>
      </c>
      <c r="E646" s="2475" t="s">
        <v>1611</v>
      </c>
      <c r="F646" s="2475"/>
      <c r="G646" s="2475"/>
      <c r="H646" s="2475"/>
      <c r="I646" s="2475"/>
      <c r="J646" s="2475"/>
      <c r="K646" s="2475"/>
      <c r="L646" s="2475"/>
      <c r="M646" s="2475"/>
      <c r="N646" s="2475"/>
      <c r="O646" s="2475"/>
      <c r="P646" s="2475"/>
      <c r="Q646" s="2475"/>
      <c r="R646" s="2475"/>
      <c r="S646" s="2475"/>
      <c r="T646" s="2475"/>
      <c r="U646" s="2475"/>
      <c r="V646" s="2475"/>
      <c r="W646" s="2475"/>
      <c r="X646" s="2475"/>
      <c r="Y646" s="2475"/>
      <c r="Z646" s="2475"/>
      <c r="AA646" s="2475"/>
      <c r="AB646" s="2475"/>
      <c r="AC646" s="2475"/>
      <c r="AD646" s="1207"/>
      <c r="AE646" s="1207"/>
      <c r="AF646" s="2476" t="s">
        <v>1569</v>
      </c>
      <c r="AG646" s="2476"/>
      <c r="AH646" s="2476"/>
      <c r="AI646" s="2476"/>
      <c r="AJ646" s="2476"/>
      <c r="AK646" s="2476"/>
      <c r="AL646" s="2476"/>
      <c r="AN646" s="1296"/>
    </row>
    <row r="647" spans="1:42" s="1222" customFormat="1" ht="12.75" customHeight="1">
      <c r="B647" s="1207"/>
      <c r="C647" s="1210"/>
      <c r="D647" s="1207"/>
      <c r="E647" s="2475"/>
      <c r="F647" s="2475"/>
      <c r="G647" s="2475"/>
      <c r="H647" s="2475"/>
      <c r="I647" s="2475"/>
      <c r="J647" s="2475"/>
      <c r="K647" s="2475"/>
      <c r="L647" s="2475"/>
      <c r="M647" s="2475"/>
      <c r="N647" s="2475"/>
      <c r="O647" s="2475"/>
      <c r="P647" s="2475"/>
      <c r="Q647" s="2475"/>
      <c r="R647" s="2475"/>
      <c r="S647" s="2475"/>
      <c r="T647" s="2475"/>
      <c r="U647" s="2475"/>
      <c r="V647" s="2475"/>
      <c r="W647" s="2475"/>
      <c r="X647" s="2475"/>
      <c r="Y647" s="2475"/>
      <c r="Z647" s="2475"/>
      <c r="AA647" s="2475"/>
      <c r="AB647" s="2475"/>
      <c r="AC647" s="2475"/>
      <c r="AD647" s="1207"/>
      <c r="AE647" s="1207"/>
      <c r="AF647" s="1207"/>
      <c r="AG647" s="1207"/>
      <c r="AH647" s="1207"/>
      <c r="AI647" s="1207"/>
      <c r="AJ647" s="1207"/>
      <c r="AK647" s="1207"/>
      <c r="AL647" s="1207"/>
      <c r="AN647" s="1296"/>
    </row>
    <row r="648" spans="1:42" s="1222" customFormat="1" ht="12.75" customHeight="1">
      <c r="B648" s="1207"/>
      <c r="C648" s="1210"/>
      <c r="D648" s="1317"/>
      <c r="E648" s="2475"/>
      <c r="F648" s="2475"/>
      <c r="G648" s="2475"/>
      <c r="H648" s="2475"/>
      <c r="I648" s="2475"/>
      <c r="J648" s="2475"/>
      <c r="K648" s="2475"/>
      <c r="L648" s="2475"/>
      <c r="M648" s="2475"/>
      <c r="N648" s="2475"/>
      <c r="O648" s="2475"/>
      <c r="P648" s="2475"/>
      <c r="Q648" s="2475"/>
      <c r="R648" s="2475"/>
      <c r="S648" s="2475"/>
      <c r="T648" s="2475"/>
      <c r="U648" s="2475"/>
      <c r="V648" s="2475"/>
      <c r="W648" s="2475"/>
      <c r="X648" s="2475"/>
      <c r="Y648" s="2475"/>
      <c r="Z648" s="2475"/>
      <c r="AA648" s="2475"/>
      <c r="AB648" s="2475"/>
      <c r="AC648" s="2475"/>
      <c r="AD648" s="1207"/>
      <c r="AE648" s="1207"/>
      <c r="AF648" s="1207"/>
      <c r="AG648" s="1207"/>
      <c r="AH648" s="1207"/>
      <c r="AI648" s="1207"/>
      <c r="AJ648" s="1207"/>
      <c r="AK648" s="1207"/>
      <c r="AL648" s="1207"/>
      <c r="AN648" s="1296"/>
    </row>
    <row r="649" spans="1:42" s="1222" customFormat="1" ht="15" customHeight="1">
      <c r="B649" s="1207"/>
      <c r="C649" s="1210"/>
      <c r="D649" s="1207"/>
      <c r="E649" s="1576"/>
      <c r="F649" s="1576"/>
      <c r="G649" s="1576"/>
      <c r="H649" s="1576"/>
      <c r="I649" s="1576"/>
      <c r="J649" s="1576"/>
      <c r="K649" s="1576"/>
      <c r="L649" s="1576"/>
      <c r="M649" s="1576"/>
      <c r="N649" s="1576"/>
      <c r="O649" s="1576"/>
      <c r="P649" s="1576"/>
      <c r="Q649" s="1576"/>
      <c r="R649" s="1576"/>
      <c r="S649" s="1576"/>
      <c r="T649" s="1576"/>
      <c r="U649" s="1576"/>
      <c r="V649" s="1576"/>
      <c r="W649" s="1576"/>
      <c r="X649" s="1576"/>
      <c r="Y649" s="1576"/>
      <c r="Z649" s="1576"/>
      <c r="AA649" s="1576"/>
      <c r="AB649" s="1576"/>
      <c r="AC649" s="1207"/>
      <c r="AD649" s="1207"/>
      <c r="AE649" s="1207"/>
      <c r="AF649" s="1207"/>
      <c r="AG649" s="1207"/>
      <c r="AH649" s="1207"/>
      <c r="AI649" s="1207"/>
      <c r="AJ649" s="1207"/>
      <c r="AK649" s="1207"/>
      <c r="AL649" s="1207"/>
      <c r="AN649" s="1296"/>
    </row>
    <row r="650" spans="1:42" s="1222" customFormat="1" ht="12.75" customHeight="1">
      <c r="B650" s="1207"/>
      <c r="C650" s="1210"/>
      <c r="D650" s="1317" t="s">
        <v>533</v>
      </c>
      <c r="E650" s="2475" t="s">
        <v>1612</v>
      </c>
      <c r="F650" s="2475"/>
      <c r="G650" s="2475"/>
      <c r="H650" s="2475"/>
      <c r="I650" s="2475"/>
      <c r="J650" s="2475"/>
      <c r="K650" s="2475"/>
      <c r="L650" s="2475"/>
      <c r="M650" s="2475"/>
      <c r="N650" s="2475"/>
      <c r="O650" s="2475"/>
      <c r="P650" s="2475"/>
      <c r="Q650" s="2475"/>
      <c r="R650" s="2475"/>
      <c r="S650" s="2475"/>
      <c r="T650" s="2475"/>
      <c r="U650" s="2475"/>
      <c r="V650" s="2475"/>
      <c r="W650" s="2475"/>
      <c r="X650" s="2475"/>
      <c r="Y650" s="2475"/>
      <c r="Z650" s="2475"/>
      <c r="AA650" s="2475"/>
      <c r="AB650" s="2475"/>
      <c r="AC650" s="2475"/>
      <c r="AD650" s="1207"/>
      <c r="AE650" s="1207"/>
      <c r="AF650" s="2476" t="s">
        <v>1590</v>
      </c>
      <c r="AG650" s="2476"/>
      <c r="AH650" s="2476"/>
      <c r="AI650" s="2476"/>
      <c r="AJ650" s="2476"/>
      <c r="AK650" s="2476"/>
      <c r="AL650" s="2476"/>
      <c r="AN650" s="1296"/>
    </row>
    <row r="651" spans="1:42" s="1222" customFormat="1" ht="12.75" customHeight="1">
      <c r="B651" s="1207"/>
      <c r="C651" s="1210"/>
      <c r="D651" s="1207"/>
      <c r="E651" s="2475"/>
      <c r="F651" s="2475"/>
      <c r="G651" s="2475"/>
      <c r="H651" s="2475"/>
      <c r="I651" s="2475"/>
      <c r="J651" s="2475"/>
      <c r="K651" s="2475"/>
      <c r="L651" s="2475"/>
      <c r="M651" s="2475"/>
      <c r="N651" s="2475"/>
      <c r="O651" s="2475"/>
      <c r="P651" s="2475"/>
      <c r="Q651" s="2475"/>
      <c r="R651" s="2475"/>
      <c r="S651" s="2475"/>
      <c r="T651" s="2475"/>
      <c r="U651" s="2475"/>
      <c r="V651" s="2475"/>
      <c r="W651" s="2475"/>
      <c r="X651" s="2475"/>
      <c r="Y651" s="2475"/>
      <c r="Z651" s="2475"/>
      <c r="AA651" s="2475"/>
      <c r="AB651" s="2475"/>
      <c r="AC651" s="2475"/>
      <c r="AD651" s="1207"/>
      <c r="AE651" s="1207"/>
      <c r="AF651" s="1207"/>
      <c r="AG651" s="1207"/>
      <c r="AH651" s="1207"/>
      <c r="AI651" s="1207"/>
      <c r="AJ651" s="1207"/>
      <c r="AK651" s="1207"/>
      <c r="AL651" s="1207"/>
      <c r="AN651" s="1296"/>
    </row>
    <row r="652" spans="1:42" s="1222" customFormat="1" ht="15" customHeight="1">
      <c r="B652" s="1207"/>
      <c r="C652" s="1210"/>
      <c r="D652" s="1317"/>
      <c r="E652" s="2475"/>
      <c r="F652" s="2475"/>
      <c r="G652" s="2475"/>
      <c r="H652" s="2475"/>
      <c r="I652" s="2475"/>
      <c r="J652" s="2475"/>
      <c r="K652" s="2475"/>
      <c r="L652" s="2475"/>
      <c r="M652" s="2475"/>
      <c r="N652" s="2475"/>
      <c r="O652" s="2475"/>
      <c r="P652" s="2475"/>
      <c r="Q652" s="2475"/>
      <c r="R652" s="2475"/>
      <c r="S652" s="2475"/>
      <c r="T652" s="2475"/>
      <c r="U652" s="2475"/>
      <c r="V652" s="2475"/>
      <c r="W652" s="2475"/>
      <c r="X652" s="2475"/>
      <c r="Y652" s="2475"/>
      <c r="Z652" s="2475"/>
      <c r="AA652" s="2475"/>
      <c r="AB652" s="2475"/>
      <c r="AC652" s="2475"/>
      <c r="AD652" s="1207"/>
      <c r="AE652" s="1207"/>
      <c r="AF652" s="1207"/>
      <c r="AG652" s="1207"/>
      <c r="AH652" s="1207"/>
      <c r="AI652" s="1207"/>
      <c r="AJ652" s="1207"/>
      <c r="AK652" s="1207"/>
      <c r="AL652" s="1207"/>
      <c r="AN652" s="1296"/>
    </row>
    <row r="653" spans="1:42" s="1222" customFormat="1" ht="12.75" customHeight="1">
      <c r="B653" s="1207"/>
      <c r="C653" s="1210"/>
      <c r="D653" s="1207"/>
      <c r="E653" s="1576"/>
      <c r="F653" s="1576"/>
      <c r="G653" s="1576"/>
      <c r="H653" s="1576"/>
      <c r="I653" s="1576"/>
      <c r="J653" s="1576"/>
      <c r="K653" s="1576"/>
      <c r="L653" s="1576"/>
      <c r="M653" s="1576"/>
      <c r="N653" s="1576"/>
      <c r="O653" s="1576"/>
      <c r="P653" s="1576"/>
      <c r="Q653" s="1576"/>
      <c r="R653" s="1576"/>
      <c r="S653" s="1576"/>
      <c r="T653" s="1576"/>
      <c r="U653" s="1576"/>
      <c r="V653" s="1576"/>
      <c r="W653" s="1576"/>
      <c r="X653" s="1576"/>
      <c r="Y653" s="1576"/>
      <c r="Z653" s="1576"/>
      <c r="AA653" s="1576"/>
      <c r="AB653" s="1576"/>
      <c r="AC653" s="1207"/>
      <c r="AD653" s="1207"/>
      <c r="AE653" s="1207"/>
      <c r="AF653" s="1207"/>
      <c r="AG653" s="1207"/>
      <c r="AH653" s="1207"/>
      <c r="AI653" s="1207"/>
      <c r="AJ653" s="1207"/>
      <c r="AK653" s="1207"/>
      <c r="AL653" s="1207"/>
      <c r="AN653" s="1296"/>
    </row>
    <row r="654" spans="1:42" s="1222" customFormat="1" ht="12.75" customHeight="1">
      <c r="B654" s="1207"/>
      <c r="C654" s="1210"/>
      <c r="D654" s="1317" t="s">
        <v>283</v>
      </c>
      <c r="E654" s="2475" t="s">
        <v>1613</v>
      </c>
      <c r="F654" s="2475"/>
      <c r="G654" s="2475"/>
      <c r="H654" s="2475"/>
      <c r="I654" s="2475"/>
      <c r="J654" s="2475"/>
      <c r="K654" s="2475"/>
      <c r="L654" s="2475"/>
      <c r="M654" s="2475"/>
      <c r="N654" s="2475"/>
      <c r="O654" s="2475"/>
      <c r="P654" s="2475"/>
      <c r="Q654" s="2475"/>
      <c r="R654" s="2475"/>
      <c r="S654" s="2475"/>
      <c r="T654" s="2475"/>
      <c r="U654" s="2475"/>
      <c r="V654" s="2475"/>
      <c r="W654" s="2475"/>
      <c r="X654" s="2475"/>
      <c r="Y654" s="2475"/>
      <c r="Z654" s="2475"/>
      <c r="AA654" s="2475"/>
      <c r="AB654" s="2475"/>
      <c r="AC654" s="2475"/>
      <c r="AD654" s="1207"/>
      <c r="AE654" s="1207"/>
      <c r="AF654" s="2476" t="s">
        <v>1543</v>
      </c>
      <c r="AG654" s="2476"/>
      <c r="AH654" s="2476"/>
      <c r="AI654" s="2476"/>
      <c r="AJ654" s="2476"/>
      <c r="AK654" s="2476"/>
      <c r="AL654" s="2476"/>
      <c r="AN654" s="1296"/>
    </row>
    <row r="655" spans="1:42" s="1222" customFormat="1" ht="12.75" customHeight="1">
      <c r="B655" s="1207"/>
      <c r="C655" s="1552"/>
      <c r="D655" s="1207"/>
      <c r="E655" s="2475"/>
      <c r="F655" s="2475"/>
      <c r="G655" s="2475"/>
      <c r="H655" s="2475"/>
      <c r="I655" s="2475"/>
      <c r="J655" s="2475"/>
      <c r="K655" s="2475"/>
      <c r="L655" s="2475"/>
      <c r="M655" s="2475"/>
      <c r="N655" s="2475"/>
      <c r="O655" s="2475"/>
      <c r="P655" s="2475"/>
      <c r="Q655" s="2475"/>
      <c r="R655" s="2475"/>
      <c r="S655" s="2475"/>
      <c r="T655" s="2475"/>
      <c r="U655" s="2475"/>
      <c r="V655" s="2475"/>
      <c r="W655" s="2475"/>
      <c r="X655" s="2475"/>
      <c r="Y655" s="2475"/>
      <c r="Z655" s="2475"/>
      <c r="AA655" s="2475"/>
      <c r="AB655" s="2475"/>
      <c r="AC655" s="2475"/>
      <c r="AD655" s="1207"/>
      <c r="AE655" s="2476"/>
      <c r="AF655" s="2476"/>
      <c r="AG655" s="2476"/>
      <c r="AH655" s="2476"/>
      <c r="AI655" s="2476"/>
      <c r="AJ655" s="2476"/>
      <c r="AK655" s="2476"/>
      <c r="AL655" s="1289"/>
      <c r="AN655" s="1296"/>
      <c r="AO655" s="1222" t="s">
        <v>616</v>
      </c>
      <c r="AP655" s="1555">
        <v>0</v>
      </c>
    </row>
    <row r="656" spans="1:42" s="1222" customFormat="1" ht="12.75" customHeight="1">
      <c r="A656" s="1492"/>
      <c r="B656" s="1207"/>
      <c r="C656" s="1207"/>
      <c r="D656" s="1317"/>
      <c r="E656" s="2475"/>
      <c r="F656" s="2475"/>
      <c r="G656" s="2475"/>
      <c r="H656" s="2475"/>
      <c r="I656" s="2475"/>
      <c r="J656" s="2475"/>
      <c r="K656" s="2475"/>
      <c r="L656" s="2475"/>
      <c r="M656" s="2475"/>
      <c r="N656" s="2475"/>
      <c r="O656" s="2475"/>
      <c r="P656" s="2475"/>
      <c r="Q656" s="2475"/>
      <c r="R656" s="2475"/>
      <c r="S656" s="2475"/>
      <c r="T656" s="2475"/>
      <c r="U656" s="2475"/>
      <c r="V656" s="2475"/>
      <c r="W656" s="2475"/>
      <c r="X656" s="2475"/>
      <c r="Y656" s="2475"/>
      <c r="Z656" s="2475"/>
      <c r="AA656" s="2475"/>
      <c r="AB656" s="2475"/>
      <c r="AC656" s="2475"/>
      <c r="AD656" s="1207"/>
      <c r="AE656" s="1207"/>
      <c r="AF656" s="1207"/>
      <c r="AG656" s="1207"/>
      <c r="AH656" s="1207"/>
      <c r="AI656" s="1207"/>
      <c r="AJ656" s="1207"/>
      <c r="AK656" s="1207"/>
      <c r="AL656" s="1207"/>
      <c r="AN656" s="1296"/>
      <c r="AO656" s="1305" t="s">
        <v>713</v>
      </c>
      <c r="AP656" s="1222">
        <v>3</v>
      </c>
    </row>
    <row r="657" spans="1:42" s="1222" customFormat="1" ht="12.75" customHeight="1">
      <c r="B657" s="1207"/>
      <c r="C657" s="1552"/>
      <c r="D657" s="1317"/>
      <c r="E657" s="1249"/>
      <c r="F657" s="1249"/>
      <c r="G657" s="1249"/>
      <c r="H657" s="1249"/>
      <c r="I657" s="1249"/>
      <c r="J657" s="1249"/>
      <c r="K657" s="1249"/>
      <c r="L657" s="1249"/>
      <c r="M657" s="1249"/>
      <c r="N657" s="1249"/>
      <c r="O657" s="1249"/>
      <c r="P657" s="1249"/>
      <c r="Q657" s="1249"/>
      <c r="R657" s="1249"/>
      <c r="S657" s="1249"/>
      <c r="T657" s="1249"/>
      <c r="U657" s="1249"/>
      <c r="V657" s="1249"/>
      <c r="W657" s="1249"/>
      <c r="X657" s="1249"/>
      <c r="Y657" s="1249"/>
      <c r="Z657" s="1249"/>
      <c r="AA657" s="1249"/>
      <c r="AB657" s="1249"/>
      <c r="AC657" s="1207"/>
      <c r="AD657" s="1207"/>
      <c r="AE657" s="1207"/>
      <c r="AF657" s="1207"/>
      <c r="AG657" s="1207"/>
      <c r="AH657" s="1207"/>
      <c r="AI657" s="1207"/>
      <c r="AJ657" s="1207"/>
      <c r="AK657" s="1207"/>
      <c r="AL657" s="1207"/>
      <c r="AN657" s="1296"/>
      <c r="AO657" s="1305" t="s">
        <v>533</v>
      </c>
      <c r="AP657" s="1222">
        <v>2</v>
      </c>
    </row>
    <row r="658" spans="1:42" s="1222" customFormat="1" ht="12.75" customHeight="1">
      <c r="A658" s="1577"/>
      <c r="B658" s="1207"/>
      <c r="C658" s="1578"/>
      <c r="D658" s="1317" t="s">
        <v>1588</v>
      </c>
      <c r="E658" s="2475" t="s">
        <v>1614</v>
      </c>
      <c r="F658" s="2475"/>
      <c r="G658" s="2475"/>
      <c r="H658" s="2475"/>
      <c r="I658" s="2475"/>
      <c r="J658" s="2475"/>
      <c r="K658" s="2475"/>
      <c r="L658" s="2475"/>
      <c r="M658" s="2475"/>
      <c r="N658" s="2475"/>
      <c r="O658" s="2475"/>
      <c r="P658" s="2475"/>
      <c r="Q658" s="2475"/>
      <c r="R658" s="2475"/>
      <c r="S658" s="2475"/>
      <c r="T658" s="2475"/>
      <c r="U658" s="2475"/>
      <c r="V658" s="2475"/>
      <c r="W658" s="2475"/>
      <c r="X658" s="2475"/>
      <c r="Y658" s="2475"/>
      <c r="Z658" s="2475"/>
      <c r="AA658" s="2475"/>
      <c r="AB658" s="2475"/>
      <c r="AC658" s="2475"/>
      <c r="AD658" s="1207"/>
      <c r="AE658" s="1207"/>
      <c r="AF658" s="2476" t="s">
        <v>1590</v>
      </c>
      <c r="AG658" s="2476"/>
      <c r="AH658" s="2476"/>
      <c r="AI658" s="2476"/>
      <c r="AJ658" s="2476"/>
      <c r="AK658" s="2476"/>
      <c r="AL658" s="2476"/>
      <c r="AN658" s="1296"/>
    </row>
    <row r="659" spans="1:42" s="1222" customFormat="1" ht="12.75" customHeight="1">
      <c r="A659" s="1577"/>
      <c r="B659" s="1207"/>
      <c r="C659" s="1578"/>
      <c r="D659" s="1317"/>
      <c r="E659" s="2475"/>
      <c r="F659" s="2475"/>
      <c r="G659" s="2475"/>
      <c r="H659" s="2475"/>
      <c r="I659" s="2475"/>
      <c r="J659" s="2475"/>
      <c r="K659" s="2475"/>
      <c r="L659" s="2475"/>
      <c r="M659" s="2475"/>
      <c r="N659" s="2475"/>
      <c r="O659" s="2475"/>
      <c r="P659" s="2475"/>
      <c r="Q659" s="2475"/>
      <c r="R659" s="2475"/>
      <c r="S659" s="2475"/>
      <c r="T659" s="2475"/>
      <c r="U659" s="2475"/>
      <c r="V659" s="2475"/>
      <c r="W659" s="2475"/>
      <c r="X659" s="2475"/>
      <c r="Y659" s="2475"/>
      <c r="Z659" s="2475"/>
      <c r="AA659" s="2475"/>
      <c r="AB659" s="2475"/>
      <c r="AC659" s="2475"/>
      <c r="AD659" s="1207"/>
      <c r="AE659" s="1289"/>
      <c r="AF659" s="1289"/>
      <c r="AG659" s="1289"/>
      <c r="AH659" s="1289"/>
      <c r="AI659" s="1289"/>
      <c r="AJ659" s="1289"/>
      <c r="AK659" s="1289"/>
      <c r="AL659" s="1289"/>
      <c r="AM659" s="1382"/>
      <c r="AN659" s="1296"/>
    </row>
    <row r="660" spans="1:42" s="1222" customFormat="1" ht="12.75" customHeight="1">
      <c r="A660" s="1577"/>
      <c r="B660" s="1207"/>
      <c r="C660" s="1578"/>
      <c r="D660" s="1317"/>
      <c r="E660" s="2475"/>
      <c r="F660" s="2475"/>
      <c r="G660" s="2475"/>
      <c r="H660" s="2475"/>
      <c r="I660" s="2475"/>
      <c r="J660" s="2475"/>
      <c r="K660" s="2475"/>
      <c r="L660" s="2475"/>
      <c r="M660" s="2475"/>
      <c r="N660" s="2475"/>
      <c r="O660" s="2475"/>
      <c r="P660" s="2475"/>
      <c r="Q660" s="2475"/>
      <c r="R660" s="2475"/>
      <c r="S660" s="2475"/>
      <c r="T660" s="2475"/>
      <c r="U660" s="2475"/>
      <c r="V660" s="2475"/>
      <c r="W660" s="2475"/>
      <c r="X660" s="2475"/>
      <c r="Y660" s="2475"/>
      <c r="Z660" s="2475"/>
      <c r="AA660" s="2475"/>
      <c r="AB660" s="2475"/>
      <c r="AC660" s="2475"/>
      <c r="AD660" s="1207"/>
      <c r="AE660" s="1289"/>
      <c r="AF660" s="1289"/>
      <c r="AG660" s="1289"/>
      <c r="AH660" s="1289"/>
      <c r="AI660" s="1289"/>
      <c r="AJ660" s="1289"/>
      <c r="AK660" s="1289"/>
      <c r="AL660" s="1289"/>
      <c r="AM660" s="1382"/>
      <c r="AN660" s="1296"/>
    </row>
    <row r="661" spans="1:42" s="1222" customFormat="1" ht="12.75" customHeight="1">
      <c r="B661" s="1207"/>
      <c r="C661" s="1552"/>
      <c r="D661" s="1317"/>
      <c r="E661" s="1294"/>
      <c r="F661" s="1294"/>
      <c r="G661" s="1294"/>
      <c r="H661" s="1294"/>
      <c r="I661" s="1294"/>
      <c r="J661" s="1294"/>
      <c r="K661" s="1294"/>
      <c r="L661" s="1294"/>
      <c r="M661" s="1294"/>
      <c r="N661" s="1294"/>
      <c r="O661" s="1294"/>
      <c r="P661" s="1294"/>
      <c r="Q661" s="1294"/>
      <c r="R661" s="1294"/>
      <c r="S661" s="1294"/>
      <c r="T661" s="1294"/>
      <c r="U661" s="1294"/>
      <c r="V661" s="1294"/>
      <c r="W661" s="1294"/>
      <c r="X661" s="1294"/>
      <c r="Y661" s="1294"/>
      <c r="Z661" s="1294"/>
      <c r="AA661" s="1294"/>
      <c r="AB661" s="1294"/>
      <c r="AC661" s="1210"/>
      <c r="AD661" s="1210"/>
      <c r="AE661" s="1207"/>
      <c r="AF661" s="1207"/>
      <c r="AG661" s="1207"/>
      <c r="AH661" s="1207"/>
      <c r="AI661" s="1207"/>
      <c r="AJ661" s="1207"/>
      <c r="AK661" s="1207"/>
      <c r="AL661" s="1289"/>
      <c r="AM661" s="1382"/>
      <c r="AN661" s="1296"/>
    </row>
    <row r="662" spans="1:42" s="1222" customFormat="1" ht="12.75" customHeight="1">
      <c r="B662" s="1207"/>
      <c r="C662" s="1552"/>
      <c r="D662" s="1317" t="s">
        <v>1589</v>
      </c>
      <c r="E662" s="2475" t="s">
        <v>1615</v>
      </c>
      <c r="F662" s="2475"/>
      <c r="G662" s="2475"/>
      <c r="H662" s="2475"/>
      <c r="I662" s="2475"/>
      <c r="J662" s="2475"/>
      <c r="K662" s="2475"/>
      <c r="L662" s="2475"/>
      <c r="M662" s="2475"/>
      <c r="N662" s="2475"/>
      <c r="O662" s="2475"/>
      <c r="P662" s="2475"/>
      <c r="Q662" s="2475"/>
      <c r="R662" s="2475"/>
      <c r="S662" s="2475"/>
      <c r="T662" s="2475"/>
      <c r="U662" s="2475"/>
      <c r="V662" s="2475"/>
      <c r="W662" s="2475"/>
      <c r="X662" s="2475"/>
      <c r="Y662" s="2475"/>
      <c r="Z662" s="2475"/>
      <c r="AA662" s="2475"/>
      <c r="AB662" s="2475"/>
      <c r="AC662" s="2475"/>
      <c r="AD662" s="1207"/>
      <c r="AE662" s="1207"/>
      <c r="AF662" s="2476" t="s">
        <v>1543</v>
      </c>
      <c r="AG662" s="2476"/>
      <c r="AH662" s="2476"/>
      <c r="AI662" s="2476"/>
      <c r="AJ662" s="2476"/>
      <c r="AK662" s="2476"/>
      <c r="AL662" s="2476"/>
      <c r="AM662" s="1382"/>
      <c r="AN662" s="1296"/>
    </row>
    <row r="663" spans="1:42" s="1222" customFormat="1" ht="12.75" customHeight="1">
      <c r="B663" s="1207"/>
      <c r="C663" s="1552"/>
      <c r="D663" s="1317"/>
      <c r="E663" s="2475"/>
      <c r="F663" s="2475"/>
      <c r="G663" s="2475"/>
      <c r="H663" s="2475"/>
      <c r="I663" s="2475"/>
      <c r="J663" s="2475"/>
      <c r="K663" s="2475"/>
      <c r="L663" s="2475"/>
      <c r="M663" s="2475"/>
      <c r="N663" s="2475"/>
      <c r="O663" s="2475"/>
      <c r="P663" s="2475"/>
      <c r="Q663" s="2475"/>
      <c r="R663" s="2475"/>
      <c r="S663" s="2475"/>
      <c r="T663" s="2475"/>
      <c r="U663" s="2475"/>
      <c r="V663" s="2475"/>
      <c r="W663" s="2475"/>
      <c r="X663" s="2475"/>
      <c r="Y663" s="2475"/>
      <c r="Z663" s="2475"/>
      <c r="AA663" s="2475"/>
      <c r="AB663" s="2475"/>
      <c r="AC663" s="2475"/>
      <c r="AD663" s="1207"/>
      <c r="AE663" s="1207"/>
      <c r="AF663" s="1207"/>
      <c r="AG663" s="1207"/>
      <c r="AH663" s="1207"/>
      <c r="AI663" s="1207"/>
      <c r="AJ663" s="1207"/>
      <c r="AK663" s="1207"/>
      <c r="AL663" s="1207"/>
      <c r="AM663" s="1382"/>
      <c r="AN663" s="1296"/>
    </row>
    <row r="664" spans="1:42" s="1222" customFormat="1" ht="12.75" customHeight="1">
      <c r="B664" s="1207"/>
      <c r="C664" s="1552"/>
      <c r="D664" s="1317"/>
      <c r="E664" s="2475"/>
      <c r="F664" s="2475"/>
      <c r="G664" s="2475"/>
      <c r="H664" s="2475"/>
      <c r="I664" s="2475"/>
      <c r="J664" s="2475"/>
      <c r="K664" s="2475"/>
      <c r="L664" s="2475"/>
      <c r="M664" s="2475"/>
      <c r="N664" s="2475"/>
      <c r="O664" s="2475"/>
      <c r="P664" s="2475"/>
      <c r="Q664" s="2475"/>
      <c r="R664" s="2475"/>
      <c r="S664" s="2475"/>
      <c r="T664" s="2475"/>
      <c r="U664" s="2475"/>
      <c r="V664" s="2475"/>
      <c r="W664" s="2475"/>
      <c r="X664" s="2475"/>
      <c r="Y664" s="2475"/>
      <c r="Z664" s="2475"/>
      <c r="AA664" s="2475"/>
      <c r="AB664" s="2475"/>
      <c r="AC664" s="2475"/>
      <c r="AD664" s="1207"/>
      <c r="AE664" s="1207"/>
      <c r="AF664" s="1207"/>
      <c r="AG664" s="1207"/>
      <c r="AH664" s="1207"/>
      <c r="AI664" s="1207"/>
      <c r="AJ664" s="1207"/>
      <c r="AK664" s="1207"/>
      <c r="AL664" s="1207"/>
      <c r="AM664" s="1382"/>
      <c r="AN664" s="1296"/>
    </row>
    <row r="665" spans="1:42" s="1222" customFormat="1" ht="12.75" customHeight="1">
      <c r="B665" s="1207"/>
      <c r="C665" s="1552"/>
      <c r="D665" s="1317"/>
      <c r="E665" s="1207"/>
      <c r="F665" s="1207"/>
      <c r="G665" s="1207"/>
      <c r="H665" s="1207"/>
      <c r="I665" s="1207"/>
      <c r="J665" s="1207"/>
      <c r="K665" s="1207"/>
      <c r="L665" s="1207"/>
      <c r="M665" s="1207"/>
      <c r="N665" s="1207"/>
      <c r="O665" s="1207"/>
      <c r="P665" s="1207"/>
      <c r="Q665" s="1207"/>
      <c r="R665" s="1207"/>
      <c r="S665" s="1207"/>
      <c r="T665" s="1207"/>
      <c r="U665" s="1207"/>
      <c r="V665" s="1207"/>
      <c r="W665" s="1207"/>
      <c r="X665" s="1207"/>
      <c r="Y665" s="1207"/>
      <c r="Z665" s="1207"/>
      <c r="AA665" s="1207"/>
      <c r="AB665" s="1207"/>
      <c r="AC665" s="1207"/>
      <c r="AD665" s="1207"/>
      <c r="AE665" s="1207"/>
      <c r="AF665" s="1207"/>
      <c r="AG665" s="1207"/>
      <c r="AH665" s="1207"/>
      <c r="AI665" s="1207"/>
      <c r="AJ665" s="1207"/>
      <c r="AK665" s="1207"/>
      <c r="AL665" s="1207"/>
      <c r="AM665" s="1382"/>
      <c r="AN665" s="1296"/>
    </row>
    <row r="666" spans="1:42" s="1222" customFormat="1" ht="12.75" customHeight="1">
      <c r="A666" s="1492"/>
      <c r="B666" s="1207"/>
      <c r="C666" s="1552"/>
      <c r="D666" s="1317" t="s">
        <v>1600</v>
      </c>
      <c r="E666" s="2475" t="s">
        <v>1616</v>
      </c>
      <c r="F666" s="2475"/>
      <c r="G666" s="2475"/>
      <c r="H666" s="2475"/>
      <c r="I666" s="2475"/>
      <c r="J666" s="2475"/>
      <c r="K666" s="2475"/>
      <c r="L666" s="2475"/>
      <c r="M666" s="2475"/>
      <c r="N666" s="2475"/>
      <c r="O666" s="2475"/>
      <c r="P666" s="2475"/>
      <c r="Q666" s="2475"/>
      <c r="R666" s="2475"/>
      <c r="S666" s="2475"/>
      <c r="T666" s="2475"/>
      <c r="U666" s="2475"/>
      <c r="V666" s="2475"/>
      <c r="W666" s="2475"/>
      <c r="X666" s="2475"/>
      <c r="Y666" s="2475"/>
      <c r="Z666" s="2475"/>
      <c r="AA666" s="2475"/>
      <c r="AB666" s="2475"/>
      <c r="AC666" s="2475"/>
      <c r="AD666" s="1207"/>
      <c r="AE666" s="1207"/>
      <c r="AF666" s="2476" t="s">
        <v>1599</v>
      </c>
      <c r="AG666" s="2476"/>
      <c r="AH666" s="2476"/>
      <c r="AI666" s="2476"/>
      <c r="AJ666" s="2476"/>
      <c r="AK666" s="2476"/>
      <c r="AL666" s="2476"/>
      <c r="AM666" s="1382"/>
      <c r="AN666" s="1296"/>
    </row>
    <row r="667" spans="1:42" s="1222" customFormat="1" ht="12.75" customHeight="1">
      <c r="A667" s="1492"/>
      <c r="B667" s="1207"/>
      <c r="C667" s="1552"/>
      <c r="D667" s="1317"/>
      <c r="E667" s="2475"/>
      <c r="F667" s="2475"/>
      <c r="G667" s="2475"/>
      <c r="H667" s="2475"/>
      <c r="I667" s="2475"/>
      <c r="J667" s="2475"/>
      <c r="K667" s="2475"/>
      <c r="L667" s="2475"/>
      <c r="M667" s="2475"/>
      <c r="N667" s="2475"/>
      <c r="O667" s="2475"/>
      <c r="P667" s="2475"/>
      <c r="Q667" s="2475"/>
      <c r="R667" s="2475"/>
      <c r="S667" s="2475"/>
      <c r="T667" s="2475"/>
      <c r="U667" s="2475"/>
      <c r="V667" s="2475"/>
      <c r="W667" s="2475"/>
      <c r="X667" s="2475"/>
      <c r="Y667" s="2475"/>
      <c r="Z667" s="2475"/>
      <c r="AA667" s="2475"/>
      <c r="AB667" s="2475"/>
      <c r="AC667" s="2475"/>
      <c r="AD667" s="1207"/>
      <c r="AE667" s="1207"/>
      <c r="AF667" s="1289"/>
      <c r="AG667" s="1289"/>
      <c r="AH667" s="1289"/>
      <c r="AI667" s="1289"/>
      <c r="AJ667" s="1289"/>
      <c r="AK667" s="1289"/>
      <c r="AL667" s="1289"/>
      <c r="AM667" s="1382"/>
      <c r="AN667" s="1296"/>
    </row>
    <row r="668" spans="1:42" s="1222" customFormat="1" ht="12.75" customHeight="1">
      <c r="A668" s="1492"/>
      <c r="B668" s="1207"/>
      <c r="C668" s="1552"/>
      <c r="D668" s="1317"/>
      <c r="E668" s="2475"/>
      <c r="F668" s="2475"/>
      <c r="G668" s="2475"/>
      <c r="H668" s="2475"/>
      <c r="I668" s="2475"/>
      <c r="J668" s="2475"/>
      <c r="K668" s="2475"/>
      <c r="L668" s="2475"/>
      <c r="M668" s="2475"/>
      <c r="N668" s="2475"/>
      <c r="O668" s="2475"/>
      <c r="P668" s="2475"/>
      <c r="Q668" s="2475"/>
      <c r="R668" s="2475"/>
      <c r="S668" s="2475"/>
      <c r="T668" s="2475"/>
      <c r="U668" s="2475"/>
      <c r="V668" s="2475"/>
      <c r="W668" s="2475"/>
      <c r="X668" s="2475"/>
      <c r="Y668" s="2475"/>
      <c r="Z668" s="2475"/>
      <c r="AA668" s="2475"/>
      <c r="AB668" s="2475"/>
      <c r="AC668" s="2475"/>
      <c r="AD668" s="1207"/>
      <c r="AE668" s="1289"/>
      <c r="AF668" s="1289"/>
      <c r="AG668" s="1289"/>
      <c r="AH668" s="1289"/>
      <c r="AI668" s="1289"/>
      <c r="AJ668" s="1289"/>
      <c r="AK668" s="1289"/>
      <c r="AL668" s="1289"/>
      <c r="AM668" s="1382"/>
      <c r="AN668" s="1296"/>
    </row>
    <row r="669" spans="1:42" s="1222" customFormat="1" ht="12.75" customHeight="1">
      <c r="A669" s="1492"/>
      <c r="B669" s="1207"/>
      <c r="C669" s="1552"/>
      <c r="D669" s="1317"/>
      <c r="E669" s="1294"/>
      <c r="F669" s="1294"/>
      <c r="G669" s="1294"/>
      <c r="H669" s="1294"/>
      <c r="I669" s="1294"/>
      <c r="J669" s="1294"/>
      <c r="K669" s="1294"/>
      <c r="L669" s="1294"/>
      <c r="M669" s="1294"/>
      <c r="N669" s="1294"/>
      <c r="O669" s="1294"/>
      <c r="P669" s="1294"/>
      <c r="Q669" s="1294"/>
      <c r="R669" s="1294"/>
      <c r="S669" s="1294"/>
      <c r="T669" s="1294"/>
      <c r="U669" s="1294"/>
      <c r="V669" s="1294"/>
      <c r="W669" s="1294"/>
      <c r="X669" s="1294"/>
      <c r="Y669" s="1294"/>
      <c r="Z669" s="1294"/>
      <c r="AA669" s="1294"/>
      <c r="AB669" s="1294"/>
      <c r="AC669" s="1294"/>
      <c r="AD669" s="1207"/>
      <c r="AE669" s="1289"/>
      <c r="AF669" s="1207"/>
      <c r="AG669" s="1207"/>
      <c r="AH669" s="1207"/>
      <c r="AI669" s="1207"/>
      <c r="AJ669" s="1207"/>
      <c r="AK669" s="1207"/>
      <c r="AL669" s="1207"/>
      <c r="AM669" s="1382"/>
      <c r="AN669" s="1296"/>
      <c r="AO669" s="1222" t="s">
        <v>616</v>
      </c>
      <c r="AP669" s="1385">
        <v>0</v>
      </c>
    </row>
    <row r="670" spans="1:42" s="1222" customFormat="1" ht="12.75" customHeight="1">
      <c r="A670" s="1492"/>
      <c r="B670" s="1207"/>
      <c r="C670" s="1552"/>
      <c r="D670" s="1317" t="s">
        <v>1602</v>
      </c>
      <c r="E670" s="2475" t="s">
        <v>1617</v>
      </c>
      <c r="F670" s="2475"/>
      <c r="G670" s="2475"/>
      <c r="H670" s="2475"/>
      <c r="I670" s="2475"/>
      <c r="J670" s="2475"/>
      <c r="K670" s="2475"/>
      <c r="L670" s="2475"/>
      <c r="M670" s="2475"/>
      <c r="N670" s="2475"/>
      <c r="O670" s="2475"/>
      <c r="P670" s="2475"/>
      <c r="Q670" s="2475"/>
      <c r="R670" s="2475"/>
      <c r="S670" s="2475"/>
      <c r="T670" s="2475"/>
      <c r="U670" s="2475"/>
      <c r="V670" s="2475"/>
      <c r="W670" s="2475"/>
      <c r="X670" s="2475"/>
      <c r="Y670" s="2475"/>
      <c r="Z670" s="2475"/>
      <c r="AA670" s="2475"/>
      <c r="AB670" s="2475"/>
      <c r="AC670" s="2475"/>
      <c r="AD670" s="1207"/>
      <c r="AE670" s="1207"/>
      <c r="AF670" s="2476" t="s">
        <v>1618</v>
      </c>
      <c r="AG670" s="2476"/>
      <c r="AH670" s="2476"/>
      <c r="AI670" s="2476"/>
      <c r="AJ670" s="2476"/>
      <c r="AK670" s="2476"/>
      <c r="AL670" s="2476"/>
      <c r="AM670" s="1382"/>
      <c r="AN670" s="1296"/>
      <c r="AO670" s="1305" t="s">
        <v>713</v>
      </c>
      <c r="AP670" s="1222">
        <v>3</v>
      </c>
    </row>
    <row r="671" spans="1:42" s="1222" customFormat="1" ht="12.75" customHeight="1">
      <c r="A671" s="1492"/>
      <c r="B671" s="1207"/>
      <c r="C671" s="1552"/>
      <c r="D671" s="1317"/>
      <c r="E671" s="2475"/>
      <c r="F671" s="2475"/>
      <c r="G671" s="2475"/>
      <c r="H671" s="2475"/>
      <c r="I671" s="2475"/>
      <c r="J671" s="2475"/>
      <c r="K671" s="2475"/>
      <c r="L671" s="2475"/>
      <c r="M671" s="2475"/>
      <c r="N671" s="2475"/>
      <c r="O671" s="2475"/>
      <c r="P671" s="2475"/>
      <c r="Q671" s="2475"/>
      <c r="R671" s="2475"/>
      <c r="S671" s="2475"/>
      <c r="T671" s="2475"/>
      <c r="U671" s="2475"/>
      <c r="V671" s="2475"/>
      <c r="W671" s="2475"/>
      <c r="X671" s="2475"/>
      <c r="Y671" s="2475"/>
      <c r="Z671" s="2475"/>
      <c r="AA671" s="2475"/>
      <c r="AB671" s="2475"/>
      <c r="AC671" s="2475"/>
      <c r="AD671" s="1207"/>
      <c r="AE671" s="1207"/>
      <c r="AF671" s="1289"/>
      <c r="AG671" s="1289"/>
      <c r="AH671" s="1289"/>
      <c r="AI671" s="1289"/>
      <c r="AJ671" s="1289"/>
      <c r="AK671" s="1289"/>
      <c r="AL671" s="1289"/>
      <c r="AM671" s="1382"/>
      <c r="AN671" s="1296"/>
      <c r="AO671" s="1305" t="s">
        <v>533</v>
      </c>
      <c r="AP671" s="1222">
        <v>2</v>
      </c>
    </row>
    <row r="672" spans="1:42" s="1222" customFormat="1" ht="12.75" customHeight="1">
      <c r="A672" s="1492"/>
      <c r="B672" s="1207"/>
      <c r="C672" s="1552"/>
      <c r="D672" s="1317"/>
      <c r="E672" s="2475"/>
      <c r="F672" s="2475"/>
      <c r="G672" s="2475"/>
      <c r="H672" s="2475"/>
      <c r="I672" s="2475"/>
      <c r="J672" s="2475"/>
      <c r="K672" s="2475"/>
      <c r="L672" s="2475"/>
      <c r="M672" s="2475"/>
      <c r="N672" s="2475"/>
      <c r="O672" s="2475"/>
      <c r="P672" s="2475"/>
      <c r="Q672" s="2475"/>
      <c r="R672" s="2475"/>
      <c r="S672" s="2475"/>
      <c r="T672" s="2475"/>
      <c r="U672" s="2475"/>
      <c r="V672" s="2475"/>
      <c r="W672" s="2475"/>
      <c r="X672" s="2475"/>
      <c r="Y672" s="2475"/>
      <c r="Z672" s="2475"/>
      <c r="AA672" s="2475"/>
      <c r="AB672" s="2475"/>
      <c r="AC672" s="2475"/>
      <c r="AD672" s="1207"/>
      <c r="AE672" s="1289"/>
      <c r="AF672" s="1289"/>
      <c r="AG672" s="1289"/>
      <c r="AH672" s="1289"/>
      <c r="AI672" s="1289"/>
      <c r="AJ672" s="1289"/>
      <c r="AK672" s="1289"/>
      <c r="AL672" s="1289"/>
      <c r="AM672" s="1382"/>
      <c r="AN672" s="1296"/>
    </row>
    <row r="673" spans="1:42" s="1222" customFormat="1" ht="12.75" customHeight="1">
      <c r="A673" s="1577"/>
      <c r="B673" s="1207"/>
      <c r="C673" s="1578"/>
      <c r="D673" s="1317"/>
      <c r="E673" s="1319"/>
      <c r="F673" s="1319"/>
      <c r="G673" s="1319"/>
      <c r="H673" s="1319"/>
      <c r="I673" s="1319"/>
      <c r="J673" s="1319"/>
      <c r="K673" s="1319"/>
      <c r="L673" s="1319"/>
      <c r="M673" s="1319"/>
      <c r="N673" s="1319"/>
      <c r="O673" s="1319"/>
      <c r="P673" s="1319"/>
      <c r="Q673" s="1319"/>
      <c r="R673" s="1319"/>
      <c r="S673" s="1319"/>
      <c r="T673" s="1319"/>
      <c r="U673" s="1319"/>
      <c r="V673" s="1319"/>
      <c r="W673" s="1319"/>
      <c r="X673" s="1319"/>
      <c r="Y673" s="1319"/>
      <c r="Z673" s="1319"/>
      <c r="AA673" s="1319"/>
      <c r="AB673" s="1319"/>
      <c r="AC673" s="1319"/>
      <c r="AD673" s="1207"/>
      <c r="AE673" s="1289"/>
      <c r="AF673" s="1289"/>
      <c r="AG673" s="1289"/>
      <c r="AH673" s="1289"/>
      <c r="AI673" s="1289"/>
      <c r="AJ673" s="1289"/>
      <c r="AK673" s="1289"/>
      <c r="AL673" s="1289"/>
      <c r="AM673" s="1382"/>
      <c r="AN673" s="1296"/>
    </row>
    <row r="674" spans="1:42" s="1222" customFormat="1" ht="12.75" customHeight="1">
      <c r="A674" s="1492"/>
      <c r="B674" s="1207"/>
      <c r="C674" s="1552"/>
      <c r="D674" s="1207" t="s">
        <v>1591</v>
      </c>
      <c r="E674" s="1559"/>
      <c r="F674" s="1559"/>
      <c r="G674" s="1559"/>
      <c r="H674" s="2477" t="s">
        <v>713</v>
      </c>
      <c r="I674" s="2477"/>
      <c r="J674" s="1310"/>
      <c r="K674" s="1310"/>
      <c r="L674" s="1207"/>
      <c r="M674" s="1207"/>
      <c r="N674" s="1207"/>
      <c r="O674" s="1207"/>
      <c r="P674" s="1207"/>
      <c r="Q674" s="1207"/>
      <c r="R674" s="1207"/>
      <c r="S674" s="1207"/>
      <c r="T674" s="1207"/>
      <c r="U674" s="1207"/>
      <c r="V674" s="1207"/>
      <c r="W674" s="1207"/>
      <c r="X674" s="1207"/>
      <c r="Y674" s="1207"/>
      <c r="Z674" s="1207"/>
      <c r="AA674" s="1207"/>
      <c r="AB674" s="1207"/>
      <c r="AC674" s="1207"/>
      <c r="AD674" s="1207"/>
      <c r="AE674" s="1207"/>
      <c r="AF674" s="1207"/>
      <c r="AG674" s="1207"/>
      <c r="AH674" s="1207"/>
      <c r="AI674" s="1207"/>
      <c r="AJ674" s="1207"/>
      <c r="AK674" s="1207"/>
      <c r="AL674" s="1207"/>
      <c r="AN674" s="1296"/>
    </row>
    <row r="675" spans="1:42" s="1222" customFormat="1" ht="12.75" customHeight="1">
      <c r="A675" s="1492"/>
      <c r="B675" s="1207"/>
      <c r="C675" s="1552"/>
      <c r="D675" s="1207"/>
      <c r="E675" s="1559"/>
      <c r="F675" s="1559"/>
      <c r="G675" s="1310"/>
      <c r="H675" s="1310"/>
      <c r="I675" s="1310"/>
      <c r="J675" s="1310"/>
      <c r="K675" s="1310"/>
      <c r="L675" s="1310"/>
      <c r="M675" s="1310"/>
      <c r="N675" s="1310"/>
      <c r="O675" s="1310"/>
      <c r="P675" s="1310"/>
      <c r="Q675" s="1310"/>
      <c r="R675" s="1310"/>
      <c r="S675" s="1310"/>
      <c r="T675" s="1310"/>
      <c r="U675" s="1310"/>
      <c r="V675" s="1310"/>
      <c r="W675" s="1310"/>
      <c r="X675" s="1310"/>
      <c r="Y675" s="1310"/>
      <c r="Z675" s="1559"/>
      <c r="AA675" s="1559"/>
      <c r="AB675" s="1559"/>
      <c r="AC675" s="1207"/>
      <c r="AD675" s="1207"/>
      <c r="AE675" s="1207"/>
      <c r="AF675" s="1207"/>
      <c r="AG675" s="1310"/>
      <c r="AH675" s="1310"/>
      <c r="AI675" s="1310"/>
      <c r="AJ675" s="1310"/>
      <c r="AK675" s="1310"/>
      <c r="AL675" s="1310"/>
      <c r="AM675" s="1223"/>
      <c r="AN675" s="1296"/>
    </row>
    <row r="676" spans="1:42" s="1222" customFormat="1" ht="12.75" customHeight="1">
      <c r="A676" s="1579"/>
      <c r="B676" s="1292"/>
      <c r="C676" s="1573"/>
      <c r="D676" s="1292"/>
      <c r="E676" s="1563"/>
      <c r="F676" s="1416"/>
      <c r="G676" s="1416"/>
      <c r="H676" s="1416"/>
      <c r="I676" s="1416"/>
      <c r="J676" s="1416"/>
      <c r="K676" s="1416"/>
      <c r="L676" s="1416"/>
      <c r="M676" s="1416"/>
      <c r="N676" s="1416"/>
      <c r="O676" s="1416"/>
      <c r="P676" s="1416"/>
      <c r="Q676" s="1416"/>
      <c r="R676" s="1416"/>
      <c r="S676" s="1416"/>
      <c r="T676" s="1416"/>
      <c r="U676" s="1416"/>
      <c r="V676" s="1416"/>
      <c r="W676" s="1416"/>
      <c r="X676" s="1416"/>
      <c r="Y676" s="1563"/>
      <c r="Z676" s="1563"/>
      <c r="AA676" s="1563"/>
      <c r="AB676" s="1292"/>
      <c r="AC676" s="1292"/>
      <c r="AD676" s="1292"/>
      <c r="AE676" s="1292"/>
      <c r="AF676" s="1292"/>
      <c r="AG676" s="1292"/>
      <c r="AH676" s="1292"/>
      <c r="AI676" s="1239" t="s">
        <v>1619</v>
      </c>
      <c r="AJ676" s="2455">
        <f>VLOOKUP($H$674,$AO$622:$AP$629,2,FALSE)</f>
        <v>5</v>
      </c>
      <c r="AK676" s="2457"/>
      <c r="AL676" s="1267"/>
      <c r="AN676" s="1296"/>
    </row>
    <row r="677" spans="1:42" s="1222" customFormat="1" ht="12.75" customHeight="1">
      <c r="A677" s="1492"/>
      <c r="B677" s="1207"/>
      <c r="C677" s="1552"/>
      <c r="D677" s="1207"/>
      <c r="E677" s="1310"/>
      <c r="F677" s="1310"/>
      <c r="G677" s="1310"/>
      <c r="H677" s="1310"/>
      <c r="I677" s="1310"/>
      <c r="J677" s="1310"/>
      <c r="K677" s="1310"/>
      <c r="L677" s="1310"/>
      <c r="M677" s="1310"/>
      <c r="N677" s="1310"/>
      <c r="O677" s="1310"/>
      <c r="P677" s="1310"/>
      <c r="Q677" s="1310"/>
      <c r="R677" s="1310"/>
      <c r="S677" s="1310"/>
      <c r="T677" s="1310"/>
      <c r="U677" s="1310"/>
      <c r="V677" s="1310"/>
      <c r="W677" s="1310"/>
      <c r="X677" s="1310"/>
      <c r="Y677" s="1310"/>
      <c r="Z677" s="1310"/>
      <c r="AA677" s="1310"/>
      <c r="AB677" s="1310"/>
      <c r="AC677" s="1310"/>
      <c r="AD677" s="1392"/>
      <c r="AE677" s="1207"/>
      <c r="AF677" s="1207"/>
      <c r="AG677" s="1207"/>
      <c r="AH677" s="1207"/>
      <c r="AI677" s="1207"/>
      <c r="AJ677" s="1207"/>
      <c r="AK677" s="1207"/>
      <c r="AL677" s="1207"/>
      <c r="AN677" s="1296"/>
    </row>
    <row r="678" spans="1:42" s="1222" customFormat="1" ht="12.75" customHeight="1">
      <c r="A678" s="1492"/>
      <c r="B678" s="1207"/>
      <c r="C678" s="1210" t="s">
        <v>1620</v>
      </c>
      <c r="D678" s="1439"/>
      <c r="E678" s="1310"/>
      <c r="F678" s="1310"/>
      <c r="G678" s="1310"/>
      <c r="H678" s="1310"/>
      <c r="I678" s="1310"/>
      <c r="J678" s="1310"/>
      <c r="K678" s="1310"/>
      <c r="L678" s="1310"/>
      <c r="M678" s="1310"/>
      <c r="N678" s="1310"/>
      <c r="O678" s="1310"/>
      <c r="P678" s="1310"/>
      <c r="Q678" s="1310"/>
      <c r="R678" s="1310"/>
      <c r="S678" s="1310"/>
      <c r="T678" s="1310"/>
      <c r="U678" s="1310"/>
      <c r="V678" s="1310"/>
      <c r="W678" s="1310"/>
      <c r="X678" s="1310"/>
      <c r="Y678" s="1310"/>
      <c r="Z678" s="1310"/>
      <c r="AA678" s="1310"/>
      <c r="AB678" s="1310"/>
      <c r="AC678" s="1310"/>
      <c r="AD678" s="1392"/>
      <c r="AE678" s="1207"/>
      <c r="AF678" s="1207"/>
      <c r="AG678" s="1207"/>
      <c r="AH678" s="1207"/>
      <c r="AI678" s="1207"/>
      <c r="AJ678" s="1207"/>
      <c r="AK678" s="1207"/>
      <c r="AL678" s="1207"/>
      <c r="AN678" s="1296"/>
    </row>
    <row r="679" spans="1:42" s="1222" customFormat="1" ht="12.75" customHeight="1">
      <c r="A679" s="1492"/>
      <c r="B679" s="1207"/>
      <c r="C679" s="1580"/>
      <c r="D679" s="1207"/>
      <c r="E679" s="1207"/>
      <c r="F679" s="1207"/>
      <c r="G679" s="1207"/>
      <c r="H679" s="1207"/>
      <c r="I679" s="1207"/>
      <c r="J679" s="1207"/>
      <c r="K679" s="1207"/>
      <c r="L679" s="1207"/>
      <c r="M679" s="1207"/>
      <c r="N679" s="1207"/>
      <c r="O679" s="1207"/>
      <c r="P679" s="1207"/>
      <c r="Q679" s="1207"/>
      <c r="R679" s="1207"/>
      <c r="S679" s="1207"/>
      <c r="T679" s="1207"/>
      <c r="U679" s="1207"/>
      <c r="V679" s="1207"/>
      <c r="W679" s="1207"/>
      <c r="X679" s="1207"/>
      <c r="Y679" s="1207"/>
      <c r="Z679" s="1207"/>
      <c r="AA679" s="1207"/>
      <c r="AB679" s="1207"/>
      <c r="AC679" s="1207"/>
      <c r="AD679" s="1207"/>
      <c r="AE679" s="1207"/>
      <c r="AF679" s="1207"/>
      <c r="AG679" s="1207"/>
      <c r="AH679" s="1207"/>
      <c r="AI679" s="1207"/>
      <c r="AJ679" s="1207"/>
      <c r="AK679" s="1207"/>
      <c r="AL679" s="1207"/>
      <c r="AN679" s="1296"/>
    </row>
    <row r="680" spans="1:42" s="1222" customFormat="1" ht="12.75" customHeight="1">
      <c r="B680" s="1207"/>
      <c r="C680" s="1552"/>
      <c r="D680" s="1317" t="s">
        <v>713</v>
      </c>
      <c r="E680" s="2475" t="s">
        <v>2001</v>
      </c>
      <c r="F680" s="2475"/>
      <c r="G680" s="2475"/>
      <c r="H680" s="2475"/>
      <c r="I680" s="2475"/>
      <c r="J680" s="2475"/>
      <c r="K680" s="2475"/>
      <c r="L680" s="2475"/>
      <c r="M680" s="2475"/>
      <c r="N680" s="2475"/>
      <c r="O680" s="2475"/>
      <c r="P680" s="2475"/>
      <c r="Q680" s="2475"/>
      <c r="R680" s="2475"/>
      <c r="S680" s="2475"/>
      <c r="T680" s="2475"/>
      <c r="U680" s="2475"/>
      <c r="V680" s="2475"/>
      <c r="W680" s="2475"/>
      <c r="X680" s="2475"/>
      <c r="Y680" s="2475"/>
      <c r="Z680" s="2475"/>
      <c r="AA680" s="2475"/>
      <c r="AB680" s="2475"/>
      <c r="AC680" s="1207"/>
      <c r="AD680" s="1207"/>
      <c r="AE680" s="1207"/>
      <c r="AF680" s="2476" t="s">
        <v>1543</v>
      </c>
      <c r="AG680" s="2476"/>
      <c r="AH680" s="2476"/>
      <c r="AI680" s="2476"/>
      <c r="AJ680" s="2476"/>
      <c r="AK680" s="2476"/>
      <c r="AL680" s="2476"/>
      <c r="AN680" s="1296"/>
    </row>
    <row r="681" spans="1:42" s="1222" customFormat="1" ht="12.75" customHeight="1">
      <c r="B681" s="1207"/>
      <c r="C681" s="1565"/>
      <c r="D681" s="1317"/>
      <c r="E681" s="2475"/>
      <c r="F681" s="2475"/>
      <c r="G681" s="2475"/>
      <c r="H681" s="2475"/>
      <c r="I681" s="2475"/>
      <c r="J681" s="2475"/>
      <c r="K681" s="2475"/>
      <c r="L681" s="2475"/>
      <c r="M681" s="2475"/>
      <c r="N681" s="2475"/>
      <c r="O681" s="2475"/>
      <c r="P681" s="2475"/>
      <c r="Q681" s="2475"/>
      <c r="R681" s="2475"/>
      <c r="S681" s="2475"/>
      <c r="T681" s="2475"/>
      <c r="U681" s="2475"/>
      <c r="V681" s="2475"/>
      <c r="W681" s="2475"/>
      <c r="X681" s="2475"/>
      <c r="Y681" s="2475"/>
      <c r="Z681" s="2475"/>
      <c r="AA681" s="2475"/>
      <c r="AB681" s="2475"/>
      <c r="AC681" s="1207"/>
      <c r="AD681" s="1207"/>
      <c r="AE681" s="1310"/>
      <c r="AF681" s="1207"/>
      <c r="AG681" s="1207"/>
      <c r="AH681" s="1207"/>
      <c r="AI681" s="1207"/>
      <c r="AJ681" s="1207"/>
      <c r="AK681" s="1207"/>
      <c r="AL681" s="1207"/>
      <c r="AN681" s="1296"/>
      <c r="AO681" s="2481"/>
      <c r="AP681" s="2481"/>
    </row>
    <row r="682" spans="1:42" s="1222" customFormat="1" ht="12.75" customHeight="1">
      <c r="B682" s="1207"/>
      <c r="C682" s="1565"/>
      <c r="D682" s="1317"/>
      <c r="E682" s="2475"/>
      <c r="F682" s="2475"/>
      <c r="G682" s="2475"/>
      <c r="H682" s="2475"/>
      <c r="I682" s="2475"/>
      <c r="J682" s="2475"/>
      <c r="K682" s="2475"/>
      <c r="L682" s="2475"/>
      <c r="M682" s="2475"/>
      <c r="N682" s="2475"/>
      <c r="O682" s="2475"/>
      <c r="P682" s="2475"/>
      <c r="Q682" s="2475"/>
      <c r="R682" s="2475"/>
      <c r="S682" s="2475"/>
      <c r="T682" s="2475"/>
      <c r="U682" s="2475"/>
      <c r="V682" s="2475"/>
      <c r="W682" s="2475"/>
      <c r="X682" s="2475"/>
      <c r="Y682" s="2475"/>
      <c r="Z682" s="2475"/>
      <c r="AA682" s="2475"/>
      <c r="AB682" s="2475"/>
      <c r="AC682" s="1207"/>
      <c r="AD682" s="1207"/>
      <c r="AE682" s="1310"/>
      <c r="AF682" s="1310"/>
      <c r="AG682" s="1310"/>
      <c r="AH682" s="1310"/>
      <c r="AI682" s="1310"/>
      <c r="AJ682" s="1310"/>
      <c r="AK682" s="1310"/>
      <c r="AL682" s="1310"/>
      <c r="AN682" s="1296"/>
    </row>
    <row r="683" spans="1:42" s="1222" customFormat="1" ht="12.75" customHeight="1">
      <c r="B683" s="1207"/>
      <c r="C683" s="1565"/>
      <c r="D683" s="1317"/>
      <c r="E683" s="2475"/>
      <c r="F683" s="2475"/>
      <c r="G683" s="2475"/>
      <c r="H683" s="2475"/>
      <c r="I683" s="2475"/>
      <c r="J683" s="2475"/>
      <c r="K683" s="2475"/>
      <c r="L683" s="2475"/>
      <c r="M683" s="2475"/>
      <c r="N683" s="2475"/>
      <c r="O683" s="2475"/>
      <c r="P683" s="2475"/>
      <c r="Q683" s="2475"/>
      <c r="R683" s="2475"/>
      <c r="S683" s="2475"/>
      <c r="T683" s="2475"/>
      <c r="U683" s="2475"/>
      <c r="V683" s="2475"/>
      <c r="W683" s="2475"/>
      <c r="X683" s="2475"/>
      <c r="Y683" s="2475"/>
      <c r="Z683" s="2475"/>
      <c r="AA683" s="2475"/>
      <c r="AB683" s="2475"/>
      <c r="AC683" s="1207"/>
      <c r="AD683" s="1207"/>
      <c r="AE683" s="1310"/>
      <c r="AF683" s="1310"/>
      <c r="AG683" s="1310"/>
      <c r="AH683" s="1310"/>
      <c r="AI683" s="1310"/>
      <c r="AJ683" s="1310"/>
      <c r="AK683" s="1310"/>
      <c r="AL683" s="1310"/>
      <c r="AN683" s="1296"/>
      <c r="AO683" s="1222" t="s">
        <v>616</v>
      </c>
      <c r="AP683" s="1555">
        <v>0</v>
      </c>
    </row>
    <row r="684" spans="1:42" s="1222" customFormat="1" ht="12.75" customHeight="1">
      <c r="B684" s="1207"/>
      <c r="C684" s="1565"/>
      <c r="D684" s="1317"/>
      <c r="E684" s="1249"/>
      <c r="F684" s="1249"/>
      <c r="G684" s="1249"/>
      <c r="H684" s="1249"/>
      <c r="I684" s="1249"/>
      <c r="J684" s="1249"/>
      <c r="K684" s="1249"/>
      <c r="L684" s="1249"/>
      <c r="M684" s="1249"/>
      <c r="N684" s="1249"/>
      <c r="O684" s="1249"/>
      <c r="P684" s="1249"/>
      <c r="Q684" s="1249"/>
      <c r="R684" s="1249"/>
      <c r="S684" s="1249"/>
      <c r="T684" s="1249"/>
      <c r="U684" s="1249"/>
      <c r="V684" s="1249"/>
      <c r="W684" s="1249"/>
      <c r="X684" s="1249"/>
      <c r="Y684" s="1249"/>
      <c r="Z684" s="1249"/>
      <c r="AA684" s="1249"/>
      <c r="AB684" s="1249"/>
      <c r="AC684" s="1207"/>
      <c r="AD684" s="1207"/>
      <c r="AE684" s="1310"/>
      <c r="AF684" s="1310"/>
      <c r="AG684" s="1310"/>
      <c r="AH684" s="1310"/>
      <c r="AI684" s="1310"/>
      <c r="AJ684" s="1310"/>
      <c r="AK684" s="1310"/>
      <c r="AL684" s="1310"/>
      <c r="AN684" s="1296"/>
      <c r="AO684" s="1305" t="s">
        <v>713</v>
      </c>
      <c r="AP684" s="1222">
        <v>2</v>
      </c>
    </row>
    <row r="685" spans="1:42" s="1222" customFormat="1" ht="12.75" customHeight="1">
      <c r="B685" s="1207"/>
      <c r="C685" s="1552"/>
      <c r="D685" s="1317" t="s">
        <v>533</v>
      </c>
      <c r="E685" s="2475" t="s">
        <v>2003</v>
      </c>
      <c r="F685" s="2475"/>
      <c r="G685" s="2475"/>
      <c r="H685" s="2475"/>
      <c r="I685" s="2475"/>
      <c r="J685" s="2475"/>
      <c r="K685" s="2475"/>
      <c r="L685" s="2475"/>
      <c r="M685" s="2475"/>
      <c r="N685" s="2475"/>
      <c r="O685" s="2475"/>
      <c r="P685" s="2475"/>
      <c r="Q685" s="2475"/>
      <c r="R685" s="2475"/>
      <c r="S685" s="2475"/>
      <c r="T685" s="2475"/>
      <c r="U685" s="2475"/>
      <c r="V685" s="2475"/>
      <c r="W685" s="2475"/>
      <c r="X685" s="2475"/>
      <c r="Y685" s="2475"/>
      <c r="Z685" s="2475"/>
      <c r="AA685" s="2475"/>
      <c r="AB685" s="2475"/>
      <c r="AC685" s="1207"/>
      <c r="AD685" s="1207"/>
      <c r="AE685" s="1207"/>
      <c r="AF685" s="2476" t="s">
        <v>1599</v>
      </c>
      <c r="AG685" s="2476"/>
      <c r="AH685" s="2476"/>
      <c r="AI685" s="2476"/>
      <c r="AJ685" s="2476"/>
      <c r="AK685" s="2476"/>
      <c r="AL685" s="2476"/>
      <c r="AN685" s="1296"/>
      <c r="AO685" s="1305" t="s">
        <v>533</v>
      </c>
      <c r="AP685" s="1222">
        <v>1</v>
      </c>
    </row>
    <row r="686" spans="1:42" s="1222" customFormat="1" ht="12" customHeight="1">
      <c r="B686" s="1207"/>
      <c r="C686" s="1552"/>
      <c r="D686" s="1207"/>
      <c r="E686" s="2475"/>
      <c r="F686" s="2475"/>
      <c r="G686" s="2475"/>
      <c r="H686" s="2475"/>
      <c r="I686" s="2475"/>
      <c r="J686" s="2475"/>
      <c r="K686" s="2475"/>
      <c r="L686" s="2475"/>
      <c r="M686" s="2475"/>
      <c r="N686" s="2475"/>
      <c r="O686" s="2475"/>
      <c r="P686" s="2475"/>
      <c r="Q686" s="2475"/>
      <c r="R686" s="2475"/>
      <c r="S686" s="2475"/>
      <c r="T686" s="2475"/>
      <c r="U686" s="2475"/>
      <c r="V686" s="2475"/>
      <c r="W686" s="2475"/>
      <c r="X686" s="2475"/>
      <c r="Y686" s="2475"/>
      <c r="Z686" s="2475"/>
      <c r="AA686" s="2475"/>
      <c r="AB686" s="2475"/>
      <c r="AC686" s="1207"/>
      <c r="AD686" s="1207"/>
      <c r="AE686" s="1310"/>
      <c r="AF686" s="1207"/>
      <c r="AG686" s="1207"/>
      <c r="AH686" s="1207"/>
      <c r="AI686" s="1207"/>
      <c r="AJ686" s="1207"/>
      <c r="AK686" s="1207"/>
      <c r="AL686" s="1207"/>
      <c r="AN686" s="1296"/>
    </row>
    <row r="687" spans="1:42" s="1222" customFormat="1" ht="12" customHeight="1">
      <c r="B687" s="1207"/>
      <c r="C687" s="1552"/>
      <c r="D687" s="1207"/>
      <c r="E687" s="2475"/>
      <c r="F687" s="2475"/>
      <c r="G687" s="2475"/>
      <c r="H687" s="2475"/>
      <c r="I687" s="2475"/>
      <c r="J687" s="2475"/>
      <c r="K687" s="2475"/>
      <c r="L687" s="2475"/>
      <c r="M687" s="2475"/>
      <c r="N687" s="2475"/>
      <c r="O687" s="2475"/>
      <c r="P687" s="2475"/>
      <c r="Q687" s="2475"/>
      <c r="R687" s="2475"/>
      <c r="S687" s="2475"/>
      <c r="T687" s="2475"/>
      <c r="U687" s="2475"/>
      <c r="V687" s="2475"/>
      <c r="W687" s="2475"/>
      <c r="X687" s="2475"/>
      <c r="Y687" s="2475"/>
      <c r="Z687" s="2475"/>
      <c r="AA687" s="2475"/>
      <c r="AB687" s="2475"/>
      <c r="AC687" s="1207"/>
      <c r="AD687" s="1207"/>
      <c r="AE687" s="1310"/>
      <c r="AF687" s="1207"/>
      <c r="AG687" s="1207"/>
      <c r="AH687" s="1207"/>
      <c r="AI687" s="1207"/>
      <c r="AJ687" s="1207"/>
      <c r="AK687" s="1207"/>
      <c r="AL687" s="1207"/>
      <c r="AN687" s="1296"/>
    </row>
    <row r="688" spans="1:42" s="1207" customFormat="1" ht="12" customHeight="1">
      <c r="A688" s="1222"/>
      <c r="C688" s="1552"/>
      <c r="E688" s="2475"/>
      <c r="F688" s="2475"/>
      <c r="G688" s="2475"/>
      <c r="H688" s="2475"/>
      <c r="I688" s="2475"/>
      <c r="J688" s="2475"/>
      <c r="K688" s="2475"/>
      <c r="L688" s="2475"/>
      <c r="M688" s="2475"/>
      <c r="N688" s="2475"/>
      <c r="O688" s="2475"/>
      <c r="P688" s="2475"/>
      <c r="Q688" s="2475"/>
      <c r="R688" s="2475"/>
      <c r="S688" s="2475"/>
      <c r="T688" s="2475"/>
      <c r="U688" s="2475"/>
      <c r="V688" s="2475"/>
      <c r="W688" s="2475"/>
      <c r="X688" s="2475"/>
      <c r="Y688" s="2475"/>
      <c r="Z688" s="2475"/>
      <c r="AA688" s="2475"/>
      <c r="AB688" s="2475"/>
      <c r="AE688" s="1310"/>
      <c r="AF688" s="1310"/>
      <c r="AG688" s="1310"/>
      <c r="AH688" s="1310"/>
      <c r="AI688" s="1310"/>
      <c r="AM688" s="1222"/>
      <c r="AN688" s="1206"/>
    </row>
    <row r="689" spans="1:42" s="1207" customFormat="1" ht="12" customHeight="1">
      <c r="A689" s="1222"/>
      <c r="C689" s="1552"/>
      <c r="E689" s="1319"/>
      <c r="F689" s="1319"/>
      <c r="G689" s="1319"/>
      <c r="H689" s="1319"/>
      <c r="I689" s="1319"/>
      <c r="J689" s="1319"/>
      <c r="K689" s="1319"/>
      <c r="L689" s="1319"/>
      <c r="M689" s="1319"/>
      <c r="N689" s="1319"/>
      <c r="O689" s="1319"/>
      <c r="P689" s="1319"/>
      <c r="Q689" s="1319"/>
      <c r="R689" s="1319"/>
      <c r="S689" s="1319"/>
      <c r="T689" s="1319"/>
      <c r="U689" s="1319"/>
      <c r="V689" s="1319"/>
      <c r="W689" s="1319"/>
      <c r="X689" s="1319"/>
      <c r="Y689" s="1319"/>
      <c r="Z689" s="1319"/>
      <c r="AA689" s="1319"/>
      <c r="AB689" s="1319"/>
      <c r="AE689" s="1310"/>
      <c r="AF689" s="1310"/>
      <c r="AG689" s="1310"/>
      <c r="AH689" s="1310"/>
      <c r="AI689" s="1310"/>
      <c r="AM689" s="1222"/>
      <c r="AN689" s="1206"/>
    </row>
    <row r="690" spans="1:42" s="1207" customFormat="1" ht="12.75" customHeight="1">
      <c r="A690" s="1222"/>
      <c r="C690" s="1552"/>
      <c r="E690" s="2475" t="s">
        <v>2002</v>
      </c>
      <c r="F690" s="2475"/>
      <c r="G690" s="2475"/>
      <c r="H690" s="2475"/>
      <c r="I690" s="2475"/>
      <c r="J690" s="2475"/>
      <c r="K690" s="2475"/>
      <c r="L690" s="2475"/>
      <c r="M690" s="2475"/>
      <c r="N690" s="2475"/>
      <c r="O690" s="2475"/>
      <c r="P690" s="2475"/>
      <c r="Q690" s="2475"/>
      <c r="R690" s="2475"/>
      <c r="S690" s="2475"/>
      <c r="T690" s="2475"/>
      <c r="U690" s="2475"/>
      <c r="V690" s="2475"/>
      <c r="W690" s="2475"/>
      <c r="X690" s="2475"/>
      <c r="Y690" s="2475"/>
      <c r="Z690" s="2475"/>
      <c r="AA690" s="2475"/>
      <c r="AB690" s="2475"/>
      <c r="AE690" s="1310"/>
      <c r="AF690" s="1310"/>
      <c r="AG690" s="1310"/>
      <c r="AH690" s="1310"/>
      <c r="AI690" s="1310"/>
      <c r="AM690" s="1222"/>
      <c r="AN690" s="1206"/>
    </row>
    <row r="691" spans="1:42" s="1207" customFormat="1" ht="12.75" customHeight="1">
      <c r="A691" s="1222"/>
      <c r="C691" s="1552"/>
      <c r="E691" s="2475"/>
      <c r="F691" s="2475"/>
      <c r="G691" s="2475"/>
      <c r="H691" s="2475"/>
      <c r="I691" s="2475"/>
      <c r="J691" s="2475"/>
      <c r="K691" s="2475"/>
      <c r="L691" s="2475"/>
      <c r="M691" s="2475"/>
      <c r="N691" s="2475"/>
      <c r="O691" s="2475"/>
      <c r="P691" s="2475"/>
      <c r="Q691" s="2475"/>
      <c r="R691" s="2475"/>
      <c r="S691" s="2475"/>
      <c r="T691" s="2475"/>
      <c r="U691" s="2475"/>
      <c r="V691" s="2475"/>
      <c r="W691" s="2475"/>
      <c r="X691" s="2475"/>
      <c r="Y691" s="2475"/>
      <c r="Z691" s="2475"/>
      <c r="AA691" s="2475"/>
      <c r="AB691" s="2475"/>
      <c r="AE691" s="1310"/>
      <c r="AF691" s="1310"/>
      <c r="AG691" s="1310"/>
      <c r="AH691" s="1310"/>
      <c r="AI691" s="1310"/>
      <c r="AM691" s="1222"/>
      <c r="AN691" s="1206"/>
    </row>
    <row r="692" spans="1:42" s="1207" customFormat="1" ht="12.75" customHeight="1">
      <c r="A692" s="1222"/>
      <c r="C692" s="1552"/>
      <c r="E692" s="2475"/>
      <c r="F692" s="2475"/>
      <c r="G692" s="2475"/>
      <c r="H692" s="2475"/>
      <c r="I692" s="2475"/>
      <c r="J692" s="2475"/>
      <c r="K692" s="2475"/>
      <c r="L692" s="2475"/>
      <c r="M692" s="2475"/>
      <c r="N692" s="2475"/>
      <c r="O692" s="2475"/>
      <c r="P692" s="2475"/>
      <c r="Q692" s="2475"/>
      <c r="R692" s="2475"/>
      <c r="S692" s="2475"/>
      <c r="T692" s="2475"/>
      <c r="U692" s="2475"/>
      <c r="V692" s="2475"/>
      <c r="W692" s="2475"/>
      <c r="X692" s="2475"/>
      <c r="Y692" s="2475"/>
      <c r="Z692" s="2475"/>
      <c r="AA692" s="2475"/>
      <c r="AB692" s="2475"/>
      <c r="AE692" s="1310"/>
      <c r="AF692" s="1310"/>
      <c r="AG692" s="1310"/>
      <c r="AH692" s="1310"/>
      <c r="AI692" s="1310"/>
      <c r="AM692" s="1222"/>
      <c r="AN692" s="1206"/>
    </row>
    <row r="693" spans="1:42" s="1207" customFormat="1" ht="12.75" customHeight="1">
      <c r="A693" s="1222"/>
      <c r="C693" s="1552"/>
      <c r="E693" s="1319"/>
      <c r="F693" s="1319"/>
      <c r="G693" s="1319"/>
      <c r="H693" s="1319"/>
      <c r="I693" s="1319"/>
      <c r="J693" s="1319"/>
      <c r="K693" s="1319"/>
      <c r="L693" s="1319"/>
      <c r="M693" s="1319"/>
      <c r="N693" s="1319"/>
      <c r="O693" s="1319"/>
      <c r="P693" s="1319"/>
      <c r="Q693" s="1319"/>
      <c r="R693" s="1319"/>
      <c r="S693" s="1319"/>
      <c r="T693" s="1319"/>
      <c r="U693" s="1319"/>
      <c r="V693" s="1319"/>
      <c r="W693" s="1319"/>
      <c r="X693" s="1319"/>
      <c r="Y693" s="1319"/>
      <c r="Z693" s="1319"/>
      <c r="AA693" s="1319"/>
      <c r="AB693" s="1319"/>
      <c r="AE693" s="1310"/>
      <c r="AF693" s="1310"/>
      <c r="AG693" s="1310"/>
      <c r="AH693" s="1310"/>
      <c r="AI693" s="1310"/>
      <c r="AM693" s="1222"/>
      <c r="AN693" s="1206"/>
    </row>
    <row r="694" spans="1:42" s="1207" customFormat="1" ht="12.75" customHeight="1">
      <c r="A694" s="1222"/>
      <c r="C694" s="1552"/>
      <c r="D694" s="1207" t="s">
        <v>1591</v>
      </c>
      <c r="E694" s="1559"/>
      <c r="F694" s="1559"/>
      <c r="G694" s="1559"/>
      <c r="H694" s="2477" t="s">
        <v>616</v>
      </c>
      <c r="I694" s="2477"/>
      <c r="J694" s="1319"/>
      <c r="K694" s="1319"/>
      <c r="L694" s="1319"/>
      <c r="M694" s="1319"/>
      <c r="N694" s="1319"/>
      <c r="O694" s="1319"/>
      <c r="P694" s="1319"/>
      <c r="Q694" s="1319"/>
      <c r="R694" s="1319"/>
      <c r="S694" s="1319"/>
      <c r="T694" s="1319"/>
      <c r="U694" s="1319"/>
      <c r="V694" s="1319"/>
      <c r="W694" s="1319"/>
      <c r="X694" s="1319"/>
      <c r="Y694" s="1319"/>
      <c r="Z694" s="1319"/>
      <c r="AA694" s="1319"/>
      <c r="AB694" s="1319"/>
      <c r="AE694" s="1310"/>
      <c r="AF694" s="1310"/>
      <c r="AG694" s="1310"/>
      <c r="AH694" s="1310"/>
      <c r="AI694" s="1310"/>
      <c r="AM694" s="1222"/>
      <c r="AN694" s="1206"/>
      <c r="AP694" s="1207" t="s">
        <v>1621</v>
      </c>
    </row>
    <row r="695" spans="1:42" s="1207" customFormat="1">
      <c r="A695" s="1222"/>
      <c r="C695" s="1552"/>
      <c r="E695" s="1319"/>
      <c r="F695" s="1319"/>
      <c r="G695" s="1319"/>
      <c r="H695" s="1319"/>
      <c r="I695" s="1319"/>
      <c r="J695" s="1319"/>
      <c r="K695" s="1319"/>
      <c r="L695" s="1319"/>
      <c r="M695" s="1319"/>
      <c r="N695" s="1319"/>
      <c r="O695" s="1319"/>
      <c r="P695" s="1319"/>
      <c r="Q695" s="1319"/>
      <c r="R695" s="1319"/>
      <c r="S695" s="1319"/>
      <c r="T695" s="1319"/>
      <c r="U695" s="1319"/>
      <c r="V695" s="1319"/>
      <c r="W695" s="1319"/>
      <c r="X695" s="1319"/>
      <c r="Y695" s="1319"/>
      <c r="Z695" s="1319"/>
      <c r="AA695" s="1319"/>
      <c r="AB695" s="1319"/>
      <c r="AE695" s="1310"/>
      <c r="AF695" s="1310"/>
      <c r="AG695" s="1310"/>
      <c r="AH695" s="1310"/>
      <c r="AI695" s="1310"/>
      <c r="AM695" s="1222"/>
      <c r="AN695" s="1206"/>
      <c r="AP695" s="1207" t="s">
        <v>1596</v>
      </c>
    </row>
    <row r="696" spans="1:42" s="1207" customFormat="1" ht="12.75" customHeight="1">
      <c r="A696" s="1300"/>
      <c r="B696" s="1292"/>
      <c r="C696" s="1573"/>
      <c r="D696" s="1292"/>
      <c r="E696" s="1292"/>
      <c r="F696" s="1292"/>
      <c r="G696" s="1292"/>
      <c r="H696" s="1292"/>
      <c r="I696" s="1292"/>
      <c r="J696" s="1581"/>
      <c r="K696" s="1581"/>
      <c r="L696" s="1416"/>
      <c r="M696" s="1416"/>
      <c r="N696" s="1416"/>
      <c r="O696" s="1416"/>
      <c r="P696" s="1416"/>
      <c r="Q696" s="1416"/>
      <c r="R696" s="1416"/>
      <c r="S696" s="1416"/>
      <c r="T696" s="1416"/>
      <c r="U696" s="1416"/>
      <c r="V696" s="1416"/>
      <c r="W696" s="1416"/>
      <c r="X696" s="1416"/>
      <c r="Y696" s="1563"/>
      <c r="Z696" s="1563"/>
      <c r="AA696" s="1563"/>
      <c r="AB696" s="1292"/>
      <c r="AC696" s="1292"/>
      <c r="AD696" s="1292"/>
      <c r="AE696" s="1292"/>
      <c r="AF696" s="1292"/>
      <c r="AG696" s="1292"/>
      <c r="AH696" s="1292"/>
      <c r="AI696" s="1239" t="s">
        <v>1622</v>
      </c>
      <c r="AJ696" s="2455">
        <f>VLOOKUP($H$694,$AO$641:$AP$643,2,FALSE)</f>
        <v>0</v>
      </c>
      <c r="AK696" s="2457"/>
      <c r="AL696" s="1267"/>
      <c r="AM696" s="1222"/>
      <c r="AN696" s="1206"/>
      <c r="AP696" s="1207" t="s">
        <v>1603</v>
      </c>
    </row>
    <row r="697" spans="1:42" s="1207" customFormat="1">
      <c r="A697" s="1222"/>
      <c r="AE697" s="1310"/>
      <c r="AF697" s="1310"/>
      <c r="AG697" s="1310"/>
      <c r="AH697" s="1310"/>
      <c r="AI697" s="1310"/>
      <c r="AM697" s="1222"/>
      <c r="AN697" s="1206"/>
      <c r="AP697" s="1207" t="s">
        <v>1623</v>
      </c>
    </row>
    <row r="698" spans="1:42" s="1207" customFormat="1" ht="12.75" customHeight="1">
      <c r="A698" s="1222"/>
      <c r="C698" s="1210" t="s">
        <v>1624</v>
      </c>
      <c r="D698" s="1439"/>
      <c r="AE698" s="1310"/>
      <c r="AF698" s="1310"/>
      <c r="AG698" s="1310"/>
      <c r="AH698" s="1310"/>
      <c r="AI698" s="1310"/>
      <c r="AM698" s="1222"/>
      <c r="AN698" s="1206"/>
      <c r="AP698" s="1207" t="s">
        <v>1625</v>
      </c>
    </row>
    <row r="699" spans="1:42" s="1207" customFormat="1" ht="12.75" customHeight="1">
      <c r="A699" s="1222"/>
      <c r="C699" s="1552"/>
      <c r="AE699" s="1310"/>
      <c r="AF699" s="1310"/>
      <c r="AG699" s="1310"/>
      <c r="AH699" s="1310"/>
      <c r="AI699" s="1310"/>
      <c r="AM699" s="1222"/>
      <c r="AN699" s="1206"/>
      <c r="AP699" s="1207" t="s">
        <v>1626</v>
      </c>
    </row>
    <row r="700" spans="1:42" s="1207" customFormat="1" ht="12.75" customHeight="1">
      <c r="A700" s="1385"/>
      <c r="C700" s="1552"/>
      <c r="D700" s="1317" t="s">
        <v>713</v>
      </c>
      <c r="E700" s="2479" t="s">
        <v>2005</v>
      </c>
      <c r="F700" s="2479"/>
      <c r="G700" s="2479"/>
      <c r="H700" s="2479"/>
      <c r="I700" s="2479"/>
      <c r="J700" s="2479"/>
      <c r="K700" s="2479"/>
      <c r="L700" s="2479"/>
      <c r="M700" s="2479"/>
      <c r="N700" s="2479"/>
      <c r="O700" s="2479"/>
      <c r="P700" s="2479"/>
      <c r="Q700" s="2479"/>
      <c r="R700" s="2479"/>
      <c r="S700" s="2479"/>
      <c r="T700" s="2479"/>
      <c r="U700" s="2479"/>
      <c r="V700" s="2479"/>
      <c r="W700" s="2479"/>
      <c r="X700" s="2479"/>
      <c r="Y700" s="2479"/>
      <c r="Z700" s="2479"/>
      <c r="AA700" s="2479"/>
      <c r="AB700" s="2479"/>
      <c r="AF700" s="2476" t="s">
        <v>1543</v>
      </c>
      <c r="AG700" s="2476"/>
      <c r="AH700" s="2476"/>
      <c r="AI700" s="2476"/>
      <c r="AJ700" s="2476"/>
      <c r="AK700" s="2476"/>
      <c r="AL700" s="2476"/>
      <c r="AM700" s="1222"/>
      <c r="AN700" s="1206"/>
      <c r="AP700" s="1207" t="s">
        <v>1627</v>
      </c>
    </row>
    <row r="701" spans="1:42" s="1207" customFormat="1" ht="11.85" customHeight="1">
      <c r="A701" s="1222"/>
      <c r="C701" s="1554"/>
      <c r="D701" s="1317"/>
      <c r="E701" s="2479"/>
      <c r="F701" s="2479"/>
      <c r="G701" s="2479"/>
      <c r="H701" s="2479"/>
      <c r="I701" s="2479"/>
      <c r="J701" s="2479"/>
      <c r="K701" s="2479"/>
      <c r="L701" s="2479"/>
      <c r="M701" s="2479"/>
      <c r="N701" s="2479"/>
      <c r="O701" s="2479"/>
      <c r="P701" s="2479"/>
      <c r="Q701" s="2479"/>
      <c r="R701" s="2479"/>
      <c r="S701" s="2479"/>
      <c r="T701" s="2479"/>
      <c r="U701" s="2479"/>
      <c r="V701" s="2479"/>
      <c r="W701" s="2479"/>
      <c r="X701" s="2479"/>
      <c r="Y701" s="2479"/>
      <c r="Z701" s="2479"/>
      <c r="AA701" s="2479"/>
      <c r="AB701" s="2479"/>
      <c r="AM701" s="1222"/>
      <c r="AN701" s="1206"/>
      <c r="AP701" s="1207" t="s">
        <v>1628</v>
      </c>
    </row>
    <row r="702" spans="1:42" s="1207" customFormat="1" ht="14.1" customHeight="1">
      <c r="A702" s="1222"/>
      <c r="B702" s="1304"/>
      <c r="C702" s="1552"/>
      <c r="D702" s="1317"/>
      <c r="E702" s="2479"/>
      <c r="F702" s="2479"/>
      <c r="G702" s="2479"/>
      <c r="H702" s="2479"/>
      <c r="I702" s="2479"/>
      <c r="J702" s="2479"/>
      <c r="K702" s="2479"/>
      <c r="L702" s="2479"/>
      <c r="M702" s="2479"/>
      <c r="N702" s="2479"/>
      <c r="O702" s="2479"/>
      <c r="P702" s="2479"/>
      <c r="Q702" s="2479"/>
      <c r="R702" s="2479"/>
      <c r="S702" s="2479"/>
      <c r="T702" s="2479"/>
      <c r="U702" s="2479"/>
      <c r="V702" s="2479"/>
      <c r="W702" s="2479"/>
      <c r="X702" s="2479"/>
      <c r="Y702" s="2479"/>
      <c r="Z702" s="2479"/>
      <c r="AA702" s="2479"/>
      <c r="AB702" s="2479"/>
      <c r="AE702" s="1310"/>
      <c r="AM702" s="1222"/>
      <c r="AN702" s="1206"/>
      <c r="AP702" s="1207" t="s">
        <v>1629</v>
      </c>
    </row>
    <row r="703" spans="1:42" s="1207" customFormat="1" ht="14.1" customHeight="1">
      <c r="A703" s="1222"/>
      <c r="B703" s="1304"/>
      <c r="C703" s="1552"/>
      <c r="D703" s="1317"/>
      <c r="E703" s="1559"/>
      <c r="F703" s="1559"/>
      <c r="G703" s="1559"/>
      <c r="H703" s="1559"/>
      <c r="I703" s="1559"/>
      <c r="J703" s="1559"/>
      <c r="K703" s="1559"/>
      <c r="L703" s="1559"/>
      <c r="M703" s="1559"/>
      <c r="N703" s="1559"/>
      <c r="O703" s="1559"/>
      <c r="P703" s="1559"/>
      <c r="Q703" s="1559"/>
      <c r="R703" s="1559"/>
      <c r="S703" s="1559"/>
      <c r="T703" s="1559"/>
      <c r="U703" s="1559"/>
      <c r="V703" s="1559"/>
      <c r="W703" s="1559"/>
      <c r="X703" s="1559"/>
      <c r="Y703" s="1559"/>
      <c r="Z703" s="1559"/>
      <c r="AA703" s="1559"/>
      <c r="AB703" s="1559"/>
      <c r="AE703" s="1310"/>
      <c r="AM703" s="1222"/>
      <c r="AN703" s="1206"/>
      <c r="AP703" s="1317" t="s">
        <v>1631</v>
      </c>
    </row>
    <row r="704" spans="1:42" s="1207" customFormat="1" ht="14.1" customHeight="1">
      <c r="A704" s="1222"/>
      <c r="C704" s="1552"/>
      <c r="D704" s="1317" t="s">
        <v>533</v>
      </c>
      <c r="E704" s="2480" t="s">
        <v>1630</v>
      </c>
      <c r="F704" s="2480"/>
      <c r="G704" s="2480"/>
      <c r="H704" s="2480"/>
      <c r="I704" s="2480"/>
      <c r="J704" s="2480"/>
      <c r="K704" s="2480"/>
      <c r="L704" s="2480"/>
      <c r="M704" s="2480"/>
      <c r="N704" s="2480"/>
      <c r="O704" s="2480"/>
      <c r="P704" s="2480"/>
      <c r="Q704" s="2480"/>
      <c r="R704" s="2480"/>
      <c r="S704" s="2480"/>
      <c r="T704" s="2480"/>
      <c r="U704" s="2480"/>
      <c r="V704" s="2480"/>
      <c r="W704" s="2480"/>
      <c r="X704" s="2480"/>
      <c r="Y704" s="2480"/>
      <c r="Z704" s="2480"/>
      <c r="AA704" s="2480"/>
      <c r="AB704" s="2480"/>
      <c r="AF704" s="2476" t="s">
        <v>1599</v>
      </c>
      <c r="AG704" s="2476"/>
      <c r="AH704" s="2476"/>
      <c r="AI704" s="2476"/>
      <c r="AJ704" s="2476"/>
      <c r="AK704" s="2476"/>
      <c r="AL704" s="2476"/>
      <c r="AM704" s="1222"/>
      <c r="AN704" s="1582"/>
    </row>
    <row r="705" spans="1:52" s="1207" customFormat="1" ht="12.75" customHeight="1">
      <c r="A705" s="1222"/>
      <c r="C705" s="1554"/>
      <c r="E705" s="2480"/>
      <c r="F705" s="2480"/>
      <c r="G705" s="2480"/>
      <c r="H705" s="2480"/>
      <c r="I705" s="2480"/>
      <c r="J705" s="2480"/>
      <c r="K705" s="2480"/>
      <c r="L705" s="2480"/>
      <c r="M705" s="2480"/>
      <c r="N705" s="2480"/>
      <c r="O705" s="2480"/>
      <c r="P705" s="2480"/>
      <c r="Q705" s="2480"/>
      <c r="R705" s="2480"/>
      <c r="S705" s="2480"/>
      <c r="T705" s="2480"/>
      <c r="U705" s="2480"/>
      <c r="V705" s="2480"/>
      <c r="W705" s="2480"/>
      <c r="X705" s="2480"/>
      <c r="Y705" s="2480"/>
      <c r="Z705" s="2480"/>
      <c r="AA705" s="2480"/>
      <c r="AB705" s="2480"/>
      <c r="AM705" s="1222"/>
      <c r="AN705" s="1206"/>
      <c r="AP705" s="1222" t="s">
        <v>616</v>
      </c>
      <c r="AQ705" s="1555">
        <v>0</v>
      </c>
    </row>
    <row r="706" spans="1:52" s="1207" customFormat="1" ht="14.1" customHeight="1">
      <c r="A706" s="1222"/>
      <c r="C706" s="1554"/>
      <c r="E706" s="2480"/>
      <c r="F706" s="2480"/>
      <c r="G706" s="2480"/>
      <c r="H706" s="2480"/>
      <c r="I706" s="2480"/>
      <c r="J706" s="2480"/>
      <c r="K706" s="2480"/>
      <c r="L706" s="2480"/>
      <c r="M706" s="2480"/>
      <c r="N706" s="2480"/>
      <c r="O706" s="2480"/>
      <c r="P706" s="2480"/>
      <c r="Q706" s="2480"/>
      <c r="R706" s="2480"/>
      <c r="S706" s="2480"/>
      <c r="T706" s="2480"/>
      <c r="U706" s="2480"/>
      <c r="V706" s="2480"/>
      <c r="W706" s="2480"/>
      <c r="X706" s="2480"/>
      <c r="Y706" s="2480"/>
      <c r="Z706" s="2480"/>
      <c r="AA706" s="2480"/>
      <c r="AB706" s="2480"/>
      <c r="AM706" s="1222"/>
      <c r="AN706" s="1206"/>
      <c r="AP706" s="1305" t="s">
        <v>713</v>
      </c>
      <c r="AQ706" s="1222">
        <v>2</v>
      </c>
    </row>
    <row r="707" spans="1:52" s="1207" customFormat="1" ht="14.1" customHeight="1">
      <c r="A707" s="1222"/>
      <c r="C707" s="1554"/>
      <c r="E707" s="1202"/>
      <c r="F707" s="1202"/>
      <c r="G707" s="1202"/>
      <c r="H707" s="1202"/>
      <c r="I707" s="1202"/>
      <c r="J707" s="1202"/>
      <c r="K707" s="1202"/>
      <c r="L707" s="1202"/>
      <c r="M707" s="1202"/>
      <c r="N707" s="1202"/>
      <c r="O707" s="1202"/>
      <c r="P707" s="1202"/>
      <c r="Q707" s="1202"/>
      <c r="R707" s="1202"/>
      <c r="S707" s="1202"/>
      <c r="T707" s="1202"/>
      <c r="U707" s="1202"/>
      <c r="V707" s="1202"/>
      <c r="W707" s="1202"/>
      <c r="X707" s="1202"/>
      <c r="Y707" s="1202"/>
      <c r="Z707" s="1202"/>
      <c r="AA707" s="1202"/>
      <c r="AB707" s="1202"/>
      <c r="AM707" s="1222"/>
      <c r="AN707" s="1206"/>
      <c r="AP707" s="1305" t="s">
        <v>533</v>
      </c>
      <c r="AQ707" s="1222">
        <v>3</v>
      </c>
    </row>
    <row r="708" spans="1:52" s="1207" customFormat="1" ht="14.1" customHeight="1">
      <c r="A708" s="1222"/>
      <c r="C708" s="1554"/>
      <c r="D708" s="1207" t="s">
        <v>1591</v>
      </c>
      <c r="E708" s="1559"/>
      <c r="F708" s="1559"/>
      <c r="G708" s="1559"/>
      <c r="H708" s="2477" t="s">
        <v>616</v>
      </c>
      <c r="I708" s="2477"/>
      <c r="J708" s="1202"/>
      <c r="K708" s="1202"/>
      <c r="L708" s="1202"/>
      <c r="M708" s="1202"/>
      <c r="N708" s="1202"/>
      <c r="O708" s="1202"/>
      <c r="P708" s="1202"/>
      <c r="Q708" s="1202"/>
      <c r="R708" s="1202"/>
      <c r="S708" s="1202"/>
      <c r="T708" s="1202"/>
      <c r="U708" s="1202"/>
      <c r="V708" s="1202"/>
      <c r="W708" s="1202"/>
      <c r="X708" s="1202"/>
      <c r="Y708" s="1202"/>
      <c r="Z708" s="1202"/>
      <c r="AA708" s="1202"/>
      <c r="AB708" s="1202"/>
      <c r="AM708" s="1222"/>
      <c r="AN708" s="1206"/>
    </row>
    <row r="709" spans="1:52" s="1207" customFormat="1" ht="14.25" customHeight="1">
      <c r="A709" s="1222"/>
      <c r="C709" s="1554"/>
      <c r="E709" s="1202"/>
      <c r="F709" s="1202"/>
      <c r="G709" s="1202"/>
      <c r="H709" s="1202"/>
      <c r="I709" s="1202"/>
      <c r="J709" s="1202"/>
      <c r="K709" s="1202"/>
      <c r="L709" s="1202"/>
      <c r="M709" s="1202"/>
      <c r="N709" s="1202"/>
      <c r="O709" s="1202"/>
      <c r="P709" s="1202"/>
      <c r="Q709" s="1202"/>
      <c r="R709" s="1202"/>
      <c r="S709" s="1202"/>
      <c r="T709" s="1202"/>
      <c r="U709" s="1202"/>
      <c r="V709" s="1202"/>
      <c r="W709" s="1202"/>
      <c r="X709" s="1202"/>
      <c r="Y709" s="1202"/>
      <c r="Z709" s="1202"/>
      <c r="AA709" s="1202"/>
      <c r="AB709" s="1202"/>
      <c r="AM709" s="1222"/>
      <c r="AN709" s="1206"/>
    </row>
    <row r="710" spans="1:52" s="1207" customFormat="1" ht="12.75" customHeight="1">
      <c r="A710" s="1300"/>
      <c r="B710" s="1292"/>
      <c r="C710" s="1562"/>
      <c r="D710" s="1292"/>
      <c r="E710" s="1292"/>
      <c r="F710" s="1292"/>
      <c r="G710" s="1292"/>
      <c r="H710" s="1292"/>
      <c r="I710" s="1292"/>
      <c r="J710" s="997"/>
      <c r="K710" s="997"/>
      <c r="L710" s="997"/>
      <c r="M710" s="997"/>
      <c r="N710" s="997"/>
      <c r="O710" s="997"/>
      <c r="P710" s="997"/>
      <c r="Q710" s="997"/>
      <c r="R710" s="997"/>
      <c r="S710" s="997"/>
      <c r="T710" s="997"/>
      <c r="U710" s="1416"/>
      <c r="V710" s="1416"/>
      <c r="W710" s="1416"/>
      <c r="X710" s="1416"/>
      <c r="Y710" s="1563"/>
      <c r="Z710" s="1563"/>
      <c r="AA710" s="1563"/>
      <c r="AB710" s="1292"/>
      <c r="AC710" s="1292"/>
      <c r="AD710" s="1292"/>
      <c r="AE710" s="1292"/>
      <c r="AF710" s="1292"/>
      <c r="AG710" s="1292"/>
      <c r="AH710" s="1292"/>
      <c r="AI710" s="1239" t="s">
        <v>1632</v>
      </c>
      <c r="AJ710" s="2455">
        <f>VLOOKUP($H$708,$AO$641:$AP$643,2,FALSE)</f>
        <v>0</v>
      </c>
      <c r="AK710" s="2457"/>
      <c r="AL710" s="1267"/>
      <c r="AM710" s="1222"/>
      <c r="AN710" s="1206"/>
      <c r="AP710" s="2455"/>
      <c r="AQ710" s="2457"/>
    </row>
    <row r="711" spans="1:52" s="1207" customFormat="1">
      <c r="A711" s="1222"/>
      <c r="B711" s="1304"/>
      <c r="C711" s="1552"/>
      <c r="D711" s="1557"/>
      <c r="E711" s="1310"/>
      <c r="F711" s="1310"/>
      <c r="G711" s="1310"/>
      <c r="H711" s="1310"/>
      <c r="I711" s="1310"/>
      <c r="J711" s="1310"/>
      <c r="K711" s="1310"/>
      <c r="L711" s="1310"/>
      <c r="M711" s="1310"/>
      <c r="N711" s="1310"/>
      <c r="O711" s="1310"/>
      <c r="P711" s="1310"/>
      <c r="Q711" s="1310"/>
      <c r="R711" s="1310"/>
      <c r="S711" s="1310"/>
      <c r="T711" s="1310"/>
      <c r="U711" s="1310"/>
      <c r="V711" s="1310"/>
      <c r="W711" s="1310"/>
      <c r="X711" s="1310"/>
      <c r="Y711" s="1310"/>
      <c r="Z711" s="1310"/>
      <c r="AA711" s="1310"/>
      <c r="AB711" s="1310"/>
      <c r="AM711" s="1222"/>
      <c r="AN711" s="1206"/>
      <c r="AT711" s="1205"/>
      <c r="AU711" s="1205"/>
      <c r="AV711" s="1205"/>
      <c r="AW711" s="1205"/>
      <c r="AX711" s="1205"/>
      <c r="AY711" s="1205"/>
      <c r="AZ711" s="1205"/>
    </row>
    <row r="712" spans="1:52" s="1207" customFormat="1">
      <c r="A712" s="1222"/>
      <c r="C712" s="1210" t="s">
        <v>1633</v>
      </c>
      <c r="D712" s="1583"/>
      <c r="E712" s="1310"/>
      <c r="F712" s="1310"/>
      <c r="G712" s="1310"/>
      <c r="H712" s="1310"/>
      <c r="I712" s="1310"/>
      <c r="J712" s="1310"/>
      <c r="K712" s="1310"/>
      <c r="L712" s="1310"/>
      <c r="M712" s="1310"/>
      <c r="N712" s="1310"/>
      <c r="O712" s="1310"/>
      <c r="P712" s="1310"/>
      <c r="Q712" s="1310"/>
      <c r="R712" s="1310"/>
      <c r="S712" s="1310"/>
      <c r="T712" s="1310"/>
      <c r="U712" s="1310"/>
      <c r="V712" s="1310"/>
      <c r="W712" s="1310"/>
      <c r="X712" s="1310"/>
      <c r="Y712" s="1310"/>
      <c r="Z712" s="1310"/>
      <c r="AA712" s="1310"/>
      <c r="AB712" s="1310"/>
      <c r="AM712" s="1222"/>
      <c r="AN712" s="1206"/>
      <c r="AT712" s="1205"/>
      <c r="AU712" s="1205"/>
      <c r="AV712" s="1205"/>
      <c r="AW712" s="1205"/>
      <c r="AX712" s="1205"/>
      <c r="AY712" s="1205"/>
      <c r="AZ712" s="1205"/>
    </row>
    <row r="713" spans="1:52" s="1207" customFormat="1">
      <c r="A713" s="1222"/>
      <c r="B713" s="1304"/>
      <c r="C713" s="1552"/>
      <c r="D713" s="1557"/>
      <c r="E713" s="1310"/>
      <c r="F713" s="1310"/>
      <c r="G713" s="1310"/>
      <c r="H713" s="1310"/>
      <c r="I713" s="1310"/>
      <c r="J713" s="1310"/>
      <c r="K713" s="1310"/>
      <c r="L713" s="1310"/>
      <c r="M713" s="1310"/>
      <c r="N713" s="1310"/>
      <c r="O713" s="1310"/>
      <c r="P713" s="1310"/>
      <c r="Q713" s="1310"/>
      <c r="R713" s="1310"/>
      <c r="S713" s="1310"/>
      <c r="T713" s="1310"/>
      <c r="U713" s="1310"/>
      <c r="V713" s="1310"/>
      <c r="W713" s="1310"/>
      <c r="X713" s="1310"/>
      <c r="Y713" s="1310"/>
      <c r="Z713" s="1310"/>
      <c r="AA713" s="1310"/>
      <c r="AB713" s="1310"/>
      <c r="AM713" s="1222"/>
      <c r="AN713" s="1206"/>
      <c r="AT713" s="1205"/>
      <c r="AU713" s="1205"/>
      <c r="AV713" s="1205"/>
      <c r="AW713" s="1205"/>
      <c r="AX713" s="1205"/>
      <c r="AY713" s="1205"/>
      <c r="AZ713" s="1205"/>
    </row>
    <row r="714" spans="1:52" s="1207" customFormat="1">
      <c r="A714" s="1222"/>
      <c r="C714" s="1552"/>
      <c r="D714" s="1317" t="s">
        <v>713</v>
      </c>
      <c r="E714" s="2475" t="s">
        <v>2006</v>
      </c>
      <c r="F714" s="2475"/>
      <c r="G714" s="2475"/>
      <c r="H714" s="2475"/>
      <c r="I714" s="2475"/>
      <c r="J714" s="2475"/>
      <c r="K714" s="2475"/>
      <c r="L714" s="2475"/>
      <c r="M714" s="2475"/>
      <c r="N714" s="2475"/>
      <c r="O714" s="2475"/>
      <c r="P714" s="2475"/>
      <c r="Q714" s="2475"/>
      <c r="R714" s="2475"/>
      <c r="S714" s="2475"/>
      <c r="T714" s="2475"/>
      <c r="U714" s="2475"/>
      <c r="V714" s="2475"/>
      <c r="W714" s="2475"/>
      <c r="X714" s="2475"/>
      <c r="Y714" s="2475"/>
      <c r="Z714" s="2475"/>
      <c r="AA714" s="2475"/>
      <c r="AB714" s="2475"/>
      <c r="AF714" s="2476" t="s">
        <v>1543</v>
      </c>
      <c r="AG714" s="2476"/>
      <c r="AH714" s="2476"/>
      <c r="AI714" s="2476"/>
      <c r="AJ714" s="2476"/>
      <c r="AK714" s="2476"/>
      <c r="AL714" s="2476"/>
      <c r="AM714" s="1222"/>
      <c r="AN714" s="1206"/>
      <c r="AT714" s="1205"/>
      <c r="AU714" s="1205"/>
      <c r="AV714" s="1205"/>
      <c r="AW714" s="1205"/>
      <c r="AX714" s="1205"/>
      <c r="AY714" s="1205"/>
      <c r="AZ714" s="1205"/>
    </row>
    <row r="715" spans="1:52" s="1207" customFormat="1">
      <c r="A715" s="1222"/>
      <c r="C715" s="1554"/>
      <c r="D715" s="1317"/>
      <c r="E715" s="2475"/>
      <c r="F715" s="2475"/>
      <c r="G715" s="2475"/>
      <c r="H715" s="2475"/>
      <c r="I715" s="2475"/>
      <c r="J715" s="2475"/>
      <c r="K715" s="2475"/>
      <c r="L715" s="2475"/>
      <c r="M715" s="2475"/>
      <c r="N715" s="2475"/>
      <c r="O715" s="2475"/>
      <c r="P715" s="2475"/>
      <c r="Q715" s="2475"/>
      <c r="R715" s="2475"/>
      <c r="S715" s="2475"/>
      <c r="T715" s="2475"/>
      <c r="U715" s="2475"/>
      <c r="V715" s="2475"/>
      <c r="W715" s="2475"/>
      <c r="X715" s="2475"/>
      <c r="Y715" s="2475"/>
      <c r="Z715" s="2475"/>
      <c r="AA715" s="2475"/>
      <c r="AB715" s="2475"/>
      <c r="AM715" s="1222"/>
      <c r="AN715" s="1206"/>
      <c r="AT715" s="1205"/>
      <c r="AU715" s="1205"/>
      <c r="AV715" s="1205"/>
      <c r="AW715" s="1205"/>
      <c r="AX715" s="1205"/>
      <c r="AY715" s="1205"/>
      <c r="AZ715" s="1205"/>
    </row>
    <row r="716" spans="1:52" s="1207" customFormat="1">
      <c r="A716" s="1222"/>
      <c r="B716" s="1304"/>
      <c r="C716" s="1552"/>
      <c r="D716" s="1317"/>
      <c r="E716" s="1310"/>
      <c r="F716" s="1310"/>
      <c r="G716" s="1310"/>
      <c r="H716" s="1310"/>
      <c r="I716" s="1310"/>
      <c r="J716" s="1310"/>
      <c r="K716" s="1310"/>
      <c r="L716" s="1310"/>
      <c r="M716" s="1310"/>
      <c r="N716" s="1310"/>
      <c r="O716" s="1310"/>
      <c r="P716" s="1310"/>
      <c r="Q716" s="1310"/>
      <c r="R716" s="1310"/>
      <c r="S716" s="1310"/>
      <c r="T716" s="1310"/>
      <c r="U716" s="1310"/>
      <c r="V716" s="1310"/>
      <c r="W716" s="1310"/>
      <c r="X716" s="1310"/>
      <c r="Y716" s="1310"/>
      <c r="Z716" s="1310"/>
      <c r="AA716" s="1310"/>
      <c r="AB716" s="1310"/>
      <c r="AM716" s="1222"/>
      <c r="AN716" s="1206"/>
      <c r="AT716" s="1205"/>
      <c r="AU716" s="1205"/>
      <c r="AV716" s="1205"/>
      <c r="AW716" s="1205"/>
      <c r="AX716" s="1205"/>
      <c r="AY716" s="1205"/>
      <c r="AZ716" s="1205"/>
    </row>
    <row r="717" spans="1:52" s="1207" customFormat="1" ht="12.75" customHeight="1">
      <c r="A717" s="1222"/>
      <c r="C717" s="1552"/>
      <c r="D717" s="1317" t="s">
        <v>533</v>
      </c>
      <c r="E717" s="2475" t="s">
        <v>1634</v>
      </c>
      <c r="F717" s="2475"/>
      <c r="G717" s="2475"/>
      <c r="H717" s="2475"/>
      <c r="I717" s="2475"/>
      <c r="J717" s="2475"/>
      <c r="K717" s="2475"/>
      <c r="L717" s="2475"/>
      <c r="M717" s="2475"/>
      <c r="N717" s="2475"/>
      <c r="O717" s="2475"/>
      <c r="P717" s="2475"/>
      <c r="Q717" s="2475"/>
      <c r="R717" s="2475"/>
      <c r="S717" s="2475"/>
      <c r="T717" s="2475"/>
      <c r="U717" s="2475"/>
      <c r="V717" s="2475"/>
      <c r="W717" s="2475"/>
      <c r="X717" s="2475"/>
      <c r="Y717" s="2475"/>
      <c r="Z717" s="2475"/>
      <c r="AA717" s="2475"/>
      <c r="AB717" s="2475"/>
      <c r="AF717" s="2476" t="s">
        <v>1599</v>
      </c>
      <c r="AG717" s="2476"/>
      <c r="AH717" s="2476"/>
      <c r="AI717" s="2476"/>
      <c r="AJ717" s="2476"/>
      <c r="AK717" s="2476"/>
      <c r="AL717" s="2476"/>
      <c r="AM717" s="1222"/>
      <c r="AN717" s="1206"/>
      <c r="AT717" s="1205"/>
      <c r="AU717" s="1205"/>
      <c r="AV717" s="1205"/>
      <c r="AW717" s="1205"/>
      <c r="AX717" s="1205"/>
      <c r="AY717" s="1205"/>
      <c r="AZ717" s="1205"/>
    </row>
    <row r="718" spans="1:52" s="1207" customFormat="1">
      <c r="A718" s="1222"/>
      <c r="C718" s="1554"/>
      <c r="E718" s="2475"/>
      <c r="F718" s="2475"/>
      <c r="G718" s="2475"/>
      <c r="H718" s="2475"/>
      <c r="I718" s="2475"/>
      <c r="J718" s="2475"/>
      <c r="K718" s="2475"/>
      <c r="L718" s="2475"/>
      <c r="M718" s="2475"/>
      <c r="N718" s="2475"/>
      <c r="O718" s="2475"/>
      <c r="P718" s="2475"/>
      <c r="Q718" s="2475"/>
      <c r="R718" s="2475"/>
      <c r="S718" s="2475"/>
      <c r="T718" s="2475"/>
      <c r="U718" s="2475"/>
      <c r="V718" s="2475"/>
      <c r="W718" s="2475"/>
      <c r="X718" s="2475"/>
      <c r="Y718" s="2475"/>
      <c r="Z718" s="2475"/>
      <c r="AA718" s="2475"/>
      <c r="AB718" s="2475"/>
      <c r="AM718" s="1222"/>
      <c r="AN718" s="1206"/>
      <c r="AT718" s="1205"/>
      <c r="AU718" s="1205"/>
      <c r="AV718" s="1205"/>
      <c r="AW718" s="1205"/>
      <c r="AX718" s="1205"/>
      <c r="AY718" s="1205"/>
      <c r="AZ718" s="1205"/>
    </row>
    <row r="719" spans="1:52" s="1207" customFormat="1">
      <c r="A719" s="1222"/>
      <c r="C719" s="1554"/>
      <c r="E719" s="1319"/>
      <c r="F719" s="1319"/>
      <c r="G719" s="1319"/>
      <c r="H719" s="1319"/>
      <c r="I719" s="1319"/>
      <c r="J719" s="1319"/>
      <c r="K719" s="1319"/>
      <c r="L719" s="1319"/>
      <c r="M719" s="1319"/>
      <c r="N719" s="1319"/>
      <c r="O719" s="1319"/>
      <c r="P719" s="1319"/>
      <c r="Q719" s="1319"/>
      <c r="R719" s="1319"/>
      <c r="S719" s="1319"/>
      <c r="T719" s="1319"/>
      <c r="U719" s="1319"/>
      <c r="V719" s="1319"/>
      <c r="W719" s="1319"/>
      <c r="X719" s="1319"/>
      <c r="Y719" s="1319"/>
      <c r="Z719" s="1319"/>
      <c r="AA719" s="1319"/>
      <c r="AB719" s="1319"/>
      <c r="AM719" s="1222"/>
      <c r="AN719" s="1206"/>
      <c r="AT719" s="1205"/>
      <c r="AU719" s="1205"/>
      <c r="AV719" s="1205"/>
      <c r="AW719" s="1205"/>
      <c r="AX719" s="1205"/>
      <c r="AY719" s="1205"/>
      <c r="AZ719" s="1205"/>
    </row>
    <row r="720" spans="1:52" s="1207" customFormat="1" ht="12.75" customHeight="1">
      <c r="A720" s="1222"/>
      <c r="C720" s="1554"/>
      <c r="D720" s="1207" t="s">
        <v>1591</v>
      </c>
      <c r="E720" s="1559"/>
      <c r="F720" s="1559"/>
      <c r="G720" s="1559"/>
      <c r="H720" s="2477" t="s">
        <v>616</v>
      </c>
      <c r="I720" s="2477"/>
      <c r="J720" s="1319"/>
      <c r="K720" s="1319"/>
      <c r="L720" s="1319"/>
      <c r="M720" s="1319"/>
      <c r="N720" s="1319"/>
      <c r="O720" s="1319"/>
      <c r="P720" s="1319"/>
      <c r="Q720" s="1319"/>
      <c r="R720" s="1319"/>
      <c r="S720" s="1319"/>
      <c r="T720" s="1319"/>
      <c r="U720" s="1319"/>
      <c r="V720" s="1319"/>
      <c r="W720" s="1319"/>
      <c r="X720" s="1319"/>
      <c r="Y720" s="1319"/>
      <c r="Z720" s="1319"/>
      <c r="AA720" s="1319"/>
      <c r="AB720" s="1319"/>
      <c r="AM720" s="1222"/>
      <c r="AN720" s="1206"/>
      <c r="AT720" s="1205"/>
      <c r="AU720" s="1205"/>
      <c r="AV720" s="1205"/>
      <c r="AW720" s="1205"/>
      <c r="AX720" s="1205"/>
      <c r="AY720" s="1205"/>
      <c r="AZ720" s="1205"/>
    </row>
    <row r="721" spans="1:81" s="1207" customFormat="1">
      <c r="A721" s="1222"/>
      <c r="C721" s="1554"/>
      <c r="E721" s="1319"/>
      <c r="F721" s="1319"/>
      <c r="G721" s="1319"/>
      <c r="H721" s="1319"/>
      <c r="I721" s="1319"/>
      <c r="J721" s="1319"/>
      <c r="K721" s="1319"/>
      <c r="L721" s="1319"/>
      <c r="M721" s="1319"/>
      <c r="N721" s="1319"/>
      <c r="O721" s="1319"/>
      <c r="P721" s="1319"/>
      <c r="Q721" s="1319"/>
      <c r="R721" s="1319"/>
      <c r="S721" s="1319"/>
      <c r="T721" s="1319"/>
      <c r="U721" s="1319"/>
      <c r="V721" s="1319"/>
      <c r="W721" s="1319"/>
      <c r="X721" s="1319"/>
      <c r="Y721" s="1319"/>
      <c r="Z721" s="1319"/>
      <c r="AA721" s="1319"/>
      <c r="AB721" s="1319"/>
      <c r="AM721" s="1222"/>
      <c r="AN721" s="1206"/>
      <c r="AS721" s="1205"/>
      <c r="AT721" s="1205"/>
      <c r="AU721" s="1205"/>
      <c r="AV721" s="1205"/>
      <c r="AW721" s="1205"/>
      <c r="AX721" s="1205"/>
      <c r="AY721" s="1205"/>
      <c r="AZ721" s="1205"/>
      <c r="BA721" s="1205"/>
      <c r="BB721" s="1205"/>
      <c r="BC721" s="1205"/>
      <c r="BD721" s="1369"/>
      <c r="BE721" s="1369"/>
      <c r="BF721" s="1369"/>
      <c r="BG721" s="1369"/>
      <c r="BH721" s="1369"/>
      <c r="BI721" s="1205"/>
      <c r="BJ721" s="1205"/>
      <c r="BK721" s="1205"/>
      <c r="BL721" s="1205"/>
      <c r="BM721" s="1205"/>
      <c r="BN721" s="1205"/>
      <c r="BO721" s="1205"/>
      <c r="BP721" s="1205"/>
      <c r="BQ721" s="1205"/>
      <c r="BR721" s="1205"/>
      <c r="BS721" s="1205"/>
      <c r="BT721" s="1205"/>
      <c r="BU721" s="1205"/>
      <c r="BV721" s="1205"/>
      <c r="BW721" s="1205"/>
      <c r="BX721" s="1205"/>
      <c r="BY721" s="1205"/>
      <c r="BZ721" s="1205"/>
      <c r="CA721" s="1205"/>
      <c r="CB721" s="1205"/>
      <c r="CC721" s="1205"/>
    </row>
    <row r="722" spans="1:81" s="1207" customFormat="1">
      <c r="A722" s="1300"/>
      <c r="B722" s="1292"/>
      <c r="C722" s="1562"/>
      <c r="D722" s="1292"/>
      <c r="E722" s="1581"/>
      <c r="F722" s="1581"/>
      <c r="G722" s="1581"/>
      <c r="H722" s="1581"/>
      <c r="I722" s="1581"/>
      <c r="J722" s="1581"/>
      <c r="K722" s="1581"/>
      <c r="L722" s="1581"/>
      <c r="M722" s="1581"/>
      <c r="N722" s="1581"/>
      <c r="O722" s="1581"/>
      <c r="P722" s="1581"/>
      <c r="Q722" s="1581"/>
      <c r="R722" s="1581"/>
      <c r="S722" s="1581"/>
      <c r="T722" s="1581"/>
      <c r="U722" s="1581"/>
      <c r="V722" s="1416"/>
      <c r="W722" s="1416"/>
      <c r="X722" s="1416"/>
      <c r="Y722" s="1563"/>
      <c r="Z722" s="1563"/>
      <c r="AA722" s="1563"/>
      <c r="AB722" s="1292"/>
      <c r="AC722" s="1292"/>
      <c r="AD722" s="1292"/>
      <c r="AE722" s="1292"/>
      <c r="AF722" s="1292"/>
      <c r="AG722" s="1292"/>
      <c r="AH722" s="1292"/>
      <c r="AI722" s="1239" t="s">
        <v>1635</v>
      </c>
      <c r="AJ722" s="2455">
        <f>VLOOKUP($H$720,$AO$655:$AP$657,2,FALSE)</f>
        <v>0</v>
      </c>
      <c r="AK722" s="2457"/>
      <c r="AL722" s="1267"/>
      <c r="AM722" s="1222"/>
      <c r="AN722" s="1206"/>
      <c r="AS722" s="1205"/>
      <c r="AT722" s="1205"/>
      <c r="AU722" s="1205"/>
      <c r="AV722" s="1205"/>
      <c r="AW722" s="1205"/>
      <c r="AX722" s="1205"/>
      <c r="AY722" s="1205"/>
      <c r="AZ722" s="1205"/>
      <c r="BA722" s="1205"/>
      <c r="BB722" s="1205"/>
      <c r="BC722" s="1205"/>
      <c r="BD722" s="1369"/>
      <c r="BE722" s="1369"/>
      <c r="BF722" s="1369"/>
      <c r="BG722" s="1369"/>
      <c r="BH722" s="1369"/>
      <c r="BI722" s="1205"/>
      <c r="BJ722" s="1205"/>
      <c r="BK722" s="1205"/>
      <c r="BL722" s="1205"/>
      <c r="BM722" s="1205"/>
      <c r="BN722" s="1205"/>
      <c r="BO722" s="1205"/>
      <c r="BP722" s="1205"/>
      <c r="BQ722" s="1205"/>
      <c r="BR722" s="1205"/>
      <c r="BS722" s="1205"/>
      <c r="BT722" s="1205"/>
      <c r="BU722" s="1205"/>
      <c r="BV722" s="1205"/>
      <c r="BW722" s="1205"/>
      <c r="BX722" s="1205"/>
      <c r="BY722" s="1205"/>
      <c r="BZ722" s="1205"/>
      <c r="CA722" s="1205"/>
      <c r="CB722" s="1205"/>
      <c r="CC722" s="1205"/>
    </row>
    <row r="723" spans="1:81" s="1207" customFormat="1" ht="12.75" customHeight="1">
      <c r="A723" s="1222"/>
      <c r="C723" s="1554"/>
      <c r="J723" s="1319"/>
      <c r="K723" s="1319"/>
      <c r="L723" s="1319"/>
      <c r="M723" s="1319"/>
      <c r="AM723" s="1222"/>
      <c r="AN723" s="1206"/>
      <c r="AS723" s="1205"/>
      <c r="AT723" s="1205"/>
      <c r="AU723" s="1205"/>
      <c r="AV723" s="1205"/>
      <c r="AW723" s="1205"/>
      <c r="AX723" s="1205"/>
      <c r="AY723" s="1205"/>
      <c r="AZ723" s="1205"/>
      <c r="BA723" s="1205"/>
      <c r="BB723" s="1205"/>
      <c r="BC723" s="1205"/>
      <c r="BD723" s="1369"/>
      <c r="BE723" s="1369"/>
      <c r="BF723" s="1369"/>
      <c r="BG723" s="1369"/>
      <c r="BH723" s="1369"/>
      <c r="BI723" s="1205"/>
      <c r="BJ723" s="1205"/>
      <c r="BK723" s="1205"/>
      <c r="BL723" s="1205"/>
      <c r="BM723" s="1205"/>
      <c r="BN723" s="1205"/>
      <c r="BO723" s="1205"/>
      <c r="BP723" s="1205"/>
      <c r="BQ723" s="1205"/>
      <c r="BR723" s="1205"/>
      <c r="BS723" s="1205"/>
      <c r="BT723" s="1205"/>
      <c r="BU723" s="1205"/>
      <c r="BV723" s="1205"/>
      <c r="BW723" s="1205"/>
      <c r="BX723" s="1205"/>
      <c r="BY723" s="1205"/>
      <c r="BZ723" s="1205"/>
      <c r="CA723" s="1205"/>
      <c r="CB723" s="1205"/>
      <c r="CC723" s="1205"/>
    </row>
    <row r="724" spans="1:81" s="1207" customFormat="1" ht="12.75" customHeight="1">
      <c r="A724" s="1222"/>
      <c r="C724" s="1210" t="s">
        <v>1636</v>
      </c>
      <c r="AM724" s="1222"/>
      <c r="AN724" s="1206"/>
      <c r="AS724" s="1205"/>
      <c r="AT724" s="1205"/>
      <c r="AU724" s="1205"/>
      <c r="AV724" s="1205"/>
      <c r="AW724" s="1205"/>
      <c r="AX724" s="1205"/>
      <c r="AY724" s="1205"/>
      <c r="AZ724" s="1205"/>
      <c r="BA724" s="1205"/>
      <c r="BB724" s="1205"/>
      <c r="BC724" s="1205"/>
      <c r="BD724" s="1369"/>
      <c r="BE724" s="1369"/>
      <c r="BF724" s="1369"/>
      <c r="BG724" s="1369"/>
      <c r="BH724" s="1369"/>
      <c r="BI724" s="1205"/>
      <c r="BJ724" s="1205"/>
      <c r="BK724" s="1205"/>
      <c r="BL724" s="1205"/>
      <c r="BM724" s="1205"/>
      <c r="BN724" s="1205"/>
      <c r="BO724" s="1205"/>
      <c r="BP724" s="1205"/>
      <c r="BQ724" s="1205"/>
      <c r="BR724" s="1205"/>
      <c r="BS724" s="1205"/>
      <c r="BT724" s="1205"/>
      <c r="BU724" s="1205"/>
      <c r="BV724" s="1205"/>
      <c r="BW724" s="1205"/>
      <c r="BX724" s="1205"/>
      <c r="BY724" s="1205"/>
      <c r="BZ724" s="1205"/>
      <c r="CA724" s="1205"/>
      <c r="CB724" s="1205"/>
      <c r="CC724" s="1205"/>
    </row>
    <row r="725" spans="1:81" s="1207" customFormat="1">
      <c r="A725" s="1222"/>
      <c r="B725" s="1304"/>
      <c r="C725" s="1584"/>
      <c r="D725" s="1304"/>
      <c r="E725" s="1304"/>
      <c r="H725" s="1304"/>
      <c r="I725" s="1304"/>
      <c r="J725" s="1304"/>
      <c r="K725" s="1304"/>
      <c r="L725" s="1304"/>
      <c r="M725" s="1304"/>
      <c r="N725" s="1304"/>
      <c r="O725" s="1304"/>
      <c r="P725" s="1304"/>
      <c r="Q725" s="1304"/>
      <c r="R725" s="1304"/>
      <c r="S725" s="1304"/>
      <c r="X725" s="1267"/>
      <c r="Y725" s="1267"/>
      <c r="Z725" s="1267"/>
      <c r="AA725" s="1267"/>
      <c r="AB725" s="1267"/>
      <c r="AM725" s="1222"/>
      <c r="AN725" s="1206"/>
      <c r="AS725" s="1205"/>
      <c r="AT725" s="1205"/>
      <c r="AU725" s="1205"/>
      <c r="AV725" s="1205"/>
      <c r="AW725" s="1205"/>
      <c r="AX725" s="1205"/>
      <c r="AY725" s="1205"/>
      <c r="AZ725" s="1205"/>
      <c r="BA725" s="1205"/>
      <c r="BB725" s="1205"/>
      <c r="BC725" s="1205"/>
      <c r="BD725" s="1369"/>
      <c r="BE725" s="1369"/>
      <c r="BF725" s="1369"/>
      <c r="BG725" s="1369"/>
      <c r="BH725" s="1369"/>
      <c r="BI725" s="1205"/>
      <c r="BJ725" s="1205"/>
      <c r="BK725" s="1205"/>
      <c r="BL725" s="1205"/>
      <c r="BM725" s="1205"/>
      <c r="BN725" s="1205"/>
      <c r="BO725" s="1205"/>
      <c r="BP725" s="1205"/>
      <c r="BQ725" s="1205"/>
      <c r="BR725" s="1205"/>
      <c r="BS725" s="1205"/>
      <c r="BT725" s="1205"/>
      <c r="BU725" s="1205"/>
      <c r="BV725" s="1205"/>
      <c r="BW725" s="1205"/>
      <c r="BX725" s="1205"/>
      <c r="BY725" s="1205"/>
      <c r="BZ725" s="1205"/>
      <c r="CA725" s="1205"/>
      <c r="CB725" s="1205"/>
      <c r="CC725" s="1205"/>
    </row>
    <row r="726" spans="1:81" s="1207" customFormat="1">
      <c r="A726" s="1222"/>
      <c r="C726" s="1552"/>
      <c r="D726" s="1317" t="s">
        <v>713</v>
      </c>
      <c r="E726" s="2475" t="s">
        <v>1637</v>
      </c>
      <c r="F726" s="2475"/>
      <c r="G726" s="2475"/>
      <c r="H726" s="2475"/>
      <c r="I726" s="2475"/>
      <c r="J726" s="2475"/>
      <c r="K726" s="2475"/>
      <c r="L726" s="2475"/>
      <c r="M726" s="2475"/>
      <c r="N726" s="2475"/>
      <c r="O726" s="2475"/>
      <c r="P726" s="2475"/>
      <c r="Q726" s="2475"/>
      <c r="R726" s="2475"/>
      <c r="S726" s="2475"/>
      <c r="T726" s="2475"/>
      <c r="U726" s="2475"/>
      <c r="V726" s="2475"/>
      <c r="W726" s="2475"/>
      <c r="X726" s="2475"/>
      <c r="Y726" s="2475"/>
      <c r="Z726" s="2475"/>
      <c r="AA726" s="2475"/>
      <c r="AB726" s="2475"/>
      <c r="AF726" s="2476" t="s">
        <v>1543</v>
      </c>
      <c r="AG726" s="2476"/>
      <c r="AH726" s="2476"/>
      <c r="AI726" s="2476"/>
      <c r="AJ726" s="2476"/>
      <c r="AK726" s="2476"/>
      <c r="AL726" s="2476"/>
      <c r="AM726" s="1222"/>
      <c r="AN726" s="1206"/>
      <c r="AT726" s="1205"/>
      <c r="AU726" s="1205"/>
      <c r="AV726" s="1205"/>
      <c r="AW726" s="1205"/>
      <c r="AX726" s="1205"/>
      <c r="AY726" s="1205"/>
      <c r="AZ726" s="1205"/>
    </row>
    <row r="727" spans="1:81" s="1207" customFormat="1">
      <c r="A727" s="1222"/>
      <c r="C727" s="1552"/>
      <c r="D727" s="1317"/>
      <c r="E727" s="2475"/>
      <c r="F727" s="2475"/>
      <c r="G727" s="2475"/>
      <c r="H727" s="2475"/>
      <c r="I727" s="2475"/>
      <c r="J727" s="2475"/>
      <c r="K727" s="2475"/>
      <c r="L727" s="2475"/>
      <c r="M727" s="2475"/>
      <c r="N727" s="2475"/>
      <c r="O727" s="2475"/>
      <c r="P727" s="2475"/>
      <c r="Q727" s="2475"/>
      <c r="R727" s="2475"/>
      <c r="S727" s="2475"/>
      <c r="T727" s="2475"/>
      <c r="U727" s="2475"/>
      <c r="V727" s="2475"/>
      <c r="W727" s="2475"/>
      <c r="X727" s="2475"/>
      <c r="Y727" s="2475"/>
      <c r="Z727" s="2475"/>
      <c r="AA727" s="2475"/>
      <c r="AB727" s="2475"/>
      <c r="AF727" s="1289"/>
      <c r="AG727" s="1289"/>
      <c r="AH727" s="1289"/>
      <c r="AI727" s="1289"/>
      <c r="AJ727" s="1289"/>
      <c r="AK727" s="1289"/>
      <c r="AL727" s="1289"/>
      <c r="AM727" s="1222"/>
      <c r="AN727" s="1206"/>
      <c r="AT727" s="1205"/>
      <c r="AU727" s="1205"/>
      <c r="AV727" s="1205"/>
      <c r="AW727" s="1205"/>
      <c r="AX727" s="1205"/>
      <c r="AY727" s="1205"/>
      <c r="AZ727" s="1205"/>
    </row>
    <row r="728" spans="1:81" s="1207" customFormat="1">
      <c r="A728" s="1222"/>
      <c r="C728" s="1554"/>
      <c r="D728" s="1317"/>
      <c r="E728" s="2475"/>
      <c r="F728" s="2475"/>
      <c r="G728" s="2475"/>
      <c r="H728" s="2475"/>
      <c r="I728" s="2475"/>
      <c r="J728" s="2475"/>
      <c r="K728" s="2475"/>
      <c r="L728" s="2475"/>
      <c r="M728" s="2475"/>
      <c r="N728" s="2475"/>
      <c r="O728" s="2475"/>
      <c r="P728" s="2475"/>
      <c r="Q728" s="2475"/>
      <c r="R728" s="2475"/>
      <c r="S728" s="2475"/>
      <c r="T728" s="2475"/>
      <c r="U728" s="2475"/>
      <c r="V728" s="2475"/>
      <c r="W728" s="2475"/>
      <c r="X728" s="2475"/>
      <c r="Y728" s="2475"/>
      <c r="Z728" s="2475"/>
      <c r="AA728" s="2475"/>
      <c r="AB728" s="2475"/>
      <c r="AM728" s="1222"/>
      <c r="AN728" s="1206"/>
    </row>
    <row r="729" spans="1:81" s="1207" customFormat="1" ht="12.75" customHeight="1">
      <c r="A729" s="1222"/>
      <c r="C729" s="1554"/>
      <c r="D729" s="1317"/>
      <c r="E729" s="2475"/>
      <c r="F729" s="2475"/>
      <c r="G729" s="2475"/>
      <c r="H729" s="2475"/>
      <c r="I729" s="2475"/>
      <c r="J729" s="2475"/>
      <c r="K729" s="2475"/>
      <c r="L729" s="2475"/>
      <c r="M729" s="2475"/>
      <c r="N729" s="2475"/>
      <c r="O729" s="2475"/>
      <c r="P729" s="2475"/>
      <c r="Q729" s="2475"/>
      <c r="R729" s="2475"/>
      <c r="S729" s="2475"/>
      <c r="T729" s="2475"/>
      <c r="U729" s="2475"/>
      <c r="V729" s="2475"/>
      <c r="W729" s="2475"/>
      <c r="X729" s="2475"/>
      <c r="Y729" s="2475"/>
      <c r="Z729" s="2475"/>
      <c r="AA729" s="2475"/>
      <c r="AB729" s="2475"/>
      <c r="AM729" s="1222"/>
      <c r="AN729" s="1203"/>
      <c r="AO729" s="1205"/>
    </row>
    <row r="730" spans="1:81" s="1207" customFormat="1">
      <c r="A730" s="1492"/>
      <c r="B730" s="1267"/>
      <c r="C730" s="1552"/>
      <c r="D730" s="1317"/>
      <c r="E730" s="1576"/>
      <c r="F730" s="1576"/>
      <c r="G730" s="1576"/>
      <c r="H730" s="1576"/>
      <c r="I730" s="1576"/>
      <c r="J730" s="1576"/>
      <c r="K730" s="1576"/>
      <c r="L730" s="1576"/>
      <c r="M730" s="1576"/>
      <c r="N730" s="1576"/>
      <c r="O730" s="1576"/>
      <c r="P730" s="1576"/>
      <c r="Q730" s="1576"/>
      <c r="R730" s="1576"/>
      <c r="S730" s="1576"/>
      <c r="T730" s="1576"/>
      <c r="U730" s="1576"/>
      <c r="V730" s="1576"/>
      <c r="W730" s="1576"/>
      <c r="X730" s="1576"/>
      <c r="Y730" s="1576"/>
      <c r="Z730" s="1576"/>
      <c r="AA730" s="1576"/>
      <c r="AB730" s="1576"/>
      <c r="AM730" s="1222"/>
      <c r="AN730" s="1206"/>
      <c r="AO730" s="1204"/>
      <c r="AP730" s="1205"/>
    </row>
    <row r="731" spans="1:81" s="1207" customFormat="1">
      <c r="A731" s="1222"/>
      <c r="C731" s="1552"/>
      <c r="D731" s="1317" t="s">
        <v>533</v>
      </c>
      <c r="E731" s="2475" t="s">
        <v>1638</v>
      </c>
      <c r="F731" s="2475"/>
      <c r="G731" s="2475"/>
      <c r="H731" s="2475"/>
      <c r="I731" s="2475"/>
      <c r="J731" s="2475"/>
      <c r="K731" s="2475"/>
      <c r="L731" s="2475"/>
      <c r="M731" s="2475"/>
      <c r="N731" s="2475"/>
      <c r="O731" s="2475"/>
      <c r="P731" s="2475"/>
      <c r="Q731" s="2475"/>
      <c r="R731" s="2475"/>
      <c r="S731" s="2475"/>
      <c r="T731" s="2475"/>
      <c r="U731" s="2475"/>
      <c r="V731" s="2475"/>
      <c r="W731" s="2475"/>
      <c r="X731" s="2475"/>
      <c r="Y731" s="2475"/>
      <c r="Z731" s="2475"/>
      <c r="AA731" s="2475"/>
      <c r="AB731" s="1249"/>
      <c r="AF731" s="2476" t="s">
        <v>1599</v>
      </c>
      <c r="AG731" s="2476"/>
      <c r="AH731" s="2476"/>
      <c r="AI731" s="2476"/>
      <c r="AJ731" s="2476"/>
      <c r="AK731" s="2476"/>
      <c r="AL731" s="2476"/>
      <c r="AM731" s="1222"/>
      <c r="AN731" s="1206"/>
      <c r="AO731" s="1204"/>
      <c r="AP731" s="1205"/>
    </row>
    <row r="732" spans="1:81" s="1207" customFormat="1">
      <c r="A732" s="1222"/>
      <c r="C732" s="1552"/>
      <c r="D732" s="1317"/>
      <c r="E732" s="2475"/>
      <c r="F732" s="2475"/>
      <c r="G732" s="2475"/>
      <c r="H732" s="2475"/>
      <c r="I732" s="2475"/>
      <c r="J732" s="2475"/>
      <c r="K732" s="2475"/>
      <c r="L732" s="2475"/>
      <c r="M732" s="2475"/>
      <c r="N732" s="2475"/>
      <c r="O732" s="2475"/>
      <c r="P732" s="2475"/>
      <c r="Q732" s="2475"/>
      <c r="R732" s="2475"/>
      <c r="S732" s="2475"/>
      <c r="T732" s="2475"/>
      <c r="U732" s="2475"/>
      <c r="V732" s="2475"/>
      <c r="W732" s="2475"/>
      <c r="X732" s="2475"/>
      <c r="Y732" s="2475"/>
      <c r="Z732" s="2475"/>
      <c r="AA732" s="2475"/>
      <c r="AB732" s="1249"/>
      <c r="AF732" s="1289"/>
      <c r="AG732" s="1289"/>
      <c r="AH732" s="1289"/>
      <c r="AI732" s="1289"/>
      <c r="AJ732" s="1289"/>
      <c r="AK732" s="1289"/>
      <c r="AL732" s="1289"/>
      <c r="AM732" s="1222"/>
      <c r="AN732" s="1206"/>
      <c r="AO732" s="1204"/>
      <c r="AP732" s="1205"/>
    </row>
    <row r="733" spans="1:81" s="1207" customFormat="1">
      <c r="A733" s="1222"/>
      <c r="C733" s="1552"/>
      <c r="E733" s="2475"/>
      <c r="F733" s="2475"/>
      <c r="G733" s="2475"/>
      <c r="H733" s="2475"/>
      <c r="I733" s="2475"/>
      <c r="J733" s="2475"/>
      <c r="K733" s="2475"/>
      <c r="L733" s="2475"/>
      <c r="M733" s="2475"/>
      <c r="N733" s="2475"/>
      <c r="O733" s="2475"/>
      <c r="P733" s="2475"/>
      <c r="Q733" s="2475"/>
      <c r="R733" s="2475"/>
      <c r="S733" s="2475"/>
      <c r="T733" s="2475"/>
      <c r="U733" s="2475"/>
      <c r="V733" s="2475"/>
      <c r="W733" s="2475"/>
      <c r="X733" s="2475"/>
      <c r="Y733" s="2475"/>
      <c r="Z733" s="2475"/>
      <c r="AA733" s="2475"/>
      <c r="AB733" s="1249"/>
      <c r="AC733" s="1289"/>
      <c r="AD733" s="1289"/>
      <c r="AE733" s="1289"/>
      <c r="AF733" s="1289"/>
      <c r="AG733" s="1289"/>
      <c r="AH733" s="1289"/>
      <c r="AI733" s="1289"/>
      <c r="AM733" s="1222"/>
      <c r="AN733" s="1206"/>
      <c r="AO733" s="1204"/>
      <c r="AP733" s="1205"/>
    </row>
    <row r="734" spans="1:81" s="1207" customFormat="1">
      <c r="A734" s="1222"/>
      <c r="C734" s="1552"/>
      <c r="E734" s="2475"/>
      <c r="F734" s="2475"/>
      <c r="G734" s="2475"/>
      <c r="H734" s="2475"/>
      <c r="I734" s="2475"/>
      <c r="J734" s="2475"/>
      <c r="K734" s="2475"/>
      <c r="L734" s="2475"/>
      <c r="M734" s="2475"/>
      <c r="N734" s="2475"/>
      <c r="O734" s="2475"/>
      <c r="P734" s="2475"/>
      <c r="Q734" s="2475"/>
      <c r="R734" s="2475"/>
      <c r="S734" s="2475"/>
      <c r="T734" s="2475"/>
      <c r="U734" s="2475"/>
      <c r="V734" s="2475"/>
      <c r="W734" s="2475"/>
      <c r="X734" s="2475"/>
      <c r="Y734" s="2475"/>
      <c r="Z734" s="2475"/>
      <c r="AA734" s="2475"/>
      <c r="AB734" s="1249"/>
      <c r="AC734" s="1289"/>
      <c r="AD734" s="1289"/>
      <c r="AE734" s="1289"/>
      <c r="AF734" s="1289"/>
      <c r="AG734" s="1289"/>
      <c r="AH734" s="1289"/>
      <c r="AI734" s="1289"/>
      <c r="AM734" s="1222"/>
      <c r="AN734" s="1206"/>
      <c r="AO734" s="1204"/>
      <c r="AP734" s="1205"/>
    </row>
    <row r="735" spans="1:81" s="1207" customFormat="1">
      <c r="A735" s="1222"/>
      <c r="C735" s="1552"/>
      <c r="E735" s="1294"/>
      <c r="F735" s="1294"/>
      <c r="G735" s="1294"/>
      <c r="H735" s="1294"/>
      <c r="I735" s="1294"/>
      <c r="J735" s="1294"/>
      <c r="K735" s="1294"/>
      <c r="L735" s="1294"/>
      <c r="M735" s="1294"/>
      <c r="N735" s="1294"/>
      <c r="O735" s="1294"/>
      <c r="P735" s="1294"/>
      <c r="Q735" s="1294"/>
      <c r="R735" s="1294"/>
      <c r="S735" s="1294"/>
      <c r="T735" s="1294"/>
      <c r="U735" s="1294"/>
      <c r="V735" s="1294"/>
      <c r="W735" s="1294"/>
      <c r="X735" s="1294"/>
      <c r="Y735" s="1294"/>
      <c r="Z735" s="1294"/>
      <c r="AA735" s="1294"/>
      <c r="AB735" s="1294"/>
      <c r="AC735" s="1289"/>
      <c r="AD735" s="1289"/>
      <c r="AE735" s="1289"/>
      <c r="AF735" s="1289"/>
      <c r="AG735" s="1289"/>
      <c r="AH735" s="1289"/>
      <c r="AI735" s="1289"/>
      <c r="AM735" s="1222"/>
      <c r="AN735" s="1206"/>
    </row>
    <row r="736" spans="1:81" s="1207" customFormat="1" ht="12.75" customHeight="1">
      <c r="A736" s="1222"/>
      <c r="C736" s="1552"/>
      <c r="D736" s="1207" t="s">
        <v>1591</v>
      </c>
      <c r="E736" s="1559"/>
      <c r="F736" s="1559"/>
      <c r="G736" s="1559"/>
      <c r="H736" s="2477" t="s">
        <v>713</v>
      </c>
      <c r="I736" s="2477"/>
      <c r="J736" s="1294"/>
      <c r="K736" s="1294"/>
      <c r="L736" s="1294"/>
      <c r="M736" s="1294"/>
      <c r="N736" s="1294"/>
      <c r="O736" s="1294"/>
      <c r="P736" s="1294"/>
      <c r="Q736" s="1294"/>
      <c r="R736" s="1294"/>
      <c r="S736" s="1294"/>
      <c r="T736" s="1294"/>
      <c r="U736" s="1294"/>
      <c r="V736" s="1294"/>
      <c r="W736" s="1294"/>
      <c r="X736" s="1294"/>
      <c r="Y736" s="1294"/>
      <c r="Z736" s="1294"/>
      <c r="AA736" s="1294"/>
      <c r="AB736" s="1294"/>
      <c r="AC736" s="1289"/>
      <c r="AD736" s="1289"/>
      <c r="AE736" s="1289"/>
      <c r="AF736" s="1289"/>
      <c r="AG736" s="1289"/>
      <c r="AH736" s="1289"/>
      <c r="AI736" s="1289"/>
      <c r="AM736" s="1222"/>
      <c r="AN736" s="1206"/>
    </row>
    <row r="737" spans="1:74" s="1207" customFormat="1" ht="12.75" customHeight="1">
      <c r="A737" s="1222"/>
      <c r="C737" s="1552"/>
      <c r="E737" s="1294"/>
      <c r="F737" s="1294"/>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89"/>
      <c r="AD737" s="1289"/>
      <c r="AE737" s="1289"/>
      <c r="AF737" s="1289"/>
      <c r="AG737" s="1289"/>
      <c r="AH737" s="1289"/>
      <c r="AI737" s="1289"/>
      <c r="AM737" s="1222"/>
      <c r="AN737" s="1203"/>
      <c r="AO737" s="1204"/>
      <c r="AP737" s="1205"/>
      <c r="AQ737" s="1205"/>
      <c r="AR737" s="1205"/>
      <c r="AS737" s="1205"/>
      <c r="AT737" s="1205"/>
      <c r="AU737" s="1205"/>
      <c r="AV737" s="1205"/>
      <c r="AW737" s="1205"/>
      <c r="AX737" s="1205"/>
      <c r="AY737" s="1205"/>
      <c r="AZ737" s="1205"/>
      <c r="BA737" s="1205"/>
      <c r="BB737" s="1205"/>
      <c r="BC737" s="1205"/>
      <c r="BD737" s="1369"/>
      <c r="BE737" s="1369"/>
      <c r="BF737" s="1369"/>
      <c r="BG737" s="1369"/>
      <c r="BH737" s="1369"/>
      <c r="BI737" s="1205"/>
      <c r="BJ737" s="1205"/>
      <c r="BK737" s="1205"/>
      <c r="BL737" s="1205"/>
      <c r="BM737" s="1205"/>
      <c r="BN737" s="1205"/>
      <c r="BO737" s="1205"/>
      <c r="BP737" s="1205"/>
      <c r="BQ737" s="1205"/>
      <c r="BR737" s="1205"/>
      <c r="BS737" s="1205"/>
      <c r="BT737" s="1205"/>
      <c r="BU737" s="1205"/>
      <c r="BV737" s="1205"/>
    </row>
    <row r="738" spans="1:74" s="1207" customFormat="1">
      <c r="A738" s="1300"/>
      <c r="B738" s="1292"/>
      <c r="C738" s="1573"/>
      <c r="D738" s="1292"/>
      <c r="E738" s="1585"/>
      <c r="F738" s="1585"/>
      <c r="G738" s="1585"/>
      <c r="H738" s="1585"/>
      <c r="I738" s="1585"/>
      <c r="J738" s="1585"/>
      <c r="K738" s="1585"/>
      <c r="L738" s="1585"/>
      <c r="M738" s="1585"/>
      <c r="N738" s="1585"/>
      <c r="O738" s="1585"/>
      <c r="P738" s="1585"/>
      <c r="Q738" s="1585"/>
      <c r="R738" s="1585"/>
      <c r="S738" s="1585"/>
      <c r="T738" s="1585"/>
      <c r="U738" s="1585"/>
      <c r="V738" s="1585"/>
      <c r="W738" s="1585"/>
      <c r="X738" s="1585"/>
      <c r="Y738" s="1585"/>
      <c r="Z738" s="1585"/>
      <c r="AA738" s="1585"/>
      <c r="AB738" s="1586"/>
      <c r="AC738" s="1586"/>
      <c r="AD738" s="1586"/>
      <c r="AE738" s="1586"/>
      <c r="AF738" s="1586"/>
      <c r="AG738" s="1586"/>
      <c r="AH738" s="1292"/>
      <c r="AI738" s="1239" t="s">
        <v>1639</v>
      </c>
      <c r="AJ738" s="2455">
        <f>VLOOKUP($H$736,$AO$669:$AP$671,2,FALSE)</f>
        <v>3</v>
      </c>
      <c r="AK738" s="2457"/>
      <c r="AL738" s="1267"/>
      <c r="AM738" s="1222"/>
      <c r="AN738" s="1203"/>
      <c r="AO738" s="1204"/>
      <c r="AP738" s="1205"/>
      <c r="AQ738" s="1205"/>
      <c r="AR738" s="1205"/>
      <c r="AS738" s="1205"/>
      <c r="AT738" s="1205"/>
      <c r="AU738" s="1205"/>
      <c r="AV738" s="1205"/>
      <c r="AW738" s="1205"/>
      <c r="AX738" s="1205"/>
      <c r="AY738" s="1205"/>
      <c r="AZ738" s="1205"/>
      <c r="BA738" s="1205"/>
      <c r="BB738" s="1205"/>
      <c r="BC738" s="1205"/>
      <c r="BD738" s="1369"/>
      <c r="BE738" s="1369"/>
      <c r="BF738" s="1369"/>
      <c r="BG738" s="1369"/>
      <c r="BH738" s="1369"/>
      <c r="BI738" s="1205"/>
      <c r="BJ738" s="1205"/>
      <c r="BK738" s="1205"/>
      <c r="BL738" s="1205"/>
      <c r="BM738" s="1205"/>
      <c r="BN738" s="1205"/>
      <c r="BO738" s="1205"/>
      <c r="BP738" s="1205"/>
      <c r="BQ738" s="1205"/>
      <c r="BR738" s="1205"/>
      <c r="BS738" s="1205"/>
      <c r="BT738" s="1205"/>
      <c r="BU738" s="1205"/>
      <c r="BV738" s="1205"/>
    </row>
    <row r="739" spans="1:74" s="1207" customFormat="1" ht="12.75" customHeight="1">
      <c r="A739" s="1385"/>
      <c r="C739" s="1554"/>
      <c r="J739" s="1294"/>
      <c r="K739" s="1294"/>
      <c r="L739" s="1319"/>
      <c r="M739" s="1319"/>
      <c r="N739" s="1319"/>
      <c r="O739" s="1319"/>
      <c r="P739" s="1319"/>
      <c r="Q739" s="1319"/>
      <c r="R739" s="1319"/>
      <c r="S739" s="1319"/>
      <c r="T739" s="1319"/>
      <c r="U739" s="1319"/>
      <c r="V739" s="1310"/>
      <c r="W739" s="1310"/>
      <c r="X739" s="1310"/>
      <c r="Y739" s="1310"/>
      <c r="Z739" s="1559"/>
      <c r="AA739" s="1559"/>
      <c r="AB739" s="1559"/>
      <c r="AM739" s="1222"/>
      <c r="AN739" s="1203"/>
      <c r="AO739" s="1204"/>
      <c r="AP739" s="1205"/>
      <c r="AQ739" s="1205"/>
      <c r="AR739" s="1205"/>
      <c r="AS739" s="1205"/>
      <c r="AT739" s="1205"/>
      <c r="AU739" s="1205"/>
      <c r="AV739" s="1205"/>
      <c r="AW739" s="1205"/>
      <c r="AX739" s="1205"/>
      <c r="AY739" s="1205"/>
      <c r="AZ739" s="1205"/>
      <c r="BA739" s="1205"/>
      <c r="BB739" s="1205"/>
      <c r="BC739" s="1205"/>
      <c r="BD739" s="1369"/>
      <c r="BE739" s="1369"/>
      <c r="BF739" s="1369"/>
      <c r="BG739" s="1369"/>
      <c r="BH739" s="1369"/>
      <c r="BI739" s="1205"/>
      <c r="BJ739" s="1205"/>
      <c r="BK739" s="1205"/>
      <c r="BL739" s="1205"/>
      <c r="BM739" s="1205"/>
      <c r="BN739" s="1205"/>
      <c r="BO739" s="1205"/>
      <c r="BP739" s="1205"/>
      <c r="BQ739" s="1205"/>
      <c r="BR739" s="1205"/>
      <c r="BS739" s="1205"/>
      <c r="BT739" s="1205"/>
      <c r="BU739" s="1205"/>
      <c r="BV739" s="1205"/>
    </row>
    <row r="740" spans="1:74" s="1207" customFormat="1">
      <c r="A740" s="1222"/>
      <c r="C740" s="1210" t="s">
        <v>1629</v>
      </c>
      <c r="D740" s="1310"/>
      <c r="AM740" s="1222"/>
      <c r="AN740" s="1203"/>
      <c r="AO740" s="1204"/>
      <c r="AP740" s="1205"/>
      <c r="AQ740" s="1205"/>
      <c r="AR740" s="1205"/>
      <c r="AS740" s="1205"/>
      <c r="AT740" s="1205"/>
      <c r="AU740" s="1205"/>
      <c r="AV740" s="1205"/>
      <c r="AW740" s="1205"/>
      <c r="AX740" s="1205"/>
      <c r="AY740" s="1205"/>
      <c r="AZ740" s="1205"/>
      <c r="BA740" s="1205"/>
      <c r="BB740" s="1205"/>
      <c r="BC740" s="1205"/>
      <c r="BD740" s="1369"/>
      <c r="BE740" s="1369"/>
      <c r="BF740" s="1369"/>
      <c r="BG740" s="1369"/>
      <c r="BH740" s="1369"/>
      <c r="BI740" s="1205"/>
      <c r="BJ740" s="1205"/>
      <c r="BK740" s="1205"/>
      <c r="BL740" s="1205"/>
      <c r="BM740" s="1205"/>
      <c r="BN740" s="1205"/>
      <c r="BO740" s="1205"/>
      <c r="BP740" s="1205"/>
      <c r="BQ740" s="1205"/>
      <c r="BR740" s="1205"/>
      <c r="BS740" s="1205"/>
      <c r="BT740" s="1205"/>
      <c r="BU740" s="1205"/>
      <c r="BV740" s="1205"/>
    </row>
    <row r="741" spans="1:74" s="1207" customFormat="1">
      <c r="A741" s="1222"/>
      <c r="B741" s="1310"/>
      <c r="E741" s="1310"/>
      <c r="F741" s="1310"/>
      <c r="G741" s="1310"/>
      <c r="H741" s="1310"/>
      <c r="I741" s="1310"/>
      <c r="J741" s="1310"/>
      <c r="K741" s="1310"/>
      <c r="L741" s="1310"/>
      <c r="M741" s="1310"/>
      <c r="N741" s="1310"/>
      <c r="O741" s="1310"/>
      <c r="P741" s="1310"/>
      <c r="Q741" s="1310"/>
      <c r="R741" s="1310"/>
      <c r="S741" s="1310"/>
      <c r="T741" s="1310"/>
      <c r="U741" s="1310"/>
      <c r="V741" s="1310"/>
      <c r="W741" s="1310"/>
      <c r="X741" s="1310"/>
      <c r="Y741" s="1310"/>
      <c r="Z741" s="1310"/>
      <c r="AA741" s="1310"/>
      <c r="AB741" s="1310"/>
      <c r="AC741" s="1310"/>
      <c r="AD741" s="1310"/>
      <c r="AE741" s="1310"/>
      <c r="AF741" s="1310"/>
      <c r="AG741" s="1310"/>
      <c r="AH741" s="1310"/>
      <c r="AM741" s="1222"/>
      <c r="AN741" s="1203"/>
      <c r="AO741" s="1204"/>
      <c r="AP741" s="1205"/>
      <c r="AQ741" s="1205"/>
      <c r="AR741" s="1205"/>
      <c r="AS741" s="1205"/>
      <c r="AT741" s="1205"/>
      <c r="AU741" s="1205"/>
      <c r="AV741" s="1205"/>
      <c r="AW741" s="1205"/>
      <c r="AX741" s="1205"/>
      <c r="AY741" s="1205"/>
      <c r="AZ741" s="1205"/>
      <c r="BA741" s="1205"/>
      <c r="BB741" s="1205"/>
      <c r="BC741" s="1205"/>
      <c r="BD741" s="1369"/>
      <c r="BE741" s="1369"/>
      <c r="BF741" s="1369"/>
      <c r="BG741" s="1369"/>
      <c r="BH741" s="1369"/>
      <c r="BI741" s="1205"/>
      <c r="BJ741" s="1205"/>
      <c r="BK741" s="1205"/>
      <c r="BL741" s="1205"/>
      <c r="BM741" s="1205"/>
      <c r="BN741" s="1205"/>
      <c r="BO741" s="1205"/>
      <c r="BP741" s="1205"/>
      <c r="BQ741" s="1205"/>
      <c r="BR741" s="1205"/>
      <c r="BS741" s="1205"/>
      <c r="BT741" s="1205"/>
      <c r="BU741" s="1205"/>
      <c r="BV741" s="1205"/>
    </row>
    <row r="742" spans="1:74" s="1207" customFormat="1">
      <c r="A742" s="1222"/>
      <c r="C742" s="1552"/>
      <c r="D742" s="1317" t="s">
        <v>713</v>
      </c>
      <c r="E742" s="2475" t="s">
        <v>1640</v>
      </c>
      <c r="F742" s="2475"/>
      <c r="G742" s="2475"/>
      <c r="H742" s="2475"/>
      <c r="I742" s="2475"/>
      <c r="J742" s="2475"/>
      <c r="K742" s="2475"/>
      <c r="L742" s="2475"/>
      <c r="M742" s="2475"/>
      <c r="N742" s="2475"/>
      <c r="O742" s="2475"/>
      <c r="P742" s="2475"/>
      <c r="Q742" s="2475"/>
      <c r="R742" s="2475"/>
      <c r="S742" s="2475"/>
      <c r="T742" s="2475"/>
      <c r="U742" s="2475"/>
      <c r="V742" s="2475"/>
      <c r="W742" s="2475"/>
      <c r="X742" s="2475"/>
      <c r="Y742" s="2475"/>
      <c r="Z742" s="2475"/>
      <c r="AA742" s="2475"/>
      <c r="AB742" s="2475"/>
      <c r="AF742" s="2476" t="s">
        <v>1599</v>
      </c>
      <c r="AG742" s="2476"/>
      <c r="AH742" s="2476"/>
      <c r="AI742" s="2476"/>
      <c r="AJ742" s="2476"/>
      <c r="AK742" s="2476"/>
      <c r="AL742" s="2476"/>
      <c r="AM742" s="1222"/>
      <c r="AN742" s="1203"/>
      <c r="AO742" s="1204"/>
      <c r="AP742" s="1205"/>
      <c r="AQ742" s="1205"/>
      <c r="AR742" s="1205"/>
      <c r="AS742" s="1205"/>
      <c r="AT742" s="1205"/>
      <c r="AU742" s="1205"/>
      <c r="AV742" s="1205"/>
      <c r="AW742" s="1205"/>
      <c r="AX742" s="1205"/>
      <c r="AY742" s="1205"/>
      <c r="AZ742" s="1205"/>
      <c r="BA742" s="1205"/>
      <c r="BB742" s="1205"/>
      <c r="BC742" s="1205"/>
      <c r="BD742" s="1369"/>
      <c r="BE742" s="1369"/>
      <c r="BF742" s="1369"/>
      <c r="BG742" s="1369"/>
      <c r="BH742" s="1369"/>
      <c r="BI742" s="1205"/>
      <c r="BJ742" s="1205"/>
      <c r="BK742" s="1205"/>
      <c r="BL742" s="1205"/>
      <c r="BM742" s="1205"/>
      <c r="BN742" s="1205"/>
      <c r="BO742" s="1205"/>
      <c r="BP742" s="1205"/>
      <c r="BQ742" s="1205"/>
      <c r="BR742" s="1205"/>
      <c r="BS742" s="1205"/>
      <c r="BT742" s="1205"/>
      <c r="BU742" s="1205"/>
      <c r="BV742" s="1205"/>
    </row>
    <row r="743" spans="1:74" s="1207" customFormat="1">
      <c r="A743" s="1222"/>
      <c r="C743" s="1554"/>
      <c r="D743" s="1317"/>
      <c r="E743" s="2475"/>
      <c r="F743" s="2475"/>
      <c r="G743" s="2475"/>
      <c r="H743" s="2475"/>
      <c r="I743" s="2475"/>
      <c r="J743" s="2475"/>
      <c r="K743" s="2475"/>
      <c r="L743" s="2475"/>
      <c r="M743" s="2475"/>
      <c r="N743" s="2475"/>
      <c r="O743" s="2475"/>
      <c r="P743" s="2475"/>
      <c r="Q743" s="2475"/>
      <c r="R743" s="2475"/>
      <c r="S743" s="2475"/>
      <c r="T743" s="2475"/>
      <c r="U743" s="2475"/>
      <c r="V743" s="2475"/>
      <c r="W743" s="2475"/>
      <c r="X743" s="2475"/>
      <c r="Y743" s="2475"/>
      <c r="Z743" s="2475"/>
      <c r="AA743" s="2475"/>
      <c r="AB743" s="2475"/>
      <c r="AM743" s="1222"/>
      <c r="AN743" s="1203"/>
      <c r="AO743" s="1204"/>
      <c r="AP743" s="1205"/>
      <c r="AQ743" s="1205"/>
      <c r="AR743" s="1205"/>
      <c r="AS743" s="1205"/>
      <c r="AT743" s="1205"/>
      <c r="AU743" s="1205"/>
      <c r="AV743" s="1205"/>
      <c r="AW743" s="1205"/>
      <c r="AX743" s="1205"/>
      <c r="AY743" s="1205"/>
      <c r="AZ743" s="1205"/>
      <c r="BA743" s="1205"/>
      <c r="BB743" s="1205"/>
      <c r="BC743" s="1205"/>
      <c r="BD743" s="1369"/>
      <c r="BE743" s="1369"/>
      <c r="BF743" s="1369"/>
      <c r="BG743" s="1369"/>
      <c r="BH743" s="1369"/>
      <c r="BI743" s="1205"/>
      <c r="BJ743" s="1205"/>
      <c r="BK743" s="1205"/>
      <c r="BL743" s="1205"/>
      <c r="BM743" s="1205"/>
      <c r="BN743" s="1205"/>
      <c r="BO743" s="1205"/>
      <c r="BP743" s="1205"/>
      <c r="BQ743" s="1205"/>
      <c r="BR743" s="1205"/>
      <c r="BS743" s="1205"/>
      <c r="BT743" s="1205"/>
      <c r="BU743" s="1205"/>
      <c r="BV743" s="1205"/>
    </row>
    <row r="744" spans="1:74" s="1207" customFormat="1">
      <c r="A744" s="1222"/>
      <c r="B744" s="1310"/>
      <c r="C744" s="1565"/>
      <c r="D744" s="1317"/>
      <c r="E744" s="1310"/>
      <c r="F744" s="1310"/>
      <c r="G744" s="1310"/>
      <c r="H744" s="1310"/>
      <c r="I744" s="1310"/>
      <c r="J744" s="1310"/>
      <c r="K744" s="1310"/>
      <c r="L744" s="1310"/>
      <c r="M744" s="1310"/>
      <c r="N744" s="1310"/>
      <c r="O744" s="1310"/>
      <c r="P744" s="1310"/>
      <c r="Q744" s="1310"/>
      <c r="R744" s="1310"/>
      <c r="S744" s="1310"/>
      <c r="T744" s="1310"/>
      <c r="U744" s="1310"/>
      <c r="V744" s="1310"/>
      <c r="W744" s="1310"/>
      <c r="X744" s="1310"/>
      <c r="Y744" s="1310"/>
      <c r="Z744" s="1310"/>
      <c r="AA744" s="1310"/>
      <c r="AB744" s="1310"/>
      <c r="AE744" s="1310"/>
      <c r="AF744" s="1310"/>
      <c r="AG744" s="1310"/>
      <c r="AH744" s="1310"/>
      <c r="AI744" s="1310"/>
      <c r="AJ744" s="1310"/>
      <c r="AM744" s="1222"/>
      <c r="AN744" s="1203"/>
      <c r="AO744" s="1204"/>
      <c r="AP744" s="1205"/>
      <c r="AQ744" s="1205"/>
      <c r="AR744" s="1205"/>
      <c r="AS744" s="1205"/>
      <c r="AT744" s="1205"/>
      <c r="AU744" s="1205"/>
      <c r="AV744" s="1205"/>
      <c r="AW744" s="1205"/>
      <c r="AX744" s="1205"/>
      <c r="AY744" s="1205"/>
      <c r="AZ744" s="1205"/>
      <c r="BA744" s="1205"/>
      <c r="BB744" s="1205"/>
      <c r="BC744" s="1205"/>
      <c r="BD744" s="1369"/>
      <c r="BE744" s="1369"/>
      <c r="BF744" s="1369"/>
      <c r="BG744" s="1369"/>
      <c r="BH744" s="1369"/>
      <c r="BI744" s="1205"/>
      <c r="BJ744" s="1205"/>
      <c r="BK744" s="1205"/>
      <c r="BL744" s="1205"/>
      <c r="BM744" s="1205"/>
      <c r="BN744" s="1205"/>
      <c r="BO744" s="1205"/>
      <c r="BP744" s="1205"/>
      <c r="BQ744" s="1205"/>
      <c r="BR744" s="1205"/>
      <c r="BS744" s="1205"/>
      <c r="BT744" s="1205"/>
      <c r="BU744" s="1205"/>
      <c r="BV744" s="1205"/>
    </row>
    <row r="745" spans="1:74" s="1207" customFormat="1">
      <c r="A745" s="1385"/>
      <c r="C745" s="1552"/>
      <c r="D745" s="1317" t="s">
        <v>533</v>
      </c>
      <c r="E745" s="2475" t="s">
        <v>1641</v>
      </c>
      <c r="F745" s="2475"/>
      <c r="G745" s="2475"/>
      <c r="H745" s="2475"/>
      <c r="I745" s="2475"/>
      <c r="J745" s="2475"/>
      <c r="K745" s="2475"/>
      <c r="L745" s="2475"/>
      <c r="M745" s="2475"/>
      <c r="N745" s="2475"/>
      <c r="O745" s="2475"/>
      <c r="P745" s="2475"/>
      <c r="Q745" s="2475"/>
      <c r="R745" s="2475"/>
      <c r="S745" s="2475"/>
      <c r="T745" s="2475"/>
      <c r="U745" s="2475"/>
      <c r="V745" s="2475"/>
      <c r="W745" s="2475"/>
      <c r="X745" s="2475"/>
      <c r="Y745" s="2475"/>
      <c r="Z745" s="2475"/>
      <c r="AA745" s="2475"/>
      <c r="AB745" s="2475"/>
      <c r="AF745" s="2476" t="s">
        <v>1618</v>
      </c>
      <c r="AG745" s="2476"/>
      <c r="AH745" s="2476"/>
      <c r="AI745" s="2476"/>
      <c r="AJ745" s="2476"/>
      <c r="AK745" s="2476"/>
      <c r="AL745" s="2476"/>
      <c r="AM745" s="1222"/>
      <c r="AN745" s="1203"/>
      <c r="AO745" s="1204"/>
      <c r="AP745" s="1205"/>
      <c r="AQ745" s="1205"/>
      <c r="AR745" s="1205"/>
      <c r="AS745" s="1205"/>
      <c r="AT745" s="1205"/>
      <c r="AU745" s="1205"/>
      <c r="AV745" s="1205"/>
      <c r="AW745" s="1205"/>
      <c r="AX745" s="1205"/>
      <c r="AY745" s="1205"/>
      <c r="AZ745" s="1205"/>
      <c r="BA745" s="1205"/>
      <c r="BB745" s="1205"/>
      <c r="BC745" s="1205"/>
      <c r="BD745" s="1369"/>
      <c r="BE745" s="1369"/>
      <c r="BF745" s="1369"/>
      <c r="BG745" s="1369"/>
      <c r="BH745" s="1369"/>
      <c r="BI745" s="1205"/>
      <c r="BJ745" s="1205"/>
      <c r="BK745" s="1205"/>
      <c r="BL745" s="1205"/>
      <c r="BM745" s="1205"/>
      <c r="BN745" s="1205"/>
      <c r="BO745" s="1205"/>
      <c r="BP745" s="1205"/>
      <c r="BQ745" s="1205"/>
      <c r="BR745" s="1205"/>
      <c r="BS745" s="1205"/>
      <c r="BT745" s="1205"/>
      <c r="BU745" s="1205"/>
      <c r="BV745" s="1205"/>
    </row>
    <row r="746" spans="1:74" s="1207" customFormat="1" ht="12.75" customHeight="1">
      <c r="A746" s="1385"/>
      <c r="C746" s="1552"/>
      <c r="D746" s="1317"/>
      <c r="E746" s="2475"/>
      <c r="F746" s="2475"/>
      <c r="G746" s="2475"/>
      <c r="H746" s="2475"/>
      <c r="I746" s="2475"/>
      <c r="J746" s="2475"/>
      <c r="K746" s="2475"/>
      <c r="L746" s="2475"/>
      <c r="M746" s="2475"/>
      <c r="N746" s="2475"/>
      <c r="O746" s="2475"/>
      <c r="P746" s="2475"/>
      <c r="Q746" s="2475"/>
      <c r="R746" s="2475"/>
      <c r="S746" s="2475"/>
      <c r="T746" s="2475"/>
      <c r="U746" s="2475"/>
      <c r="V746" s="2475"/>
      <c r="W746" s="2475"/>
      <c r="X746" s="2475"/>
      <c r="Y746" s="2475"/>
      <c r="Z746" s="2475"/>
      <c r="AA746" s="2475"/>
      <c r="AB746" s="2475"/>
      <c r="AE746" s="1289"/>
      <c r="AM746" s="1222"/>
      <c r="AN746" s="1203"/>
      <c r="AO746" s="1204"/>
      <c r="AP746" s="1205"/>
      <c r="AQ746" s="1205"/>
      <c r="AR746" s="1205"/>
      <c r="AS746" s="1205"/>
      <c r="AT746" s="1205"/>
      <c r="AU746" s="1205"/>
      <c r="AV746" s="1205"/>
      <c r="AW746" s="1205"/>
      <c r="AX746" s="1205"/>
      <c r="AY746" s="1205"/>
      <c r="AZ746" s="1205"/>
      <c r="BA746" s="1205"/>
      <c r="BB746" s="1205"/>
      <c r="BC746" s="1205"/>
      <c r="BD746" s="1369"/>
      <c r="BE746" s="1369"/>
      <c r="BF746" s="1369"/>
      <c r="BG746" s="1369"/>
      <c r="BH746" s="1369"/>
      <c r="BI746" s="1205"/>
      <c r="BJ746" s="1205"/>
      <c r="BK746" s="1205"/>
      <c r="BL746" s="1205"/>
      <c r="BM746" s="1205"/>
      <c r="BN746" s="1205"/>
      <c r="BO746" s="1205"/>
      <c r="BP746" s="1205"/>
      <c r="BQ746" s="1205"/>
      <c r="BR746" s="1205"/>
      <c r="BS746" s="1205"/>
      <c r="BT746" s="1205"/>
      <c r="BU746" s="1205"/>
      <c r="BV746" s="1205"/>
    </row>
    <row r="747" spans="1:74" s="1207" customFormat="1">
      <c r="A747" s="1222"/>
      <c r="C747" s="1554"/>
      <c r="E747" s="1319"/>
      <c r="F747" s="1319"/>
      <c r="G747" s="1319"/>
      <c r="H747" s="1319"/>
      <c r="I747" s="1319"/>
      <c r="J747" s="1319"/>
      <c r="K747" s="1319"/>
      <c r="L747" s="1319"/>
      <c r="M747" s="1319"/>
      <c r="N747" s="1319"/>
      <c r="O747" s="1319"/>
      <c r="P747" s="1319"/>
      <c r="Q747" s="1319"/>
      <c r="R747" s="1319"/>
      <c r="S747" s="1319"/>
      <c r="T747" s="1319"/>
      <c r="U747" s="1319"/>
      <c r="V747" s="1319"/>
      <c r="W747" s="1319"/>
      <c r="X747" s="1319"/>
      <c r="Y747" s="1319"/>
      <c r="Z747" s="1319"/>
      <c r="AA747" s="1319"/>
      <c r="AB747" s="1319"/>
      <c r="AE747" s="1310"/>
      <c r="AF747" s="1310"/>
      <c r="AG747" s="1310"/>
      <c r="AH747" s="1310"/>
      <c r="AM747" s="1222"/>
      <c r="AN747" s="1203"/>
      <c r="AO747" s="1204"/>
      <c r="AP747" s="1205"/>
      <c r="AQ747" s="1205"/>
      <c r="AR747" s="1205"/>
      <c r="AS747" s="1205"/>
      <c r="AT747" s="1205"/>
      <c r="AU747" s="1205"/>
      <c r="AV747" s="1205"/>
      <c r="AW747" s="1205"/>
      <c r="AX747" s="1205"/>
      <c r="AY747" s="1205"/>
      <c r="AZ747" s="1205"/>
      <c r="BA747" s="1205"/>
      <c r="BB747" s="1205"/>
      <c r="BC747" s="1205"/>
      <c r="BD747" s="1369"/>
      <c r="BE747" s="1369"/>
      <c r="BF747" s="1369"/>
      <c r="BG747" s="1369"/>
      <c r="BH747" s="1369"/>
      <c r="BI747" s="1205"/>
      <c r="BJ747" s="1205"/>
      <c r="BK747" s="1205"/>
      <c r="BL747" s="1205"/>
      <c r="BM747" s="1205"/>
      <c r="BN747" s="1205"/>
      <c r="BO747" s="1205"/>
      <c r="BP747" s="1205"/>
      <c r="BQ747" s="1205"/>
      <c r="BR747" s="1205"/>
      <c r="BS747" s="1205"/>
      <c r="BT747" s="1205"/>
      <c r="BU747" s="1205"/>
      <c r="BV747" s="1205"/>
    </row>
    <row r="748" spans="1:74" s="1207" customFormat="1" ht="12.75" customHeight="1">
      <c r="A748" s="1222"/>
      <c r="D748" s="1207" t="s">
        <v>1591</v>
      </c>
      <c r="E748" s="1559"/>
      <c r="F748" s="1559"/>
      <c r="G748" s="1559"/>
      <c r="H748" s="2477" t="s">
        <v>713</v>
      </c>
      <c r="I748" s="2477"/>
      <c r="J748" s="1319"/>
      <c r="K748" s="1319"/>
      <c r="L748" s="1319"/>
      <c r="M748" s="1319"/>
      <c r="N748" s="1319"/>
      <c r="O748" s="1319"/>
      <c r="P748" s="1319"/>
      <c r="W748" s="1319"/>
      <c r="X748" s="1319"/>
      <c r="Y748" s="1319"/>
      <c r="Z748" s="1319"/>
      <c r="AA748" s="1319"/>
      <c r="AB748" s="1319"/>
      <c r="AE748" s="1310"/>
      <c r="AF748" s="1310"/>
      <c r="AG748" s="1310"/>
      <c r="AH748" s="1310"/>
      <c r="AM748" s="1222"/>
      <c r="AN748" s="1203"/>
      <c r="AO748" s="1204"/>
      <c r="AP748" s="1205"/>
      <c r="AQ748" s="1205"/>
      <c r="AR748" s="1205"/>
      <c r="AS748" s="1205"/>
      <c r="AT748" s="1205"/>
      <c r="AU748" s="1205"/>
      <c r="AV748" s="1205"/>
      <c r="AW748" s="1205"/>
      <c r="AX748" s="1205"/>
      <c r="AY748" s="1205"/>
      <c r="AZ748" s="1205"/>
      <c r="BA748" s="1205"/>
      <c r="BB748" s="1205"/>
      <c r="BC748" s="1205"/>
      <c r="BD748" s="1369"/>
      <c r="BE748" s="1369"/>
      <c r="BF748" s="1369"/>
      <c r="BG748" s="1369"/>
      <c r="BH748" s="1369"/>
      <c r="BI748" s="1205"/>
      <c r="BJ748" s="1205"/>
      <c r="BK748" s="1205"/>
      <c r="BL748" s="1205"/>
      <c r="BM748" s="1205"/>
      <c r="BN748" s="1205"/>
      <c r="BO748" s="1205"/>
      <c r="BP748" s="1205"/>
      <c r="BQ748" s="1205"/>
      <c r="BR748" s="1205"/>
      <c r="BS748" s="1205"/>
      <c r="BT748" s="1205"/>
      <c r="BU748" s="1205"/>
      <c r="BV748" s="1205"/>
    </row>
    <row r="749" spans="1:74" s="1207" customFormat="1" ht="12.75" customHeight="1">
      <c r="A749" s="1222"/>
      <c r="B749" s="1310"/>
      <c r="C749" s="1565"/>
      <c r="D749" s="1310"/>
      <c r="E749" s="1310"/>
      <c r="F749" s="1310"/>
      <c r="G749" s="1310"/>
      <c r="H749" s="1310"/>
      <c r="I749" s="1310"/>
      <c r="J749" s="1310"/>
      <c r="K749" s="1310"/>
      <c r="L749" s="1310"/>
      <c r="M749" s="1310"/>
      <c r="N749" s="1310"/>
      <c r="O749" s="1310"/>
      <c r="P749" s="1310"/>
      <c r="Q749" s="1310"/>
      <c r="R749" s="1310"/>
      <c r="S749" s="1310"/>
      <c r="T749" s="1310"/>
      <c r="U749" s="1310"/>
      <c r="V749" s="1310"/>
      <c r="W749" s="1310"/>
      <c r="X749" s="1310"/>
      <c r="Y749" s="1310"/>
      <c r="Z749" s="1310"/>
      <c r="AA749" s="1310"/>
      <c r="AB749" s="1310"/>
      <c r="AC749" s="1310"/>
      <c r="AD749" s="1310"/>
      <c r="AE749" s="1310"/>
      <c r="AF749" s="1310"/>
      <c r="AG749" s="1310"/>
      <c r="AH749" s="1310"/>
      <c r="AM749" s="1222"/>
      <c r="AN749" s="1203"/>
      <c r="AO749" s="1204"/>
      <c r="AP749" s="1205"/>
      <c r="AQ749" s="1205"/>
      <c r="AR749" s="1205"/>
      <c r="AS749" s="1205"/>
      <c r="AT749" s="1205"/>
      <c r="AU749" s="1205"/>
      <c r="AV749" s="1205"/>
      <c r="AW749" s="1205"/>
      <c r="AX749" s="1205"/>
      <c r="AY749" s="1205"/>
      <c r="AZ749" s="1205"/>
      <c r="BA749" s="1205"/>
      <c r="BB749" s="1205"/>
      <c r="BC749" s="1205"/>
      <c r="BD749" s="1369"/>
      <c r="BE749" s="1369"/>
      <c r="BF749" s="1369"/>
      <c r="BG749" s="1369"/>
      <c r="BH749" s="1369"/>
      <c r="BI749" s="1205"/>
      <c r="BJ749" s="1205"/>
      <c r="BK749" s="1205"/>
      <c r="BL749" s="1205"/>
      <c r="BM749" s="1205"/>
      <c r="BN749" s="1205"/>
      <c r="BO749" s="1205"/>
      <c r="BP749" s="1205"/>
      <c r="BQ749" s="1205"/>
      <c r="BR749" s="1205"/>
      <c r="BS749" s="1205"/>
      <c r="BT749" s="1205"/>
      <c r="BU749" s="1205"/>
      <c r="BV749" s="1205"/>
    </row>
    <row r="750" spans="1:74" s="1207" customFormat="1" ht="14.1" customHeight="1">
      <c r="A750" s="1300"/>
      <c r="B750" s="1416"/>
      <c r="C750" s="1587"/>
      <c r="D750" s="1416"/>
      <c r="E750" s="1416"/>
      <c r="F750" s="1416"/>
      <c r="G750" s="1416"/>
      <c r="H750" s="1416"/>
      <c r="I750" s="1416"/>
      <c r="J750" s="1416"/>
      <c r="K750" s="1416"/>
      <c r="L750" s="1416"/>
      <c r="M750" s="1416"/>
      <c r="N750" s="1416"/>
      <c r="O750" s="1416"/>
      <c r="P750" s="1416"/>
      <c r="Q750" s="1416"/>
      <c r="R750" s="1416"/>
      <c r="S750" s="1416"/>
      <c r="T750" s="1416"/>
      <c r="U750" s="1416"/>
      <c r="V750" s="1416"/>
      <c r="W750" s="1416"/>
      <c r="X750" s="1416"/>
      <c r="Y750" s="1416"/>
      <c r="Z750" s="1416"/>
      <c r="AA750" s="1416"/>
      <c r="AB750" s="1416"/>
      <c r="AC750" s="1416"/>
      <c r="AD750" s="1416"/>
      <c r="AE750" s="1416"/>
      <c r="AF750" s="1416"/>
      <c r="AG750" s="1416"/>
      <c r="AH750" s="1292"/>
      <c r="AI750" s="1239" t="s">
        <v>1642</v>
      </c>
      <c r="AJ750" s="2455">
        <f>VLOOKUP($H$748,$AO$683:$AP$685,2,FALSE)</f>
        <v>2</v>
      </c>
      <c r="AK750" s="2457"/>
      <c r="AL750" s="1267"/>
      <c r="AM750" s="1222"/>
      <c r="AN750" s="1203"/>
      <c r="AO750" s="1204"/>
      <c r="AP750" s="1205"/>
      <c r="AQ750" s="1205"/>
      <c r="AR750" s="1205"/>
      <c r="AS750" s="1205"/>
      <c r="AT750" s="1205"/>
      <c r="AU750" s="1205"/>
      <c r="AV750" s="1205"/>
      <c r="AW750" s="1205"/>
      <c r="AX750" s="1205"/>
      <c r="AY750" s="1205"/>
      <c r="AZ750" s="1205"/>
      <c r="BA750" s="1205"/>
      <c r="BB750" s="1205"/>
      <c r="BC750" s="1205"/>
      <c r="BD750" s="1369"/>
      <c r="BE750" s="1369"/>
      <c r="BF750" s="1369"/>
      <c r="BG750" s="1369"/>
      <c r="BH750" s="1369"/>
      <c r="BI750" s="1205"/>
      <c r="BJ750" s="1205"/>
      <c r="BK750" s="1205"/>
      <c r="BL750" s="1205"/>
      <c r="BM750" s="1205"/>
      <c r="BN750" s="1205"/>
      <c r="BO750" s="1205"/>
      <c r="BP750" s="1205"/>
      <c r="BQ750" s="1205"/>
      <c r="BR750" s="1205"/>
      <c r="BS750" s="1205"/>
      <c r="BT750" s="1205"/>
      <c r="BU750" s="1205"/>
      <c r="BV750" s="1205"/>
    </row>
    <row r="751" spans="1:74" s="1207" customFormat="1">
      <c r="A751" s="1222"/>
      <c r="B751" s="1310"/>
      <c r="C751" s="1565"/>
      <c r="D751" s="1310"/>
      <c r="E751" s="1310"/>
      <c r="F751" s="1310"/>
      <c r="G751" s="1310"/>
      <c r="H751" s="1310"/>
      <c r="I751" s="1310"/>
      <c r="J751" s="1310"/>
      <c r="K751" s="1310"/>
      <c r="L751" s="1310"/>
      <c r="M751" s="1310"/>
      <c r="N751" s="1310"/>
      <c r="O751" s="1310"/>
      <c r="P751" s="1310"/>
      <c r="Q751" s="1310"/>
      <c r="R751" s="1310"/>
      <c r="S751" s="1310"/>
      <c r="T751" s="1310"/>
      <c r="U751" s="1310"/>
      <c r="V751" s="1310"/>
      <c r="W751" s="1310"/>
      <c r="X751" s="1310"/>
      <c r="Y751" s="1310"/>
      <c r="Z751" s="1310"/>
      <c r="AA751" s="1310"/>
      <c r="AB751" s="1310"/>
      <c r="AC751" s="1310"/>
      <c r="AD751" s="1310"/>
      <c r="AE751" s="1310"/>
      <c r="AF751" s="1310"/>
      <c r="AG751" s="1310"/>
      <c r="AI751" s="1214"/>
      <c r="AJ751" s="1267"/>
      <c r="AK751" s="1267"/>
      <c r="AL751" s="1267"/>
      <c r="AM751" s="1222"/>
      <c r="AN751" s="1203"/>
      <c r="AO751" s="1204"/>
      <c r="AP751" s="1205"/>
      <c r="AQ751" s="1205"/>
      <c r="AR751" s="1205"/>
      <c r="AS751" s="1205"/>
      <c r="AT751" s="1205"/>
      <c r="AU751" s="1205"/>
      <c r="AV751" s="1205"/>
      <c r="AW751" s="1205"/>
      <c r="AX751" s="1205"/>
      <c r="AY751" s="1205"/>
      <c r="AZ751" s="1205"/>
      <c r="BA751" s="1205"/>
      <c r="BB751" s="1205"/>
      <c r="BC751" s="1205"/>
      <c r="BD751" s="1369"/>
      <c r="BE751" s="1369"/>
      <c r="BF751" s="1369"/>
      <c r="BG751" s="1369"/>
      <c r="BH751" s="1369"/>
      <c r="BI751" s="1205"/>
      <c r="BJ751" s="1205"/>
      <c r="BK751" s="1205"/>
      <c r="BL751" s="1205"/>
      <c r="BM751" s="1205"/>
      <c r="BN751" s="1205"/>
      <c r="BO751" s="1205"/>
      <c r="BP751" s="1205"/>
      <c r="BQ751" s="1205"/>
      <c r="BR751" s="1205"/>
      <c r="BS751" s="1205"/>
      <c r="BT751" s="1205"/>
      <c r="BU751" s="1205"/>
      <c r="BV751" s="1205"/>
    </row>
    <row r="752" spans="1:74" s="1207" customFormat="1">
      <c r="A752" s="1222"/>
      <c r="B752" s="1310"/>
      <c r="C752" s="1210" t="s">
        <v>1631</v>
      </c>
      <c r="D752" s="1310"/>
      <c r="E752" s="1310"/>
      <c r="F752" s="1310"/>
      <c r="G752" s="1310"/>
      <c r="H752" s="1310"/>
      <c r="I752" s="1310"/>
      <c r="J752" s="1310"/>
      <c r="K752" s="1310"/>
      <c r="L752" s="1310"/>
      <c r="M752" s="1310"/>
      <c r="N752" s="1310"/>
      <c r="O752" s="1310"/>
      <c r="P752" s="1310"/>
      <c r="Q752" s="1310"/>
      <c r="R752" s="1310"/>
      <c r="S752" s="1310"/>
      <c r="T752" s="1310"/>
      <c r="U752" s="1310"/>
      <c r="V752" s="1310"/>
      <c r="W752" s="1310"/>
      <c r="X752" s="1310"/>
      <c r="Y752" s="1310"/>
      <c r="Z752" s="1310"/>
      <c r="AA752" s="1310"/>
      <c r="AB752" s="1310"/>
      <c r="AC752" s="1310"/>
      <c r="AD752" s="1310"/>
      <c r="AE752" s="1310"/>
      <c r="AF752" s="1310"/>
      <c r="AG752" s="1310"/>
      <c r="AI752" s="1214"/>
      <c r="AJ752" s="1267"/>
      <c r="AK752" s="1267"/>
      <c r="AL752" s="1267"/>
      <c r="AM752" s="1222"/>
      <c r="AN752" s="1203"/>
      <c r="AO752" s="1204"/>
      <c r="AP752" s="1205"/>
      <c r="AQ752" s="1205"/>
      <c r="AR752" s="1205"/>
      <c r="AS752" s="1205"/>
      <c r="AT752" s="1205"/>
      <c r="AU752" s="1205"/>
      <c r="AV752" s="1205"/>
      <c r="AW752" s="1205"/>
      <c r="AX752" s="1205"/>
      <c r="AY752" s="1205"/>
      <c r="AZ752" s="1205"/>
      <c r="BA752" s="1205"/>
      <c r="BB752" s="1205"/>
      <c r="BC752" s="1205"/>
      <c r="BD752" s="1369"/>
      <c r="BE752" s="1369"/>
      <c r="BF752" s="1369"/>
      <c r="BG752" s="1369"/>
      <c r="BH752" s="1369"/>
      <c r="BI752" s="1205"/>
      <c r="BJ752" s="1205"/>
      <c r="BK752" s="1205"/>
      <c r="BL752" s="1205"/>
      <c r="BM752" s="1205"/>
      <c r="BN752" s="1205"/>
      <c r="BO752" s="1205"/>
      <c r="BP752" s="1205"/>
      <c r="BQ752" s="1205"/>
      <c r="BR752" s="1205"/>
      <c r="BS752" s="1205"/>
      <c r="BT752" s="1205"/>
      <c r="BU752" s="1205"/>
      <c r="BV752" s="1205"/>
    </row>
    <row r="753" spans="1:81" s="1207" customFormat="1">
      <c r="A753" s="1222"/>
      <c r="B753" s="1310"/>
      <c r="C753" s="1565"/>
      <c r="D753" s="1310"/>
      <c r="E753" s="1310"/>
      <c r="F753" s="1310"/>
      <c r="G753" s="1310"/>
      <c r="H753" s="1310"/>
      <c r="I753" s="1310"/>
      <c r="J753" s="1310"/>
      <c r="K753" s="1310"/>
      <c r="L753" s="1310"/>
      <c r="M753" s="1310"/>
      <c r="N753" s="1310"/>
      <c r="O753" s="1310"/>
      <c r="P753" s="1310"/>
      <c r="Q753" s="1310"/>
      <c r="R753" s="1310"/>
      <c r="S753" s="1310"/>
      <c r="T753" s="1310"/>
      <c r="U753" s="1310"/>
      <c r="V753" s="1310"/>
      <c r="W753" s="1310"/>
      <c r="X753" s="1310"/>
      <c r="Y753" s="1310"/>
      <c r="Z753" s="1310"/>
      <c r="AA753" s="1310"/>
      <c r="AB753" s="1310"/>
      <c r="AC753" s="1310"/>
      <c r="AD753" s="1310"/>
      <c r="AE753" s="1310"/>
      <c r="AF753" s="1310"/>
      <c r="AG753" s="1310"/>
      <c r="AI753" s="1214"/>
      <c r="AJ753" s="1267"/>
      <c r="AK753" s="1267"/>
      <c r="AL753" s="1267"/>
      <c r="AM753" s="1222"/>
      <c r="AN753" s="1206"/>
    </row>
    <row r="754" spans="1:81" s="1207" customFormat="1" ht="13.65" customHeight="1">
      <c r="A754" s="1222"/>
      <c r="B754" s="1310"/>
      <c r="C754" s="1565"/>
      <c r="D754" s="1317" t="s">
        <v>713</v>
      </c>
      <c r="E754" s="2475" t="s">
        <v>2000</v>
      </c>
      <c r="F754" s="2475"/>
      <c r="G754" s="2475"/>
      <c r="H754" s="2475"/>
      <c r="I754" s="2475"/>
      <c r="J754" s="2475"/>
      <c r="K754" s="2475"/>
      <c r="L754" s="2475"/>
      <c r="M754" s="2475"/>
      <c r="N754" s="2475"/>
      <c r="O754" s="2475"/>
      <c r="P754" s="2475"/>
      <c r="Q754" s="2475"/>
      <c r="R754" s="2475"/>
      <c r="S754" s="2475"/>
      <c r="T754" s="2475"/>
      <c r="U754" s="2475"/>
      <c r="V754" s="2475"/>
      <c r="W754" s="2475"/>
      <c r="X754" s="2475"/>
      <c r="Y754" s="2475"/>
      <c r="Z754" s="2475"/>
      <c r="AA754" s="2475"/>
      <c r="AB754" s="2475"/>
      <c r="AC754" s="2475"/>
      <c r="AD754" s="2475"/>
      <c r="AF754" s="2476" t="s">
        <v>1599</v>
      </c>
      <c r="AG754" s="2476"/>
      <c r="AH754" s="2476"/>
      <c r="AI754" s="2476"/>
      <c r="AJ754" s="2476"/>
      <c r="AK754" s="2476"/>
      <c r="AL754" s="2476"/>
      <c r="AM754" s="1307"/>
      <c r="AN754" s="1206"/>
    </row>
    <row r="755" spans="1:81" s="1207" customFormat="1" ht="13.65" customHeight="1">
      <c r="A755" s="1222"/>
      <c r="B755" s="1310"/>
      <c r="C755" s="1565"/>
      <c r="D755" s="1317"/>
      <c r="E755" s="2475"/>
      <c r="F755" s="2475"/>
      <c r="G755" s="2475"/>
      <c r="H755" s="2475"/>
      <c r="I755" s="2475"/>
      <c r="J755" s="2475"/>
      <c r="K755" s="2475"/>
      <c r="L755" s="2475"/>
      <c r="M755" s="2475"/>
      <c r="N755" s="2475"/>
      <c r="O755" s="2475"/>
      <c r="P755" s="2475"/>
      <c r="Q755" s="2475"/>
      <c r="R755" s="2475"/>
      <c r="S755" s="2475"/>
      <c r="T755" s="2475"/>
      <c r="U755" s="2475"/>
      <c r="V755" s="2475"/>
      <c r="W755" s="2475"/>
      <c r="X755" s="2475"/>
      <c r="Y755" s="2475"/>
      <c r="Z755" s="2475"/>
      <c r="AA755" s="2475"/>
      <c r="AB755" s="2475"/>
      <c r="AC755" s="2475"/>
      <c r="AD755" s="2475"/>
      <c r="AF755" s="1289"/>
      <c r="AG755" s="1289"/>
      <c r="AH755" s="1289"/>
      <c r="AI755" s="1289"/>
      <c r="AJ755" s="1289"/>
      <c r="AK755" s="1289"/>
      <c r="AL755" s="1289"/>
      <c r="AM755" s="1307"/>
      <c r="AN755" s="1206"/>
    </row>
    <row r="756" spans="1:81" s="1207" customFormat="1">
      <c r="A756" s="1222"/>
      <c r="B756" s="1310"/>
      <c r="C756" s="1565"/>
      <c r="D756" s="1317"/>
      <c r="E756" s="2475"/>
      <c r="F756" s="2475"/>
      <c r="G756" s="2475"/>
      <c r="H756" s="2475"/>
      <c r="I756" s="2475"/>
      <c r="J756" s="2475"/>
      <c r="K756" s="2475"/>
      <c r="L756" s="2475"/>
      <c r="M756" s="2475"/>
      <c r="N756" s="2475"/>
      <c r="O756" s="2475"/>
      <c r="P756" s="2475"/>
      <c r="Q756" s="2475"/>
      <c r="R756" s="2475"/>
      <c r="S756" s="2475"/>
      <c r="T756" s="2475"/>
      <c r="U756" s="2475"/>
      <c r="V756" s="2475"/>
      <c r="W756" s="2475"/>
      <c r="X756" s="2475"/>
      <c r="Y756" s="2475"/>
      <c r="Z756" s="2475"/>
      <c r="AA756" s="2475"/>
      <c r="AB756" s="2475"/>
      <c r="AC756" s="2475"/>
      <c r="AD756" s="2475"/>
      <c r="AL756" s="1289"/>
      <c r="AM756" s="1307"/>
      <c r="AN756" s="1203"/>
      <c r="AO756" s="1204"/>
      <c r="AP756" s="1205"/>
      <c r="AQ756" s="1205"/>
      <c r="AR756" s="1205"/>
      <c r="AS756" s="1205"/>
      <c r="AT756" s="1205"/>
      <c r="AU756" s="1205"/>
      <c r="AV756" s="1205"/>
      <c r="AW756" s="1205"/>
      <c r="AX756" s="1205"/>
      <c r="AY756" s="1205"/>
      <c r="AZ756" s="1205"/>
      <c r="BA756" s="1205"/>
      <c r="BB756" s="1205"/>
      <c r="BC756" s="1205"/>
      <c r="BD756" s="1369"/>
      <c r="BE756" s="1369"/>
      <c r="BF756" s="1369"/>
      <c r="BG756" s="1369"/>
      <c r="BH756" s="1369"/>
      <c r="BI756" s="1205"/>
      <c r="BJ756" s="1205"/>
      <c r="BK756" s="1205"/>
      <c r="BL756" s="1205"/>
      <c r="BM756" s="1205"/>
      <c r="BN756" s="1205"/>
      <c r="BO756" s="1205"/>
      <c r="BP756" s="1205"/>
      <c r="BQ756" s="1205"/>
      <c r="BR756" s="1205"/>
      <c r="BS756" s="1205"/>
      <c r="BT756" s="1205"/>
      <c r="BU756" s="1205"/>
    </row>
    <row r="757" spans="1:81" s="1207" customFormat="1" ht="18.600000000000001" customHeight="1">
      <c r="A757" s="1222"/>
      <c r="B757" s="1310"/>
      <c r="C757" s="1565"/>
      <c r="D757" s="1317"/>
      <c r="E757" s="2475"/>
      <c r="F757" s="2475"/>
      <c r="G757" s="2475"/>
      <c r="H757" s="2475"/>
      <c r="I757" s="2475"/>
      <c r="J757" s="2475"/>
      <c r="K757" s="2475"/>
      <c r="L757" s="2475"/>
      <c r="M757" s="2475"/>
      <c r="N757" s="2475"/>
      <c r="O757" s="2475"/>
      <c r="P757" s="2475"/>
      <c r="Q757" s="2475"/>
      <c r="R757" s="2475"/>
      <c r="S757" s="2475"/>
      <c r="T757" s="2475"/>
      <c r="U757" s="2475"/>
      <c r="V757" s="2475"/>
      <c r="W757" s="2475"/>
      <c r="X757" s="2475"/>
      <c r="Y757" s="2475"/>
      <c r="Z757" s="2475"/>
      <c r="AA757" s="2475"/>
      <c r="AB757" s="2475"/>
      <c r="AC757" s="2475"/>
      <c r="AD757" s="2475"/>
      <c r="AE757" s="1289"/>
      <c r="AF757" s="1289"/>
      <c r="AG757" s="1289"/>
      <c r="AH757" s="1289"/>
      <c r="AI757" s="1289"/>
      <c r="AJ757" s="1289"/>
      <c r="AK757" s="1289"/>
      <c r="AL757" s="1289"/>
      <c r="AM757" s="1307"/>
      <c r="AN757" s="1203"/>
      <c r="AO757" s="1204"/>
      <c r="AP757" s="1205"/>
      <c r="AQ757" s="1205"/>
      <c r="AR757" s="1205"/>
      <c r="AS757" s="1205"/>
      <c r="AT757" s="1205"/>
      <c r="AU757" s="1205"/>
      <c r="AV757" s="1205"/>
      <c r="AW757" s="1205"/>
      <c r="AX757" s="1205"/>
      <c r="AY757" s="1205"/>
      <c r="AZ757" s="1205"/>
      <c r="BA757" s="1205"/>
      <c r="BB757" s="1205"/>
      <c r="BC757" s="1205"/>
      <c r="BD757" s="1369"/>
      <c r="BE757" s="1369"/>
      <c r="BF757" s="1369"/>
      <c r="BG757" s="1369"/>
      <c r="BH757" s="1369"/>
      <c r="BI757" s="1205"/>
      <c r="BJ757" s="1205"/>
      <c r="BK757" s="1205"/>
      <c r="BL757" s="1205"/>
      <c r="BM757" s="1205"/>
      <c r="BN757" s="1205"/>
      <c r="BO757" s="1205"/>
      <c r="BP757" s="1205"/>
      <c r="BQ757" s="1205"/>
      <c r="BR757" s="1205"/>
      <c r="BS757" s="1205"/>
      <c r="BT757" s="1205"/>
      <c r="BU757" s="1205"/>
    </row>
    <row r="758" spans="1:81" s="1222" customFormat="1" ht="12.75" customHeight="1">
      <c r="B758" s="1310"/>
      <c r="C758" s="1565"/>
      <c r="D758" s="1317"/>
      <c r="E758" s="1250"/>
      <c r="F758" s="1250"/>
      <c r="G758" s="1250"/>
      <c r="H758" s="1250"/>
      <c r="I758" s="1250"/>
      <c r="J758" s="1250"/>
      <c r="K758" s="1250"/>
      <c r="L758" s="1250"/>
      <c r="M758" s="1250"/>
      <c r="N758" s="1250"/>
      <c r="O758" s="1250"/>
      <c r="P758" s="1250"/>
      <c r="Q758" s="1250"/>
      <c r="R758" s="1250"/>
      <c r="S758" s="1250"/>
      <c r="T758" s="1250"/>
      <c r="U758" s="1250"/>
      <c r="V758" s="1250"/>
      <c r="W758" s="1250"/>
      <c r="X758" s="1250"/>
      <c r="Y758" s="1250"/>
      <c r="Z758" s="1250"/>
      <c r="AA758" s="1250"/>
      <c r="AB758" s="1250"/>
      <c r="AC758" s="1250"/>
      <c r="AD758" s="1250"/>
      <c r="AE758" s="1289"/>
      <c r="AF758" s="1207"/>
      <c r="AG758" s="1207"/>
      <c r="AH758" s="1207"/>
      <c r="AI758" s="1207"/>
      <c r="AJ758" s="1207"/>
      <c r="AK758" s="1207"/>
      <c r="AL758" s="1207"/>
      <c r="AM758" s="1307"/>
      <c r="AN758" s="1296"/>
    </row>
    <row r="759" spans="1:81" s="1222" customFormat="1" ht="12.75" customHeight="1">
      <c r="B759" s="1310"/>
      <c r="C759" s="1565"/>
      <c r="D759" s="1317" t="s">
        <v>533</v>
      </c>
      <c r="E759" s="2478" t="s">
        <v>2007</v>
      </c>
      <c r="F759" s="2478"/>
      <c r="G759" s="2478"/>
      <c r="H759" s="2478"/>
      <c r="I759" s="2478"/>
      <c r="J759" s="2478"/>
      <c r="K759" s="2478"/>
      <c r="L759" s="2478"/>
      <c r="M759" s="2478"/>
      <c r="N759" s="2478"/>
      <c r="O759" s="2478"/>
      <c r="P759" s="2478"/>
      <c r="Q759" s="2478"/>
      <c r="R759" s="2478"/>
      <c r="S759" s="2478"/>
      <c r="T759" s="2478"/>
      <c r="U759" s="2478"/>
      <c r="V759" s="2478"/>
      <c r="W759" s="2478"/>
      <c r="X759" s="2478"/>
      <c r="Y759" s="2478"/>
      <c r="Z759" s="2478"/>
      <c r="AA759" s="2478"/>
      <c r="AB759" s="2478"/>
      <c r="AC759" s="2478"/>
      <c r="AD759" s="2478"/>
      <c r="AE759" s="1207"/>
      <c r="AF759" s="2476" t="s">
        <v>1543</v>
      </c>
      <c r="AG759" s="2476"/>
      <c r="AH759" s="2476"/>
      <c r="AI759" s="2476"/>
      <c r="AJ759" s="2476"/>
      <c r="AK759" s="2476"/>
      <c r="AL759" s="2476"/>
      <c r="AM759" s="1307"/>
      <c r="AN759" s="1296"/>
    </row>
    <row r="760" spans="1:81" s="1222" customFormat="1" ht="12.75" customHeight="1">
      <c r="B760" s="1310"/>
      <c r="C760" s="1565"/>
      <c r="D760" s="1317"/>
      <c r="E760" s="2478"/>
      <c r="F760" s="2478"/>
      <c r="G760" s="2478"/>
      <c r="H760" s="2478"/>
      <c r="I760" s="2478"/>
      <c r="J760" s="2478"/>
      <c r="K760" s="2478"/>
      <c r="L760" s="2478"/>
      <c r="M760" s="2478"/>
      <c r="N760" s="2478"/>
      <c r="O760" s="2478"/>
      <c r="P760" s="2478"/>
      <c r="Q760" s="2478"/>
      <c r="R760" s="2478"/>
      <c r="S760" s="2478"/>
      <c r="T760" s="2478"/>
      <c r="U760" s="2478"/>
      <c r="V760" s="2478"/>
      <c r="W760" s="2478"/>
      <c r="X760" s="2478"/>
      <c r="Y760" s="2478"/>
      <c r="Z760" s="2478"/>
      <c r="AA760" s="2478"/>
      <c r="AB760" s="2478"/>
      <c r="AC760" s="2478"/>
      <c r="AD760" s="2478"/>
      <c r="AE760" s="1289"/>
      <c r="AF760" s="1289"/>
      <c r="AG760" s="1289"/>
      <c r="AH760" s="1289"/>
      <c r="AI760" s="1289"/>
      <c r="AJ760" s="1289"/>
      <c r="AK760" s="1289"/>
      <c r="AL760" s="1289"/>
      <c r="AM760" s="1307"/>
      <c r="AN760" s="1296"/>
    </row>
    <row r="761" spans="1:81" s="1222" customFormat="1" ht="12.75" customHeight="1">
      <c r="B761" s="1310"/>
      <c r="C761" s="1565"/>
      <c r="D761" s="1317"/>
      <c r="E761" s="2478"/>
      <c r="F761" s="2478"/>
      <c r="G761" s="2478"/>
      <c r="H761" s="2478"/>
      <c r="I761" s="2478"/>
      <c r="J761" s="2478"/>
      <c r="K761" s="2478"/>
      <c r="L761" s="2478"/>
      <c r="M761" s="2478"/>
      <c r="N761" s="2478"/>
      <c r="O761" s="2478"/>
      <c r="P761" s="2478"/>
      <c r="Q761" s="2478"/>
      <c r="R761" s="2478"/>
      <c r="S761" s="2478"/>
      <c r="T761" s="2478"/>
      <c r="U761" s="2478"/>
      <c r="V761" s="2478"/>
      <c r="W761" s="2478"/>
      <c r="X761" s="2478"/>
      <c r="Y761" s="2478"/>
      <c r="Z761" s="2478"/>
      <c r="AA761" s="2478"/>
      <c r="AB761" s="2478"/>
      <c r="AC761" s="2478"/>
      <c r="AD761" s="2478"/>
      <c r="AE761" s="1289"/>
      <c r="AF761" s="1289"/>
      <c r="AG761" s="1289"/>
      <c r="AH761" s="1289"/>
      <c r="AI761" s="1289"/>
      <c r="AJ761" s="1289"/>
      <c r="AK761" s="1289"/>
      <c r="AL761" s="1289"/>
      <c r="AM761" s="1307"/>
      <c r="AN761" s="1296"/>
    </row>
    <row r="762" spans="1:81" s="1222" customFormat="1" ht="12.75" customHeight="1">
      <c r="B762" s="1310"/>
      <c r="C762" s="1565"/>
      <c r="D762" s="1317"/>
      <c r="E762" s="2478"/>
      <c r="F762" s="2478"/>
      <c r="G762" s="2478"/>
      <c r="H762" s="2478"/>
      <c r="I762" s="2478"/>
      <c r="J762" s="2478"/>
      <c r="K762" s="2478"/>
      <c r="L762" s="2478"/>
      <c r="M762" s="2478"/>
      <c r="N762" s="2478"/>
      <c r="O762" s="2478"/>
      <c r="P762" s="2478"/>
      <c r="Q762" s="2478"/>
      <c r="R762" s="2478"/>
      <c r="S762" s="2478"/>
      <c r="T762" s="2478"/>
      <c r="U762" s="2478"/>
      <c r="V762" s="2478"/>
      <c r="W762" s="2478"/>
      <c r="X762" s="2478"/>
      <c r="Y762" s="2478"/>
      <c r="Z762" s="2478"/>
      <c r="AA762" s="2478"/>
      <c r="AB762" s="2478"/>
      <c r="AC762" s="2478"/>
      <c r="AD762" s="2478"/>
      <c r="AE762" s="1289"/>
      <c r="AF762" s="1289"/>
      <c r="AG762" s="1289"/>
      <c r="AH762" s="1289"/>
      <c r="AI762" s="1289"/>
      <c r="AJ762" s="1289"/>
      <c r="AK762" s="1289"/>
      <c r="AL762" s="1289"/>
      <c r="AM762" s="1307"/>
      <c r="AN762" s="1296"/>
    </row>
    <row r="763" spans="1:81" s="1222" customFormat="1" ht="12.75" customHeight="1">
      <c r="A763" s="1207"/>
      <c r="B763" s="1207"/>
      <c r="C763" s="1207"/>
      <c r="D763" s="1207"/>
      <c r="E763" s="1207"/>
      <c r="F763" s="1207"/>
      <c r="G763" s="1207"/>
      <c r="H763" s="1207"/>
      <c r="I763" s="1207"/>
      <c r="J763" s="1207"/>
      <c r="K763" s="1207"/>
      <c r="L763" s="1207"/>
      <c r="M763" s="1207"/>
      <c r="N763" s="1207"/>
      <c r="O763" s="1207"/>
      <c r="P763" s="1207"/>
      <c r="Q763" s="1207"/>
      <c r="R763" s="1207"/>
      <c r="S763" s="1207"/>
      <c r="T763" s="1207"/>
      <c r="U763" s="1207"/>
      <c r="V763" s="1207"/>
      <c r="W763" s="1207"/>
      <c r="X763" s="1207"/>
      <c r="Y763" s="1207"/>
      <c r="Z763" s="1207"/>
      <c r="AA763" s="1207"/>
      <c r="AB763" s="1207"/>
      <c r="AC763" s="1207"/>
      <c r="AD763" s="1207"/>
      <c r="AE763" s="1207"/>
      <c r="AF763" s="1207"/>
      <c r="AG763" s="1207"/>
      <c r="AH763" s="1207"/>
      <c r="AI763" s="1207"/>
      <c r="AJ763" s="1207"/>
      <c r="AK763" s="1207"/>
      <c r="AL763" s="1207"/>
      <c r="AM763" s="1207"/>
      <c r="AN763" s="1296"/>
    </row>
    <row r="764" spans="1:81" s="1222" customFormat="1" ht="12.75" customHeight="1">
      <c r="B764" s="1310"/>
      <c r="C764" s="1565"/>
      <c r="D764" s="1207" t="s">
        <v>1591</v>
      </c>
      <c r="E764" s="1559"/>
      <c r="F764" s="1559"/>
      <c r="G764" s="1559"/>
      <c r="H764" s="2477" t="s">
        <v>616</v>
      </c>
      <c r="I764" s="2477"/>
      <c r="J764" s="1319"/>
      <c r="K764" s="1319"/>
      <c r="L764" s="1319"/>
      <c r="M764" s="1319"/>
      <c r="N764" s="1319"/>
      <c r="O764" s="1319"/>
      <c r="P764" s="1319"/>
      <c r="Q764" s="1319"/>
      <c r="R764" s="1319"/>
      <c r="S764" s="1319"/>
      <c r="T764" s="1319"/>
      <c r="U764" s="1319"/>
      <c r="V764" s="1319"/>
      <c r="W764" s="1319"/>
      <c r="X764" s="1319"/>
      <c r="Y764" s="1319"/>
      <c r="Z764" s="1319"/>
      <c r="AA764" s="1319"/>
      <c r="AB764" s="1319"/>
      <c r="AC764" s="1319"/>
      <c r="AD764" s="1319"/>
      <c r="AE764" s="1319"/>
      <c r="AF764" s="1319"/>
      <c r="AG764" s="1310"/>
      <c r="AH764" s="1207"/>
      <c r="AI764" s="1214"/>
      <c r="AJ764" s="1267"/>
      <c r="AK764" s="1267"/>
      <c r="AL764" s="1267"/>
      <c r="AN764" s="1296"/>
    </row>
    <row r="765" spans="1:81" s="1222" customFormat="1" ht="12.75" customHeight="1">
      <c r="B765" s="1310"/>
      <c r="C765" s="1565"/>
      <c r="D765" s="1310"/>
      <c r="E765" s="1310"/>
      <c r="F765" s="1310"/>
      <c r="G765" s="1310"/>
      <c r="H765" s="1310"/>
      <c r="I765" s="1310"/>
      <c r="J765" s="1310"/>
      <c r="K765" s="1310"/>
      <c r="L765" s="1310"/>
      <c r="M765" s="1310"/>
      <c r="N765" s="1310"/>
      <c r="O765" s="1310"/>
      <c r="P765" s="1310"/>
      <c r="Q765" s="1310"/>
      <c r="R765" s="1310"/>
      <c r="S765" s="1310"/>
      <c r="T765" s="1310"/>
      <c r="U765" s="1310"/>
      <c r="V765" s="1310"/>
      <c r="W765" s="1310"/>
      <c r="X765" s="1310"/>
      <c r="Y765" s="1310"/>
      <c r="Z765" s="1310"/>
      <c r="AA765" s="1310"/>
      <c r="AB765" s="1310"/>
      <c r="AC765" s="1310"/>
      <c r="AD765" s="1310"/>
      <c r="AE765" s="1310"/>
      <c r="AF765" s="1310"/>
      <c r="AG765" s="1310"/>
      <c r="AH765" s="1207"/>
      <c r="AI765" s="1214"/>
      <c r="AJ765" s="1267"/>
      <c r="AK765" s="1267"/>
      <c r="AL765" s="1267"/>
      <c r="AN765" s="1296"/>
    </row>
    <row r="766" spans="1:81" s="1222" customFormat="1" ht="12.75" customHeight="1">
      <c r="A766" s="1300"/>
      <c r="B766" s="1416"/>
      <c r="C766" s="1587"/>
      <c r="D766" s="1416"/>
      <c r="E766" s="1416"/>
      <c r="F766" s="1416"/>
      <c r="G766" s="1416"/>
      <c r="H766" s="1416"/>
      <c r="I766" s="1416"/>
      <c r="J766" s="1416"/>
      <c r="K766" s="1416"/>
      <c r="L766" s="1416"/>
      <c r="M766" s="1416"/>
      <c r="N766" s="1416"/>
      <c r="O766" s="1416"/>
      <c r="P766" s="1416"/>
      <c r="Q766" s="1416"/>
      <c r="R766" s="1416"/>
      <c r="S766" s="1416"/>
      <c r="T766" s="1416"/>
      <c r="U766" s="1416"/>
      <c r="V766" s="1416"/>
      <c r="W766" s="1416"/>
      <c r="X766" s="1416"/>
      <c r="Y766" s="1416"/>
      <c r="Z766" s="1416"/>
      <c r="AA766" s="1416"/>
      <c r="AB766" s="1416"/>
      <c r="AC766" s="1416"/>
      <c r="AD766" s="1416"/>
      <c r="AE766" s="1416"/>
      <c r="AF766" s="1416"/>
      <c r="AG766" s="1416"/>
      <c r="AH766" s="1292"/>
      <c r="AI766" s="1239" t="s">
        <v>1643</v>
      </c>
      <c r="AJ766" s="2455">
        <f>VLOOKUP($H$764,$AP$705:$AQ$707,2,FALSE)</f>
        <v>0</v>
      </c>
      <c r="AK766" s="2457"/>
      <c r="AL766" s="1267"/>
      <c r="AN766" s="1296"/>
    </row>
    <row r="767" spans="1:81" s="1207" customFormat="1">
      <c r="A767" s="1222"/>
      <c r="B767" s="1310"/>
      <c r="C767" s="1565"/>
      <c r="D767" s="1310"/>
      <c r="E767" s="1310"/>
      <c r="F767" s="1310"/>
      <c r="G767" s="1310"/>
      <c r="H767" s="1310"/>
      <c r="I767" s="1310"/>
      <c r="J767" s="1310"/>
      <c r="K767" s="1310"/>
      <c r="L767" s="1310"/>
      <c r="M767" s="1310"/>
      <c r="N767" s="1310"/>
      <c r="O767" s="1310"/>
      <c r="P767" s="1310"/>
      <c r="Q767" s="1310"/>
      <c r="R767" s="1310"/>
      <c r="S767" s="1310"/>
      <c r="T767" s="1310"/>
      <c r="U767" s="1310"/>
      <c r="V767" s="1310"/>
      <c r="W767" s="1310"/>
      <c r="X767" s="1310"/>
      <c r="Y767" s="1310"/>
      <c r="Z767" s="1310"/>
      <c r="AA767" s="1310"/>
      <c r="AB767" s="1310"/>
      <c r="AC767" s="1310"/>
      <c r="AD767" s="1310"/>
      <c r="AE767" s="1310"/>
      <c r="AF767" s="1310"/>
      <c r="AG767" s="1310"/>
      <c r="AI767" s="1214"/>
      <c r="AJ767" s="1267"/>
      <c r="AK767" s="1267"/>
      <c r="AL767" s="1267"/>
      <c r="AM767" s="1222"/>
      <c r="AN767" s="1206"/>
      <c r="AS767" s="1558"/>
      <c r="AT767" s="1558"/>
      <c r="AU767" s="1558"/>
      <c r="AV767" s="1558"/>
      <c r="AW767" s="1558"/>
      <c r="AX767" s="1558"/>
      <c r="AY767" s="1558"/>
      <c r="AZ767" s="1558"/>
      <c r="BA767" s="1558"/>
      <c r="BB767" s="1558"/>
      <c r="BC767" s="1558"/>
      <c r="BD767" s="1588"/>
      <c r="BE767" s="1588"/>
      <c r="BF767" s="1588"/>
      <c r="BG767" s="1588"/>
      <c r="BH767" s="1588"/>
      <c r="BI767" s="1558"/>
      <c r="BJ767" s="1558"/>
      <c r="BK767" s="1558"/>
      <c r="BL767" s="1558"/>
      <c r="BM767" s="1558"/>
      <c r="BN767" s="1558"/>
      <c r="BO767" s="1558"/>
      <c r="BP767" s="1558"/>
      <c r="BQ767" s="1558"/>
      <c r="BR767" s="1558"/>
      <c r="BS767" s="1558"/>
      <c r="BT767" s="1558"/>
      <c r="BU767" s="1558"/>
      <c r="BV767" s="1558"/>
      <c r="BW767" s="1558"/>
      <c r="BX767" s="1558"/>
      <c r="BY767" s="1558"/>
      <c r="BZ767" s="1558"/>
      <c r="CA767" s="1558"/>
      <c r="CB767" s="1558"/>
      <c r="CC767" s="1558"/>
    </row>
    <row r="768" spans="1:81" s="1207" customFormat="1">
      <c r="A768" s="1222"/>
      <c r="B768" s="1310"/>
      <c r="C768" s="1210" t="s">
        <v>1644</v>
      </c>
      <c r="D768" s="1310"/>
      <c r="E768" s="1310"/>
      <c r="F768" s="1310"/>
      <c r="G768" s="1310"/>
      <c r="H768" s="1310"/>
      <c r="I768" s="1310"/>
      <c r="J768" s="1310"/>
      <c r="K768" s="1310"/>
      <c r="L768" s="1310"/>
      <c r="M768" s="1310"/>
      <c r="N768" s="1310"/>
      <c r="O768" s="1310"/>
      <c r="P768" s="1310"/>
      <c r="Q768" s="1310"/>
      <c r="R768" s="1310"/>
      <c r="S768" s="1310"/>
      <c r="T768" s="1310"/>
      <c r="U768" s="1310"/>
      <c r="V768" s="1310"/>
      <c r="W768" s="1310"/>
      <c r="X768" s="1310"/>
      <c r="Y768" s="1310"/>
      <c r="Z768" s="1310"/>
      <c r="AA768" s="1310"/>
      <c r="AB768" s="1310"/>
      <c r="AC768" s="1310"/>
      <c r="AD768" s="1310"/>
      <c r="AE768" s="1310"/>
      <c r="AF768" s="1310"/>
      <c r="AG768" s="1310"/>
      <c r="AI768" s="1214"/>
      <c r="AJ768" s="1267"/>
      <c r="AK768" s="1267"/>
      <c r="AL768" s="1267"/>
      <c r="AM768" s="1222"/>
      <c r="AN768" s="1206"/>
      <c r="AT768" s="1558"/>
      <c r="AU768" s="1558"/>
      <c r="AV768" s="1558"/>
      <c r="AW768" s="1558"/>
      <c r="AX768" s="1558"/>
      <c r="AY768" s="1558"/>
      <c r="AZ768" s="1558"/>
    </row>
    <row r="769" spans="1:81" s="1207" customFormat="1">
      <c r="A769" s="1222"/>
      <c r="B769" s="1310"/>
      <c r="C769" s="1565"/>
      <c r="D769" s="1310"/>
      <c r="E769" s="1310"/>
      <c r="F769" s="1310"/>
      <c r="G769" s="1310"/>
      <c r="H769" s="1310"/>
      <c r="I769" s="1310"/>
      <c r="J769" s="1310"/>
      <c r="K769" s="1310"/>
      <c r="L769" s="1310"/>
      <c r="M769" s="1310"/>
      <c r="N769" s="1310"/>
      <c r="O769" s="1310"/>
      <c r="P769" s="1310"/>
      <c r="Q769" s="1310"/>
      <c r="R769" s="1310"/>
      <c r="S769" s="1310"/>
      <c r="T769" s="1310"/>
      <c r="U769" s="1310"/>
      <c r="V769" s="1310"/>
      <c r="W769" s="1310"/>
      <c r="X769" s="1310"/>
      <c r="Y769" s="1310"/>
      <c r="Z769" s="1310"/>
      <c r="AA769" s="1310"/>
      <c r="AB769" s="1310"/>
      <c r="AC769" s="1310"/>
      <c r="AD769" s="1310"/>
      <c r="AL769" s="1267"/>
      <c r="AM769" s="1222"/>
      <c r="AN769" s="1206"/>
      <c r="AO769" s="1222" t="s">
        <v>616</v>
      </c>
      <c r="AP769" s="1568">
        <v>0</v>
      </c>
      <c r="AS769" s="1558"/>
      <c r="AT769" s="1558"/>
      <c r="AU769" s="1558"/>
      <c r="AV769" s="1558"/>
      <c r="AW769" s="1558"/>
      <c r="AX769" s="1558"/>
      <c r="AY769" s="1558"/>
      <c r="AZ769" s="1558"/>
      <c r="BA769" s="1558"/>
      <c r="BB769" s="1558"/>
      <c r="BC769" s="1558"/>
      <c r="BD769" s="1588"/>
      <c r="BE769" s="1588"/>
      <c r="BF769" s="1588"/>
      <c r="BG769" s="1588"/>
      <c r="BH769" s="1588"/>
      <c r="BI769" s="1558"/>
      <c r="BJ769" s="1558"/>
      <c r="BK769" s="1558"/>
      <c r="BL769" s="1558"/>
      <c r="BM769" s="1558"/>
      <c r="BN769" s="1558"/>
      <c r="BO769" s="1558"/>
      <c r="BP769" s="1558"/>
      <c r="BQ769" s="1558"/>
      <c r="BR769" s="1558"/>
      <c r="BS769" s="1558"/>
      <c r="BT769" s="1558"/>
      <c r="BU769" s="1558"/>
      <c r="BV769" s="1558"/>
      <c r="BW769" s="1558"/>
      <c r="BX769" s="1558"/>
      <c r="BY769" s="1558"/>
      <c r="BZ769" s="1558"/>
      <c r="CA769" s="1558"/>
      <c r="CB769" s="1558"/>
      <c r="CC769" s="1558"/>
    </row>
    <row r="770" spans="1:81" s="1207" customFormat="1" ht="13.65" customHeight="1">
      <c r="A770" s="1222"/>
      <c r="B770" s="1310"/>
      <c r="C770" s="1565"/>
      <c r="D770" s="1317" t="s">
        <v>713</v>
      </c>
      <c r="E770" s="2475" t="s">
        <v>2723</v>
      </c>
      <c r="F770" s="2475"/>
      <c r="G770" s="2475"/>
      <c r="H770" s="2475"/>
      <c r="I770" s="2475"/>
      <c r="J770" s="2475"/>
      <c r="K770" s="2475"/>
      <c r="L770" s="2475"/>
      <c r="M770" s="2475"/>
      <c r="N770" s="2475"/>
      <c r="O770" s="2475"/>
      <c r="P770" s="2475"/>
      <c r="Q770" s="2475"/>
      <c r="R770" s="2475"/>
      <c r="S770" s="2475"/>
      <c r="T770" s="2475"/>
      <c r="U770" s="2475"/>
      <c r="V770" s="2475"/>
      <c r="W770" s="2475"/>
      <c r="X770" s="2475"/>
      <c r="Y770" s="2475"/>
      <c r="Z770" s="2475"/>
      <c r="AA770" s="2475"/>
      <c r="AB770" s="2475"/>
      <c r="AC770" s="2475"/>
      <c r="AD770" s="2475"/>
      <c r="AF770" s="2476" t="s">
        <v>1543</v>
      </c>
      <c r="AG770" s="2476"/>
      <c r="AH770" s="2476"/>
      <c r="AI770" s="2476"/>
      <c r="AJ770" s="2476"/>
      <c r="AK770" s="2476"/>
      <c r="AL770" s="2476"/>
      <c r="AM770" s="1307"/>
      <c r="AN770" s="1206"/>
      <c r="AO770" s="1305" t="s">
        <v>569</v>
      </c>
      <c r="AP770" s="1222">
        <v>3</v>
      </c>
      <c r="AT770" s="1558"/>
      <c r="AU770" s="1558"/>
      <c r="AV770" s="1558"/>
      <c r="AW770" s="1558"/>
      <c r="AX770" s="1558"/>
      <c r="AY770" s="1558"/>
      <c r="AZ770" s="1558"/>
    </row>
    <row r="771" spans="1:81" s="1207" customFormat="1" ht="13.65" customHeight="1">
      <c r="A771" s="1222"/>
      <c r="B771" s="1310"/>
      <c r="C771" s="1565"/>
      <c r="D771" s="1317"/>
      <c r="E771" s="2475"/>
      <c r="F771" s="2475"/>
      <c r="G771" s="2475"/>
      <c r="H771" s="2475"/>
      <c r="I771" s="2475"/>
      <c r="J771" s="2475"/>
      <c r="K771" s="2475"/>
      <c r="L771" s="2475"/>
      <c r="M771" s="2475"/>
      <c r="N771" s="2475"/>
      <c r="O771" s="2475"/>
      <c r="P771" s="2475"/>
      <c r="Q771" s="2475"/>
      <c r="R771" s="2475"/>
      <c r="S771" s="2475"/>
      <c r="T771" s="2475"/>
      <c r="U771" s="2475"/>
      <c r="V771" s="2475"/>
      <c r="W771" s="2475"/>
      <c r="X771" s="2475"/>
      <c r="Y771" s="2475"/>
      <c r="Z771" s="2475"/>
      <c r="AA771" s="2475"/>
      <c r="AB771" s="2475"/>
      <c r="AC771" s="2475"/>
      <c r="AD771" s="2475"/>
      <c r="AF771" s="1289"/>
      <c r="AG771" s="1289"/>
      <c r="AH771" s="1289"/>
      <c r="AI771" s="1289"/>
      <c r="AJ771" s="1289"/>
      <c r="AK771" s="1289"/>
      <c r="AL771" s="1289"/>
      <c r="AM771" s="1307"/>
      <c r="AN771" s="1206"/>
      <c r="AO771" s="1305"/>
      <c r="AP771" s="1222"/>
      <c r="AT771" s="1558"/>
      <c r="AU771" s="1558"/>
      <c r="AV771" s="1558"/>
      <c r="AW771" s="1558"/>
      <c r="AX771" s="1558"/>
      <c r="AY771" s="1558"/>
      <c r="AZ771" s="1558"/>
    </row>
    <row r="772" spans="1:81" s="1207" customFormat="1">
      <c r="A772" s="1222"/>
      <c r="B772" s="1310"/>
      <c r="C772" s="1565"/>
      <c r="D772" s="1317"/>
      <c r="E772" s="2475"/>
      <c r="F772" s="2475"/>
      <c r="G772" s="2475"/>
      <c r="H772" s="2475"/>
      <c r="I772" s="2475"/>
      <c r="J772" s="2475"/>
      <c r="K772" s="2475"/>
      <c r="L772" s="2475"/>
      <c r="M772" s="2475"/>
      <c r="N772" s="2475"/>
      <c r="O772" s="2475"/>
      <c r="P772" s="2475"/>
      <c r="Q772" s="2475"/>
      <c r="R772" s="2475"/>
      <c r="S772" s="2475"/>
      <c r="T772" s="2475"/>
      <c r="U772" s="2475"/>
      <c r="V772" s="2475"/>
      <c r="W772" s="2475"/>
      <c r="X772" s="2475"/>
      <c r="Y772" s="2475"/>
      <c r="Z772" s="2475"/>
      <c r="AA772" s="2475"/>
      <c r="AB772" s="2475"/>
      <c r="AC772" s="2475"/>
      <c r="AD772" s="2475"/>
      <c r="AE772" s="1289"/>
      <c r="AF772" s="1289"/>
      <c r="AG772" s="1289"/>
      <c r="AH772" s="1289"/>
      <c r="AI772" s="1289"/>
      <c r="AJ772" s="1289"/>
      <c r="AK772" s="1289"/>
      <c r="AL772" s="1289"/>
      <c r="AM772" s="1307"/>
      <c r="AN772" s="1206"/>
      <c r="AO772" s="1305"/>
      <c r="AP772" s="1222"/>
      <c r="AT772" s="1558"/>
      <c r="AU772" s="1558"/>
      <c r="AV772" s="1558"/>
      <c r="AW772" s="1558"/>
      <c r="AX772" s="1558"/>
      <c r="AY772" s="1558"/>
      <c r="AZ772" s="1558"/>
    </row>
    <row r="773" spans="1:81" s="1207" customFormat="1">
      <c r="A773" s="1222"/>
      <c r="B773" s="1310"/>
      <c r="C773" s="1565"/>
      <c r="D773" s="1317"/>
      <c r="E773" s="2475"/>
      <c r="F773" s="2475"/>
      <c r="G773" s="2475"/>
      <c r="H773" s="2475"/>
      <c r="I773" s="2475"/>
      <c r="J773" s="2475"/>
      <c r="K773" s="2475"/>
      <c r="L773" s="2475"/>
      <c r="M773" s="2475"/>
      <c r="N773" s="2475"/>
      <c r="O773" s="2475"/>
      <c r="P773" s="2475"/>
      <c r="Q773" s="2475"/>
      <c r="R773" s="2475"/>
      <c r="S773" s="2475"/>
      <c r="T773" s="2475"/>
      <c r="U773" s="2475"/>
      <c r="V773" s="2475"/>
      <c r="W773" s="2475"/>
      <c r="X773" s="2475"/>
      <c r="Y773" s="2475"/>
      <c r="Z773" s="2475"/>
      <c r="AA773" s="2475"/>
      <c r="AB773" s="2475"/>
      <c r="AC773" s="2475"/>
      <c r="AD773" s="2475"/>
      <c r="AE773" s="1289"/>
      <c r="AF773" s="1289"/>
      <c r="AG773" s="1289"/>
      <c r="AH773" s="1289"/>
      <c r="AI773" s="1289"/>
      <c r="AJ773" s="1289"/>
      <c r="AK773" s="1289"/>
      <c r="AL773" s="1289"/>
      <c r="AM773" s="1307"/>
      <c r="AN773" s="1206"/>
      <c r="AO773" s="1459"/>
      <c r="AT773" s="1558"/>
      <c r="AU773" s="1558"/>
      <c r="AV773" s="1558"/>
      <c r="AW773" s="1558"/>
      <c r="AX773" s="1558"/>
      <c r="AY773" s="1558"/>
      <c r="AZ773" s="1558"/>
    </row>
    <row r="774" spans="1:81" s="1207" customFormat="1">
      <c r="A774" s="1222"/>
      <c r="B774" s="1310"/>
      <c r="C774" s="1565"/>
      <c r="D774" s="1317"/>
      <c r="E774" s="1319"/>
      <c r="F774" s="1319"/>
      <c r="G774" s="1319"/>
      <c r="H774" s="1319"/>
      <c r="I774" s="1319"/>
      <c r="J774" s="1319"/>
      <c r="K774" s="1319"/>
      <c r="L774" s="1319"/>
      <c r="M774" s="1319"/>
      <c r="N774" s="1319"/>
      <c r="O774" s="1319"/>
      <c r="P774" s="1319"/>
      <c r="Q774" s="1319"/>
      <c r="R774" s="1319"/>
      <c r="S774" s="1319"/>
      <c r="T774" s="1319"/>
      <c r="U774" s="1319"/>
      <c r="V774" s="1319"/>
      <c r="W774" s="1319"/>
      <c r="X774" s="1319"/>
      <c r="Y774" s="1319"/>
      <c r="Z774" s="1319"/>
      <c r="AA774" s="1319"/>
      <c r="AB774" s="1319"/>
      <c r="AC774" s="1319"/>
      <c r="AD774" s="1319"/>
      <c r="AE774" s="1289"/>
      <c r="AF774" s="1289"/>
      <c r="AG774" s="1289"/>
      <c r="AH774" s="1289"/>
      <c r="AI774" s="1289"/>
      <c r="AJ774" s="1289"/>
      <c r="AK774" s="1289"/>
      <c r="AL774" s="1289"/>
      <c r="AM774" s="1307"/>
      <c r="AN774" s="1206"/>
      <c r="AO774" s="1459"/>
      <c r="AT774" s="1558"/>
      <c r="AU774" s="1558"/>
      <c r="AV774" s="1558"/>
      <c r="AW774" s="1558"/>
      <c r="AX774" s="1558"/>
      <c r="AY774" s="1558"/>
      <c r="AZ774" s="1558"/>
    </row>
    <row r="775" spans="1:81" s="1207" customFormat="1">
      <c r="A775" s="1222"/>
      <c r="B775" s="1310"/>
      <c r="C775" s="1565"/>
      <c r="D775" s="1207" t="s">
        <v>1591</v>
      </c>
      <c r="E775" s="1559"/>
      <c r="F775" s="1559"/>
      <c r="G775" s="1559"/>
      <c r="H775" s="2477" t="s">
        <v>616</v>
      </c>
      <c r="I775" s="2477"/>
      <c r="J775" s="1310"/>
      <c r="K775" s="1310"/>
      <c r="L775" s="1310"/>
      <c r="M775" s="1310"/>
      <c r="N775" s="1310"/>
      <c r="O775" s="1310"/>
      <c r="P775" s="1310"/>
      <c r="Q775" s="1310"/>
      <c r="R775" s="1310"/>
      <c r="S775" s="1310"/>
      <c r="T775" s="1310"/>
      <c r="U775" s="1310"/>
      <c r="V775" s="1310"/>
      <c r="W775" s="1310"/>
      <c r="X775" s="1310"/>
      <c r="Y775" s="1310"/>
      <c r="Z775" s="1310"/>
      <c r="AA775" s="1310"/>
      <c r="AB775" s="1310"/>
      <c r="AC775" s="1310"/>
      <c r="AD775" s="1310"/>
      <c r="AE775" s="1310"/>
      <c r="AF775" s="1310"/>
      <c r="AG775" s="1310"/>
      <c r="AI775" s="1214"/>
      <c r="AJ775" s="1267"/>
      <c r="AK775" s="1267"/>
      <c r="AL775" s="1267"/>
      <c r="AM775" s="1222"/>
      <c r="AN775" s="1206"/>
      <c r="AS775" s="1558"/>
      <c r="AT775" s="1558"/>
      <c r="AU775" s="1558"/>
      <c r="AV775" s="1558"/>
      <c r="AW775" s="1558"/>
      <c r="AX775" s="1558"/>
      <c r="AY775" s="1558"/>
      <c r="AZ775" s="1558"/>
      <c r="BA775" s="1558"/>
      <c r="BB775" s="1558"/>
      <c r="BC775" s="1558"/>
      <c r="BD775" s="1588"/>
      <c r="BE775" s="1588"/>
      <c r="BF775" s="1588"/>
      <c r="BG775" s="1588"/>
      <c r="BH775" s="1588"/>
      <c r="BI775" s="1558"/>
      <c r="BJ775" s="1558"/>
      <c r="BK775" s="1558"/>
      <c r="BL775" s="1558"/>
      <c r="BM775" s="1558"/>
      <c r="BN775" s="1558"/>
      <c r="BO775" s="1558"/>
      <c r="BP775" s="1558"/>
      <c r="BQ775" s="1558"/>
      <c r="BR775" s="1558"/>
      <c r="BS775" s="1558"/>
      <c r="BT775" s="1558"/>
      <c r="BU775" s="1558"/>
      <c r="BV775" s="1558"/>
      <c r="BW775" s="1558"/>
      <c r="BX775" s="1558"/>
      <c r="BY775" s="1558"/>
      <c r="BZ775" s="1558"/>
      <c r="CA775" s="1558"/>
      <c r="CB775" s="1558"/>
      <c r="CC775" s="1558"/>
    </row>
    <row r="776" spans="1:81" s="1207" customFormat="1">
      <c r="A776" s="1222"/>
      <c r="B776" s="1310"/>
      <c r="C776" s="1589"/>
      <c r="D776" s="1223"/>
      <c r="E776" s="1223"/>
      <c r="F776" s="1223"/>
      <c r="G776" s="1223"/>
      <c r="H776" s="1223"/>
      <c r="I776" s="1223"/>
      <c r="J776" s="1223"/>
      <c r="K776" s="1223"/>
      <c r="L776" s="1223"/>
      <c r="M776" s="1223"/>
      <c r="N776" s="1223"/>
      <c r="O776" s="1223"/>
      <c r="P776" s="1223"/>
      <c r="Q776" s="1223"/>
      <c r="R776" s="1223"/>
      <c r="S776" s="1223"/>
      <c r="T776" s="1223"/>
      <c r="U776" s="1223"/>
      <c r="V776" s="1223"/>
      <c r="W776" s="1223"/>
      <c r="X776" s="1223"/>
      <c r="Y776" s="1223"/>
      <c r="Z776" s="1223"/>
      <c r="AA776" s="1223"/>
      <c r="AB776" s="1223"/>
      <c r="AC776" s="1223"/>
      <c r="AD776" s="1310"/>
      <c r="AE776" s="1223"/>
      <c r="AF776" s="1223"/>
      <c r="AG776" s="1223"/>
      <c r="AH776" s="1223"/>
      <c r="AI776" s="1222"/>
      <c r="AJ776" s="1222"/>
      <c r="AK776" s="1222"/>
      <c r="AL776" s="1222"/>
      <c r="AM776" s="1222"/>
      <c r="AN776" s="1206"/>
      <c r="AT776" s="1558"/>
      <c r="AU776" s="1558"/>
      <c r="AV776" s="1558"/>
      <c r="AW776" s="1558"/>
      <c r="AX776" s="1558"/>
      <c r="AY776" s="1558"/>
      <c r="AZ776" s="1558"/>
    </row>
    <row r="777" spans="1:81" s="1207" customFormat="1">
      <c r="A777" s="1300"/>
      <c r="B777" s="1416"/>
      <c r="C777" s="1590"/>
      <c r="D777" s="1415"/>
      <c r="E777" s="1415"/>
      <c r="F777" s="1415"/>
      <c r="G777" s="1415"/>
      <c r="H777" s="1415"/>
      <c r="I777" s="1415"/>
      <c r="J777" s="1415"/>
      <c r="K777" s="1415"/>
      <c r="L777" s="1415"/>
      <c r="M777" s="1415"/>
      <c r="N777" s="1415"/>
      <c r="O777" s="1415"/>
      <c r="P777" s="1415"/>
      <c r="Q777" s="1415"/>
      <c r="R777" s="1415"/>
      <c r="S777" s="1415"/>
      <c r="T777" s="1415"/>
      <c r="U777" s="1415"/>
      <c r="V777" s="1415"/>
      <c r="W777" s="1415"/>
      <c r="X777" s="1415"/>
      <c r="Y777" s="1415"/>
      <c r="Z777" s="1415"/>
      <c r="AA777" s="1415"/>
      <c r="AB777" s="1415"/>
      <c r="AC777" s="1416"/>
      <c r="AD777" s="1415"/>
      <c r="AE777" s="1415"/>
      <c r="AF777" s="1415"/>
      <c r="AG777" s="1415"/>
      <c r="AH777" s="1238"/>
      <c r="AI777" s="1239" t="s">
        <v>1645</v>
      </c>
      <c r="AJ777" s="2455">
        <f>VLOOKUP($H$775,$AO$769:$AP$770,2,FALSE)</f>
        <v>0</v>
      </c>
      <c r="AK777" s="2457"/>
      <c r="AL777" s="1267"/>
      <c r="AM777" s="1222"/>
      <c r="AN777" s="1206"/>
      <c r="AS777" s="1558"/>
      <c r="AT777" s="1558"/>
      <c r="AU777" s="1558"/>
      <c r="AV777" s="1558"/>
      <c r="AW777" s="1558"/>
      <c r="AX777" s="1558"/>
      <c r="AY777" s="1558"/>
      <c r="AZ777" s="1558"/>
      <c r="BA777" s="1558"/>
      <c r="BB777" s="1558"/>
      <c r="BC777" s="1558"/>
      <c r="BD777" s="1588"/>
      <c r="BE777" s="1588"/>
      <c r="BF777" s="1588"/>
      <c r="BG777" s="1588"/>
      <c r="BH777" s="1588"/>
      <c r="BI777" s="1558"/>
      <c r="BJ777" s="1558"/>
      <c r="BK777" s="1558"/>
      <c r="BL777" s="1558"/>
      <c r="BM777" s="1558"/>
      <c r="BN777" s="1558"/>
      <c r="BO777" s="1558"/>
      <c r="BP777" s="1558"/>
      <c r="BQ777" s="1558"/>
      <c r="BR777" s="1558"/>
      <c r="BS777" s="1558"/>
      <c r="BT777" s="1558"/>
      <c r="BU777" s="1558"/>
      <c r="BV777" s="1558"/>
      <c r="BW777" s="1558"/>
      <c r="BX777" s="1558"/>
      <c r="BY777" s="1558"/>
      <c r="BZ777" s="1558"/>
      <c r="CA777" s="1558"/>
      <c r="CB777" s="1558"/>
      <c r="CC777" s="1558"/>
    </row>
    <row r="778" spans="1:81" s="1222" customFormat="1" ht="12.75" customHeight="1">
      <c r="B778" s="1310"/>
      <c r="C778" s="1589"/>
      <c r="D778" s="1223"/>
      <c r="E778" s="1223"/>
      <c r="F778" s="1223"/>
      <c r="G778" s="1223"/>
      <c r="H778" s="1223"/>
      <c r="I778" s="1223"/>
      <c r="J778" s="1223"/>
      <c r="K778" s="1223"/>
      <c r="L778" s="1223"/>
      <c r="M778" s="1223"/>
      <c r="N778" s="1223"/>
      <c r="O778" s="1223"/>
      <c r="P778" s="1223"/>
      <c r="Q778" s="1223"/>
      <c r="R778" s="1223"/>
      <c r="S778" s="1223"/>
      <c r="T778" s="1223"/>
      <c r="U778" s="1223"/>
      <c r="V778" s="1223"/>
      <c r="W778" s="1223"/>
      <c r="X778" s="1223"/>
      <c r="Y778" s="1223"/>
      <c r="Z778" s="1223"/>
      <c r="AA778" s="1223"/>
      <c r="AB778" s="1223"/>
      <c r="AC778" s="1223"/>
      <c r="AD778" s="1310"/>
      <c r="AE778" s="1223"/>
      <c r="AF778" s="1223"/>
      <c r="AG778" s="1223"/>
      <c r="AH778" s="1223"/>
      <c r="AN778" s="1296"/>
    </row>
    <row r="779" spans="1:81" s="1222" customFormat="1" ht="12.75" customHeight="1">
      <c r="A779" s="1300"/>
      <c r="B779" s="1415"/>
      <c r="C779" s="1415"/>
      <c r="D779" s="1415"/>
      <c r="E779" s="1415"/>
      <c r="F779" s="1415"/>
      <c r="G779" s="1415"/>
      <c r="H779" s="1415"/>
      <c r="I779" s="1415"/>
      <c r="J779" s="1415"/>
      <c r="K779" s="1415"/>
      <c r="L779" s="1415"/>
      <c r="M779" s="1415"/>
      <c r="N779" s="1415"/>
      <c r="O779" s="1415"/>
      <c r="P779" s="1415"/>
      <c r="Q779" s="1415"/>
      <c r="R779" s="1415"/>
      <c r="S779" s="1415"/>
      <c r="T779" s="1415"/>
      <c r="U779" s="1415"/>
      <c r="V779" s="1415"/>
      <c r="W779" s="1415"/>
      <c r="X779" s="1415"/>
      <c r="Y779" s="1415"/>
      <c r="Z779" s="1415"/>
      <c r="AA779" s="1415"/>
      <c r="AB779" s="1415"/>
      <c r="AC779" s="1416"/>
      <c r="AD779" s="1415"/>
      <c r="AE779" s="1238"/>
      <c r="AF779" s="1238"/>
      <c r="AG779" s="1238"/>
      <c r="AH779" s="1238"/>
      <c r="AI779" s="1239"/>
      <c r="AJ779" s="1239" t="s">
        <v>1646</v>
      </c>
      <c r="AK779" s="2455">
        <f>IF(($AJ$610+$AJ$629+$AJ$641+$AJ$676+$AJ$696+$AJ$710+$AJ$722+$AJ$738+$AJ$750+$AJ$766+AJ777)&gt;10,10,($AJ$610+$AJ$629+$AJ$641+$AJ$676+$AJ$696+$AJ$710+$AJ$722+$AJ$738+$AJ$750+$AJ$766+AJ777))</f>
        <v>10</v>
      </c>
      <c r="AL779" s="2456"/>
      <c r="AM779" s="2457"/>
      <c r="AN779" s="1296"/>
    </row>
    <row r="780" spans="1:81" s="1222" customFormat="1" ht="12.75" customHeight="1">
      <c r="B780" s="1223"/>
      <c r="C780" s="1223"/>
      <c r="D780" s="1223"/>
      <c r="E780" s="1223"/>
      <c r="F780" s="1223"/>
      <c r="G780" s="1223"/>
      <c r="H780" s="1223"/>
      <c r="I780" s="1223"/>
      <c r="J780" s="1223"/>
      <c r="K780" s="1223"/>
      <c r="L780" s="1223"/>
      <c r="M780" s="1223"/>
      <c r="N780" s="1223"/>
      <c r="O780" s="1223"/>
      <c r="P780" s="1223"/>
      <c r="Q780" s="1223"/>
      <c r="R780" s="1223"/>
      <c r="S780" s="1223"/>
      <c r="T780" s="1223"/>
      <c r="U780" s="1223"/>
      <c r="V780" s="1223"/>
      <c r="W780" s="1223"/>
      <c r="X780" s="1223"/>
      <c r="Y780" s="1223"/>
      <c r="Z780" s="1223"/>
      <c r="AA780" s="1223"/>
      <c r="AB780" s="1223"/>
      <c r="AC780" s="1310"/>
      <c r="AD780" s="1223"/>
      <c r="AI780" s="1214"/>
      <c r="AJ780" s="1214"/>
      <c r="AK780" s="1267"/>
      <c r="AL780" s="1267"/>
      <c r="AM780" s="1267"/>
      <c r="AN780" s="1296"/>
    </row>
    <row r="781" spans="1:81">
      <c r="B781" s="1222"/>
      <c r="C781" s="1222"/>
      <c r="D781" s="1222"/>
      <c r="E781" s="1222"/>
      <c r="F781" s="1222"/>
      <c r="G781" s="1222"/>
      <c r="H781" s="1222"/>
      <c r="I781" s="1222"/>
      <c r="J781" s="1222"/>
      <c r="K781" s="1222"/>
      <c r="L781" s="1222"/>
      <c r="M781" s="1222"/>
      <c r="N781" s="1222"/>
      <c r="O781" s="1222"/>
      <c r="P781" s="1222"/>
      <c r="Q781" s="1222"/>
      <c r="R781" s="1222"/>
      <c r="S781" s="1222"/>
      <c r="T781" s="1222"/>
      <c r="U781" s="1222"/>
      <c r="V781" s="1222"/>
      <c r="W781" s="1222"/>
      <c r="X781" s="1222"/>
      <c r="Y781" s="1222"/>
      <c r="Z781" s="1222"/>
      <c r="AA781" s="1222"/>
      <c r="AB781" s="1222"/>
      <c r="AC781" s="1222"/>
      <c r="AD781" s="1222"/>
      <c r="AE781" s="1222"/>
      <c r="AF781" s="1222"/>
      <c r="AG781" s="1222"/>
      <c r="AH781" s="1222"/>
      <c r="AI781" s="1222"/>
      <c r="AJ781" s="1222"/>
      <c r="AK781" s="1222"/>
      <c r="AL781" s="1222"/>
      <c r="AM781" s="1222"/>
    </row>
    <row r="782" spans="1:81">
      <c r="A782" s="2465" t="s">
        <v>1768</v>
      </c>
      <c r="B782" s="2466"/>
      <c r="C782" s="2466"/>
      <c r="D782" s="2466"/>
      <c r="E782" s="2466"/>
      <c r="F782" s="2466"/>
      <c r="G782" s="2466"/>
      <c r="H782" s="2466"/>
      <c r="I782" s="2466"/>
      <c r="J782" s="2466"/>
      <c r="K782" s="2466"/>
      <c r="L782" s="2466"/>
      <c r="M782" s="2466"/>
      <c r="N782" s="2466"/>
      <c r="O782" s="2466"/>
      <c r="P782" s="2466"/>
      <c r="Q782" s="2466"/>
      <c r="R782" s="2466"/>
      <c r="S782" s="2466"/>
      <c r="T782" s="2466"/>
      <c r="U782" s="2466"/>
      <c r="V782" s="2466"/>
      <c r="W782" s="2466"/>
      <c r="X782" s="2466"/>
      <c r="Y782" s="2466"/>
      <c r="Z782" s="2466"/>
      <c r="AA782" s="2466"/>
      <c r="AB782" s="2466"/>
      <c r="AC782" s="2466"/>
      <c r="AD782" s="2466"/>
      <c r="AE782" s="2466"/>
      <c r="AF782" s="2466"/>
      <c r="AG782" s="2466"/>
      <c r="AH782" s="2466"/>
      <c r="AI782" s="2466"/>
      <c r="AJ782" s="2466"/>
      <c r="AK782" s="2466"/>
      <c r="AL782" s="2466"/>
      <c r="AM782" s="2466"/>
    </row>
    <row r="783" spans="1:81">
      <c r="A783" s="2467"/>
      <c r="B783" s="2467"/>
      <c r="C783" s="2467"/>
      <c r="D783" s="2467"/>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2467"/>
      <c r="AF783" s="2467"/>
      <c r="AG783" s="2467"/>
      <c r="AH783" s="2467"/>
      <c r="AI783" s="2467"/>
      <c r="AJ783" s="2467"/>
      <c r="AK783" s="2467"/>
      <c r="AL783" s="2467"/>
      <c r="AM783" s="2467"/>
      <c r="AO783" s="1591"/>
      <c r="AP783" s="1591"/>
      <c r="AQ783" s="1591"/>
    </row>
    <row r="784" spans="1:81">
      <c r="A784" s="1222"/>
      <c r="B784" s="914"/>
      <c r="C784" s="915"/>
      <c r="D784" s="915"/>
      <c r="E784" s="915"/>
      <c r="F784" s="915"/>
      <c r="G784" s="915"/>
      <c r="H784" s="915"/>
      <c r="I784" s="1244"/>
      <c r="J784" s="1244"/>
      <c r="K784" s="1244"/>
      <c r="L784" s="1244"/>
      <c r="M784" s="1244"/>
      <c r="N784" s="1244"/>
      <c r="O784" s="1244"/>
      <c r="P784" s="1244"/>
      <c r="Q784" s="1244"/>
      <c r="S784" s="1210"/>
      <c r="T784" s="1210"/>
      <c r="U784" s="1210"/>
      <c r="V784" s="1210"/>
      <c r="W784" s="1210"/>
      <c r="X784" s="1210"/>
      <c r="Y784" s="1210"/>
      <c r="Z784" s="1210"/>
      <c r="AA784" s="1210"/>
      <c r="AB784" s="1210"/>
      <c r="AC784" s="1210"/>
      <c r="AD784" s="1210"/>
      <c r="AE784" s="1210"/>
      <c r="AG784" s="1210"/>
      <c r="AH784" s="1210"/>
      <c r="AI784" s="1210"/>
      <c r="AJ784" s="1210"/>
      <c r="AK784" s="1222"/>
      <c r="AL784" s="1222"/>
      <c r="AM784" s="1208"/>
      <c r="AO784" s="1591"/>
      <c r="AP784" s="1591"/>
      <c r="AQ784" s="1591"/>
    </row>
    <row r="785" spans="1:81">
      <c r="A785" s="2468"/>
      <c r="B785" s="2468"/>
      <c r="C785" s="2468"/>
      <c r="D785" s="2468"/>
      <c r="E785" s="2468"/>
      <c r="F785" s="2468"/>
      <c r="G785" s="2468"/>
      <c r="H785" s="2468"/>
      <c r="I785" s="2468"/>
      <c r="J785" s="2468"/>
      <c r="K785" s="2468"/>
      <c r="L785" s="2468"/>
      <c r="M785" s="2468"/>
      <c r="N785" s="2468"/>
      <c r="O785" s="2468"/>
      <c r="P785" s="2468"/>
      <c r="Q785" s="2468"/>
      <c r="R785" s="2468"/>
      <c r="S785" s="2468"/>
      <c r="T785" s="2468"/>
      <c r="U785" s="2468"/>
      <c r="V785" s="2468"/>
      <c r="W785" s="2468"/>
      <c r="X785" s="2468"/>
      <c r="Y785" s="2468"/>
      <c r="Z785" s="2468"/>
      <c r="AA785" s="2468"/>
      <c r="AB785" s="2468"/>
      <c r="AC785" s="2468"/>
      <c r="AD785" s="2468"/>
      <c r="AE785" s="2468"/>
      <c r="AF785" s="2468"/>
      <c r="AG785" s="2468"/>
      <c r="AH785" s="2468"/>
      <c r="AI785" s="2468"/>
      <c r="AJ785" s="2468"/>
      <c r="AK785" s="2468"/>
      <c r="AL785" s="2468"/>
      <c r="AM785" s="2468"/>
      <c r="AP785" s="1591"/>
      <c r="AQ785" s="1591"/>
    </row>
    <row r="786" spans="1:81">
      <c r="A786" s="2468"/>
      <c r="B786" s="2468"/>
      <c r="C786" s="2468"/>
      <c r="D786" s="2468"/>
      <c r="E786" s="2468"/>
      <c r="F786" s="2468"/>
      <c r="G786" s="2468"/>
      <c r="H786" s="2468"/>
      <c r="I786" s="2468"/>
      <c r="J786" s="2468"/>
      <c r="K786" s="2468"/>
      <c r="L786" s="2468"/>
      <c r="M786" s="2468"/>
      <c r="N786" s="2468"/>
      <c r="O786" s="2468"/>
      <c r="P786" s="2468"/>
      <c r="Q786" s="2468"/>
      <c r="R786" s="2468"/>
      <c r="S786" s="2468"/>
      <c r="T786" s="2468"/>
      <c r="U786" s="2468"/>
      <c r="V786" s="2468"/>
      <c r="W786" s="2468"/>
      <c r="X786" s="2468"/>
      <c r="Y786" s="2468"/>
      <c r="Z786" s="2468"/>
      <c r="AA786" s="2468"/>
      <c r="AB786" s="2468"/>
      <c r="AC786" s="2468"/>
      <c r="AD786" s="2468"/>
      <c r="AE786" s="2468"/>
      <c r="AF786" s="2468"/>
      <c r="AG786" s="2468"/>
      <c r="AH786" s="2468"/>
      <c r="AI786" s="2468"/>
      <c r="AJ786" s="2468"/>
      <c r="AK786" s="2468"/>
      <c r="AL786" s="2468"/>
      <c r="AM786" s="2468"/>
      <c r="AO786" s="1591"/>
      <c r="AQ786" s="1591"/>
    </row>
    <row r="787" spans="1:81">
      <c r="A787" s="1592"/>
      <c r="B787" s="1429"/>
      <c r="C787" s="1429"/>
      <c r="D787" s="1429"/>
      <c r="E787" s="1429"/>
      <c r="F787" s="1429"/>
      <c r="G787" s="1429"/>
      <c r="H787" s="1429"/>
      <c r="I787" s="1429"/>
      <c r="J787" s="1429"/>
      <c r="K787" s="1429"/>
      <c r="L787" s="1429"/>
      <c r="M787" s="1429"/>
      <c r="N787" s="1429"/>
      <c r="O787" s="1429"/>
      <c r="P787" s="1429"/>
      <c r="Q787" s="1429"/>
      <c r="R787" s="1429"/>
      <c r="S787" s="1549"/>
      <c r="T787" s="2469" t="s">
        <v>1769</v>
      </c>
      <c r="U787" s="2470"/>
      <c r="V787" s="2470"/>
      <c r="W787" s="2470"/>
      <c r="X787" s="2470"/>
      <c r="Y787" s="2471"/>
      <c r="Z787" s="2469" t="s">
        <v>1770</v>
      </c>
      <c r="AA787" s="2470"/>
      <c r="AB787" s="2470"/>
      <c r="AC787" s="2470"/>
      <c r="AD787" s="2470"/>
      <c r="AE787" s="2471"/>
      <c r="AF787" s="2469" t="s">
        <v>1771</v>
      </c>
      <c r="AG787" s="2470"/>
      <c r="AH787" s="2470"/>
      <c r="AI787" s="2470"/>
      <c r="AJ787" s="2470"/>
      <c r="AK787" s="2471"/>
      <c r="AL787" s="1593"/>
      <c r="AM787" s="1382"/>
      <c r="AO787" s="1591"/>
      <c r="AP787" s="1591"/>
      <c r="AQ787" s="1591"/>
    </row>
    <row r="788" spans="1:81">
      <c r="A788" s="1594"/>
      <c r="B788" s="1418"/>
      <c r="C788" s="1418"/>
      <c r="D788" s="1418"/>
      <c r="E788" s="1418"/>
      <c r="F788" s="1418"/>
      <c r="G788" s="1418"/>
      <c r="H788" s="1418"/>
      <c r="I788" s="1418"/>
      <c r="J788" s="1418"/>
      <c r="K788" s="1418"/>
      <c r="L788" s="1418"/>
      <c r="M788" s="1418"/>
      <c r="N788" s="1418"/>
      <c r="O788" s="1418"/>
      <c r="P788" s="1418"/>
      <c r="Q788" s="1418"/>
      <c r="R788" s="1418"/>
      <c r="S788" s="1434"/>
      <c r="T788" s="2472"/>
      <c r="U788" s="2473"/>
      <c r="V788" s="2473"/>
      <c r="W788" s="2473"/>
      <c r="X788" s="2473"/>
      <c r="Y788" s="2474"/>
      <c r="Z788" s="2472"/>
      <c r="AA788" s="2473"/>
      <c r="AB788" s="2473"/>
      <c r="AC788" s="2473"/>
      <c r="AD788" s="2473"/>
      <c r="AE788" s="2474"/>
      <c r="AF788" s="2472"/>
      <c r="AG788" s="2473"/>
      <c r="AH788" s="2473"/>
      <c r="AI788" s="2473"/>
      <c r="AJ788" s="2473"/>
      <c r="AK788" s="2474"/>
      <c r="AL788" s="1593"/>
      <c r="AM788" s="1382"/>
      <c r="AO788" s="1591"/>
      <c r="AP788" s="1591"/>
      <c r="AQ788" s="1591"/>
    </row>
    <row r="789" spans="1:81">
      <c r="A789" s="1594" t="s">
        <v>786</v>
      </c>
      <c r="B789" s="2433" t="s">
        <v>1495</v>
      </c>
      <c r="C789" s="2433"/>
      <c r="D789" s="2433"/>
      <c r="E789" s="2433"/>
      <c r="F789" s="2433"/>
      <c r="G789" s="2433"/>
      <c r="H789" s="2433"/>
      <c r="I789" s="2433"/>
      <c r="J789" s="2433"/>
      <c r="K789" s="2433"/>
      <c r="L789" s="2433"/>
      <c r="M789" s="2433"/>
      <c r="N789" s="2433"/>
      <c r="O789" s="2433"/>
      <c r="P789" s="2433"/>
      <c r="Q789" s="2433"/>
      <c r="R789" s="2433"/>
      <c r="S789" s="2434"/>
      <c r="T789" s="2464">
        <f>AK56</f>
        <v>0</v>
      </c>
      <c r="U789" s="2460"/>
      <c r="V789" s="2460"/>
      <c r="W789" s="2460"/>
      <c r="X789" s="2460"/>
      <c r="Y789" s="2461"/>
      <c r="Z789" s="2459">
        <v>20</v>
      </c>
      <c r="AA789" s="2460"/>
      <c r="AB789" s="2460"/>
      <c r="AC789" s="2460"/>
      <c r="AD789" s="2460"/>
      <c r="AE789" s="2461"/>
      <c r="AF789" s="2453">
        <f>IF(T789&gt;Z789,Z789,T789)</f>
        <v>0</v>
      </c>
      <c r="AG789" s="2453"/>
      <c r="AH789" s="2453"/>
      <c r="AI789" s="2453"/>
      <c r="AJ789" s="2453"/>
      <c r="AK789" s="2453"/>
      <c r="AL789" s="1593"/>
      <c r="AM789" s="1382"/>
      <c r="AO789" s="1591"/>
      <c r="AP789" s="1591"/>
      <c r="AQ789" s="1591"/>
    </row>
    <row r="790" spans="1:81">
      <c r="A790" s="1594" t="s">
        <v>1741</v>
      </c>
      <c r="B790" s="2433" t="s">
        <v>1504</v>
      </c>
      <c r="C790" s="2433"/>
      <c r="D790" s="2433"/>
      <c r="E790" s="2433"/>
      <c r="F790" s="2433"/>
      <c r="G790" s="2433"/>
      <c r="H790" s="2433"/>
      <c r="I790" s="2433"/>
      <c r="J790" s="2433"/>
      <c r="K790" s="2433"/>
      <c r="L790" s="2433"/>
      <c r="M790" s="2433"/>
      <c r="N790" s="2433"/>
      <c r="O790" s="2433"/>
      <c r="P790" s="2433"/>
      <c r="Q790" s="2433"/>
      <c r="R790" s="2433"/>
      <c r="S790" s="2434"/>
      <c r="T790" s="2464">
        <f>AK78</f>
        <v>10</v>
      </c>
      <c r="U790" s="2460"/>
      <c r="V790" s="2460"/>
      <c r="W790" s="2460"/>
      <c r="X790" s="2460"/>
      <c r="Y790" s="2461"/>
      <c r="Z790" s="2459">
        <v>10</v>
      </c>
      <c r="AA790" s="2460"/>
      <c r="AB790" s="2460"/>
      <c r="AC790" s="2460"/>
      <c r="AD790" s="2460"/>
      <c r="AE790" s="2461"/>
      <c r="AF790" s="2453">
        <f>IF(T790&gt;Z790,Z790,T790)</f>
        <v>10</v>
      </c>
      <c r="AG790" s="2453"/>
      <c r="AH790" s="2453"/>
      <c r="AI790" s="2453"/>
      <c r="AJ790" s="2453"/>
      <c r="AK790" s="2453"/>
      <c r="AL790" s="1593"/>
      <c r="AM790" s="1382"/>
      <c r="AO790" s="1591"/>
      <c r="AP790" s="1591"/>
      <c r="AQ790" s="1591"/>
    </row>
    <row r="791" spans="1:81">
      <c r="A791" s="1594" t="s">
        <v>1750</v>
      </c>
      <c r="B791" s="2433" t="s">
        <v>1514</v>
      </c>
      <c r="C791" s="2433"/>
      <c r="D791" s="2433"/>
      <c r="E791" s="2433"/>
      <c r="F791" s="2433"/>
      <c r="G791" s="2433"/>
      <c r="H791" s="2433"/>
      <c r="I791" s="2433"/>
      <c r="J791" s="2433"/>
      <c r="K791" s="2433"/>
      <c r="L791" s="2433"/>
      <c r="M791" s="2433"/>
      <c r="N791" s="2433"/>
      <c r="O791" s="2433"/>
      <c r="P791" s="2433"/>
      <c r="Q791" s="2433"/>
      <c r="R791" s="2433"/>
      <c r="S791" s="2434"/>
      <c r="T791" s="2464">
        <f ca="1">AK103</f>
        <v>20</v>
      </c>
      <c r="U791" s="2460"/>
      <c r="V791" s="2460"/>
      <c r="W791" s="2460"/>
      <c r="X791" s="2460"/>
      <c r="Y791" s="2461"/>
      <c r="Z791" s="2459">
        <v>20</v>
      </c>
      <c r="AA791" s="2460"/>
      <c r="AB791" s="2460"/>
      <c r="AC791" s="2460"/>
      <c r="AD791" s="2460"/>
      <c r="AE791" s="2461"/>
      <c r="AF791" s="2453">
        <f ca="1">IF(T791&gt;Z791,Z791,T791)</f>
        <v>20</v>
      </c>
      <c r="AG791" s="2453"/>
      <c r="AH791" s="2453"/>
      <c r="AI791" s="2453"/>
      <c r="AJ791" s="2453"/>
      <c r="AK791" s="2453"/>
      <c r="AL791" s="1593"/>
      <c r="AM791" s="1382"/>
      <c r="AO791" s="1591"/>
      <c r="AP791" s="1591"/>
      <c r="AQ791" s="1591"/>
    </row>
    <row r="792" spans="1:81">
      <c r="A792" s="1594" t="s">
        <v>1772</v>
      </c>
      <c r="B792" s="2433" t="s">
        <v>1524</v>
      </c>
      <c r="C792" s="2433"/>
      <c r="D792" s="2433"/>
      <c r="E792" s="2433"/>
      <c r="F792" s="2433"/>
      <c r="G792" s="2433"/>
      <c r="H792" s="2433"/>
      <c r="I792" s="2433"/>
      <c r="J792" s="2433"/>
      <c r="K792" s="2433"/>
      <c r="L792" s="2433"/>
      <c r="M792" s="2433"/>
      <c r="N792" s="2433"/>
      <c r="O792" s="2433"/>
      <c r="P792" s="2433"/>
      <c r="Q792" s="2433"/>
      <c r="R792" s="2433"/>
      <c r="S792" s="2434"/>
      <c r="T792" s="2464">
        <f>AK137</f>
        <v>10</v>
      </c>
      <c r="U792" s="2460"/>
      <c r="V792" s="2460"/>
      <c r="W792" s="2460"/>
      <c r="X792" s="2460"/>
      <c r="Y792" s="2461"/>
      <c r="Z792" s="2459">
        <v>10</v>
      </c>
      <c r="AA792" s="2460"/>
      <c r="AB792" s="2460"/>
      <c r="AC792" s="2460"/>
      <c r="AD792" s="2460"/>
      <c r="AE792" s="2461"/>
      <c r="AF792" s="2453">
        <f>IF(T792&gt;Z792,Z792,T792)</f>
        <v>10</v>
      </c>
      <c r="AG792" s="2453"/>
      <c r="AH792" s="2453"/>
      <c r="AI792" s="2453"/>
      <c r="AJ792" s="2453"/>
      <c r="AK792" s="2453"/>
      <c r="AL792" s="1593"/>
      <c r="AM792" s="1382"/>
      <c r="AO792" s="1591"/>
      <c r="AP792" s="1591"/>
      <c r="AQ792" s="1591"/>
    </row>
    <row r="793" spans="1:81">
      <c r="A793" s="1595" t="s">
        <v>1773</v>
      </c>
      <c r="B793" s="2433" t="s">
        <v>1774</v>
      </c>
      <c r="C793" s="2433"/>
      <c r="D793" s="2433"/>
      <c r="E793" s="2433"/>
      <c r="F793" s="2433"/>
      <c r="G793" s="2433"/>
      <c r="H793" s="2433"/>
      <c r="I793" s="2433"/>
      <c r="J793" s="2433"/>
      <c r="K793" s="2433"/>
      <c r="L793" s="2433"/>
      <c r="M793" s="2433"/>
      <c r="N793" s="2433"/>
      <c r="O793" s="2433"/>
      <c r="P793" s="2433"/>
      <c r="Q793" s="2433"/>
      <c r="R793" s="2433"/>
      <c r="S793" s="2434"/>
      <c r="T793" s="2452">
        <f>SUM(T794:Y795)</f>
        <v>10</v>
      </c>
      <c r="U793" s="2452"/>
      <c r="V793" s="2452"/>
      <c r="W793" s="2452"/>
      <c r="X793" s="2452"/>
      <c r="Y793" s="2452"/>
      <c r="Z793" s="2453">
        <v>10</v>
      </c>
      <c r="AA793" s="2453"/>
      <c r="AB793" s="2453"/>
      <c r="AC793" s="2453"/>
      <c r="AD793" s="2453"/>
      <c r="AE793" s="2453"/>
      <c r="AF793" s="2453">
        <f>IF(T793&gt;Z793,Z793,T793)</f>
        <v>10</v>
      </c>
      <c r="AG793" s="2453"/>
      <c r="AH793" s="2453"/>
      <c r="AI793" s="2453"/>
      <c r="AJ793" s="2453"/>
      <c r="AK793" s="2453"/>
      <c r="AL793" s="1593"/>
      <c r="AM793" s="1382"/>
    </row>
    <row r="794" spans="1:81">
      <c r="A794" s="1206"/>
      <c r="B794" s="1292"/>
      <c r="C794" s="2462" t="s">
        <v>1775</v>
      </c>
      <c r="D794" s="2462"/>
      <c r="E794" s="2462"/>
      <c r="F794" s="2462"/>
      <c r="G794" s="2462"/>
      <c r="H794" s="2462"/>
      <c r="I794" s="2462"/>
      <c r="J794" s="2462"/>
      <c r="K794" s="2462"/>
      <c r="L794" s="2462"/>
      <c r="M794" s="2462"/>
      <c r="N794" s="2462"/>
      <c r="O794" s="2462"/>
      <c r="P794" s="2462"/>
      <c r="Q794" s="2462"/>
      <c r="R794" s="2462"/>
      <c r="S794" s="2463"/>
      <c r="T794" s="2454">
        <f>AJ155</f>
        <v>7</v>
      </c>
      <c r="U794" s="2454"/>
      <c r="V794" s="2454"/>
      <c r="W794" s="2454"/>
      <c r="X794" s="2454"/>
      <c r="Y794" s="2454"/>
      <c r="Z794" s="2436">
        <v>7</v>
      </c>
      <c r="AA794" s="2436"/>
      <c r="AB794" s="2436"/>
      <c r="AC794" s="2436"/>
      <c r="AD794" s="2436"/>
      <c r="AE794" s="2436"/>
      <c r="AF794" s="2458"/>
      <c r="AG794" s="2458"/>
      <c r="AH794" s="2458"/>
      <c r="AI794" s="2458"/>
      <c r="AJ794" s="2458"/>
      <c r="AK794" s="2458"/>
      <c r="AL794" s="1593"/>
      <c r="AM794" s="1382"/>
    </row>
    <row r="795" spans="1:81">
      <c r="A795" s="1291"/>
      <c r="B795" s="1292"/>
      <c r="C795" s="2462" t="s">
        <v>1776</v>
      </c>
      <c r="D795" s="2462"/>
      <c r="E795" s="2462"/>
      <c r="F795" s="2462"/>
      <c r="G795" s="2462"/>
      <c r="H795" s="2462"/>
      <c r="I795" s="2462"/>
      <c r="J795" s="2462"/>
      <c r="K795" s="2462"/>
      <c r="L795" s="2462"/>
      <c r="M795" s="2462"/>
      <c r="N795" s="2462"/>
      <c r="O795" s="2462"/>
      <c r="P795" s="2462"/>
      <c r="Q795" s="2462"/>
      <c r="R795" s="2462"/>
      <c r="S795" s="2463"/>
      <c r="T795" s="2454">
        <f>AJ169</f>
        <v>3</v>
      </c>
      <c r="U795" s="2454"/>
      <c r="V795" s="2454"/>
      <c r="W795" s="2454"/>
      <c r="X795" s="2454"/>
      <c r="Y795" s="2454"/>
      <c r="Z795" s="2436">
        <v>3</v>
      </c>
      <c r="AA795" s="2436"/>
      <c r="AB795" s="2436"/>
      <c r="AC795" s="2436"/>
      <c r="AD795" s="2436"/>
      <c r="AE795" s="2436"/>
      <c r="AF795" s="2458"/>
      <c r="AG795" s="2458"/>
      <c r="AH795" s="2458"/>
      <c r="AI795" s="2458"/>
      <c r="AJ795" s="2458"/>
      <c r="AK795" s="2458"/>
      <c r="AL795" s="1593"/>
      <c r="AM795" s="1382"/>
      <c r="AO795" s="1222"/>
    </row>
    <row r="796" spans="1:81">
      <c r="A796" s="1595" t="s">
        <v>1552</v>
      </c>
      <c r="B796" s="2433" t="s">
        <v>1777</v>
      </c>
      <c r="C796" s="2433"/>
      <c r="D796" s="2433"/>
      <c r="E796" s="2433"/>
      <c r="F796" s="2433"/>
      <c r="G796" s="2433"/>
      <c r="H796" s="2433"/>
      <c r="I796" s="2433"/>
      <c r="J796" s="2433"/>
      <c r="K796" s="2433"/>
      <c r="L796" s="2433"/>
      <c r="M796" s="2433"/>
      <c r="N796" s="2433"/>
      <c r="O796" s="2433"/>
      <c r="P796" s="2433"/>
      <c r="Q796" s="2433"/>
      <c r="R796" s="2433"/>
      <c r="S796" s="2434"/>
      <c r="T796" s="2452">
        <f>AK180</f>
        <v>10</v>
      </c>
      <c r="U796" s="2452"/>
      <c r="V796" s="2452"/>
      <c r="W796" s="2452"/>
      <c r="X796" s="2452"/>
      <c r="Y796" s="2452"/>
      <c r="Z796" s="2453">
        <v>10</v>
      </c>
      <c r="AA796" s="2453"/>
      <c r="AB796" s="2453"/>
      <c r="AC796" s="2453"/>
      <c r="AD796" s="2453"/>
      <c r="AE796" s="2453"/>
      <c r="AF796" s="2453">
        <f>IF(T796&gt;Z796,Z796,T796)</f>
        <v>10</v>
      </c>
      <c r="AG796" s="2453"/>
      <c r="AH796" s="2453"/>
      <c r="AI796" s="2453"/>
      <c r="AJ796" s="2453"/>
      <c r="AK796" s="2453"/>
      <c r="AL796" s="1593"/>
      <c r="AM796" s="1382"/>
    </row>
    <row r="797" spans="1:81">
      <c r="A797" s="1594" t="s">
        <v>1561</v>
      </c>
      <c r="B797" s="2433" t="s">
        <v>1562</v>
      </c>
      <c r="C797" s="2433"/>
      <c r="D797" s="2433"/>
      <c r="E797" s="2433"/>
      <c r="F797" s="2433"/>
      <c r="G797" s="2433"/>
      <c r="H797" s="2433"/>
      <c r="I797" s="2433"/>
      <c r="J797" s="2433"/>
      <c r="K797" s="2433"/>
      <c r="L797" s="2433"/>
      <c r="M797" s="2433"/>
      <c r="N797" s="2433"/>
      <c r="O797" s="2433"/>
      <c r="P797" s="2433"/>
      <c r="Q797" s="2433"/>
      <c r="R797" s="2433"/>
      <c r="S797" s="2434"/>
      <c r="T797" s="2452">
        <f>AK262</f>
        <v>8</v>
      </c>
      <c r="U797" s="2452"/>
      <c r="V797" s="2452"/>
      <c r="W797" s="2452"/>
      <c r="X797" s="2452"/>
      <c r="Y797" s="2452"/>
      <c r="Z797" s="2459">
        <v>8</v>
      </c>
      <c r="AA797" s="2460"/>
      <c r="AB797" s="2460"/>
      <c r="AC797" s="2460"/>
      <c r="AD797" s="2460"/>
      <c r="AE797" s="2461"/>
      <c r="AF797" s="2453">
        <f>IF(T797&gt;Z797,Z797,T797)</f>
        <v>8</v>
      </c>
      <c r="AG797" s="2453"/>
      <c r="AH797" s="2453"/>
      <c r="AI797" s="2453"/>
      <c r="AJ797" s="2453"/>
      <c r="AK797" s="2453"/>
      <c r="AL797" s="1593"/>
      <c r="AM797" s="1382"/>
    </row>
    <row r="798" spans="1:81" s="1203" customFormat="1" hidden="1">
      <c r="A798" s="1595" t="s">
        <v>614</v>
      </c>
      <c r="B798" s="2433" t="s">
        <v>1778</v>
      </c>
      <c r="C798" s="2433"/>
      <c r="D798" s="2433"/>
      <c r="E798" s="2433"/>
      <c r="F798" s="2433"/>
      <c r="G798" s="2433"/>
      <c r="H798" s="2433"/>
      <c r="I798" s="2433"/>
      <c r="J798" s="2433"/>
      <c r="K798" s="2433"/>
      <c r="L798" s="2433"/>
      <c r="M798" s="2433"/>
      <c r="N798" s="2433"/>
      <c r="O798" s="2433"/>
      <c r="P798" s="2433"/>
      <c r="Q798" s="2433"/>
      <c r="R798" s="2433"/>
      <c r="S798" s="2434"/>
      <c r="T798" s="2452">
        <f>IF(AK524&gt;5,5,AK524)</f>
        <v>0</v>
      </c>
      <c r="U798" s="2452"/>
      <c r="V798" s="2452"/>
      <c r="W798" s="2452"/>
      <c r="X798" s="2452"/>
      <c r="Y798" s="2452"/>
      <c r="Z798" s="2453">
        <v>5</v>
      </c>
      <c r="AA798" s="2453"/>
      <c r="AB798" s="2453"/>
      <c r="AC798" s="2453"/>
      <c r="AD798" s="2453"/>
      <c r="AE798" s="2453"/>
      <c r="AF798" s="2453">
        <f>IF(T798&gt;Z798,5,T798)</f>
        <v>0</v>
      </c>
      <c r="AG798" s="2453"/>
      <c r="AH798" s="2453"/>
      <c r="AI798" s="2453"/>
      <c r="AJ798" s="2453"/>
      <c r="AK798" s="2453"/>
      <c r="AL798" s="1593"/>
      <c r="AM798" s="1382"/>
      <c r="AO798" s="1204"/>
      <c r="AP798" s="1205"/>
      <c r="AQ798" s="1205"/>
      <c r="AR798" s="1205"/>
      <c r="AS798" s="1205"/>
      <c r="AT798" s="1205"/>
      <c r="AU798" s="1205"/>
      <c r="AV798" s="1205"/>
      <c r="AW798" s="1205"/>
      <c r="AX798" s="1205"/>
      <c r="AY798" s="1205"/>
      <c r="AZ798" s="1205"/>
      <c r="BA798" s="1205"/>
      <c r="BB798" s="1205"/>
      <c r="BC798" s="1205"/>
      <c r="BD798" s="1369"/>
      <c r="BE798" s="1369"/>
      <c r="BF798" s="1369"/>
      <c r="BG798" s="1369"/>
      <c r="BH798" s="1369"/>
      <c r="BI798" s="1205"/>
      <c r="BJ798" s="1205"/>
      <c r="BK798" s="1205"/>
      <c r="BL798" s="1205"/>
      <c r="BM798" s="1205"/>
      <c r="BN798" s="1205"/>
      <c r="BO798" s="1205"/>
      <c r="BP798" s="1205"/>
      <c r="BQ798" s="1205"/>
      <c r="BR798" s="1205"/>
      <c r="BS798" s="1205"/>
      <c r="BT798" s="1205"/>
      <c r="BU798" s="1205"/>
      <c r="BV798" s="1205"/>
      <c r="BW798" s="1205"/>
      <c r="BX798" s="1205"/>
      <c r="BY798" s="1205"/>
      <c r="BZ798" s="1205"/>
      <c r="CA798" s="1205"/>
      <c r="CB798" s="1205"/>
      <c r="CC798" s="1205"/>
    </row>
    <row r="799" spans="1:81" s="1203" customFormat="1">
      <c r="A799" s="1594" t="s">
        <v>1567</v>
      </c>
      <c r="B799" s="2433" t="s">
        <v>1779</v>
      </c>
      <c r="C799" s="2433"/>
      <c r="D799" s="2433"/>
      <c r="E799" s="2433"/>
      <c r="F799" s="2433"/>
      <c r="G799" s="2433"/>
      <c r="H799" s="2433"/>
      <c r="I799" s="2433"/>
      <c r="J799" s="2433"/>
      <c r="K799" s="2433"/>
      <c r="L799" s="2433"/>
      <c r="M799" s="2433"/>
      <c r="N799" s="2433"/>
      <c r="O799" s="2433"/>
      <c r="P799" s="2433"/>
      <c r="Q799" s="2433"/>
      <c r="R799" s="2433"/>
      <c r="S799" s="2434"/>
      <c r="T799" s="2452">
        <f>AK274</f>
        <v>10</v>
      </c>
      <c r="U799" s="2452"/>
      <c r="V799" s="2452"/>
      <c r="W799" s="2452"/>
      <c r="X799" s="2452"/>
      <c r="Y799" s="2452"/>
      <c r="Z799" s="2453">
        <v>10</v>
      </c>
      <c r="AA799" s="2453"/>
      <c r="AB799" s="2453"/>
      <c r="AC799" s="2453"/>
      <c r="AD799" s="2453"/>
      <c r="AE799" s="2453"/>
      <c r="AF799" s="2437">
        <f>IF(T799&gt;Z799,Z799,T799)</f>
        <v>10</v>
      </c>
      <c r="AG799" s="2438"/>
      <c r="AH799" s="2438"/>
      <c r="AI799" s="2438"/>
      <c r="AJ799" s="2438"/>
      <c r="AK799" s="2439"/>
      <c r="AL799" s="1593"/>
      <c r="AM799" s="1382"/>
      <c r="AO799" s="1204"/>
      <c r="AP799" s="1205"/>
      <c r="AQ799" s="1205"/>
      <c r="AR799" s="1205"/>
      <c r="AS799" s="1205"/>
      <c r="AT799" s="1205"/>
      <c r="AU799" s="1205"/>
      <c r="AV799" s="1205"/>
      <c r="AW799" s="1205"/>
      <c r="AX799" s="1205"/>
      <c r="AY799" s="1205"/>
      <c r="AZ799" s="1205"/>
      <c r="BA799" s="1205"/>
      <c r="BB799" s="1205"/>
      <c r="BC799" s="1205"/>
      <c r="BD799" s="1369"/>
      <c r="BE799" s="1369"/>
      <c r="BF799" s="1369"/>
      <c r="BG799" s="1369"/>
      <c r="BH799" s="1369"/>
      <c r="BI799" s="1205"/>
      <c r="BJ799" s="1205"/>
      <c r="BK799" s="1205"/>
      <c r="BL799" s="1205"/>
      <c r="BM799" s="1205"/>
      <c r="BN799" s="1205"/>
      <c r="BO799" s="1205"/>
      <c r="BP799" s="1205"/>
      <c r="BQ799" s="1205"/>
      <c r="BR799" s="1205"/>
      <c r="BS799" s="1205"/>
      <c r="BT799" s="1205"/>
      <c r="BU799" s="1205"/>
      <c r="BV799" s="1205"/>
      <c r="BW799" s="1205"/>
      <c r="BX799" s="1205"/>
      <c r="BY799" s="1205"/>
      <c r="BZ799" s="1205"/>
      <c r="CA799" s="1205"/>
      <c r="CB799" s="1205"/>
      <c r="CC799" s="1205"/>
    </row>
    <row r="800" spans="1:81" s="1203" customFormat="1">
      <c r="A800" s="1595" t="s">
        <v>1571</v>
      </c>
      <c r="B800" s="2433" t="s">
        <v>1572</v>
      </c>
      <c r="C800" s="2433"/>
      <c r="D800" s="2433"/>
      <c r="E800" s="2433"/>
      <c r="F800" s="2433"/>
      <c r="G800" s="2433"/>
      <c r="H800" s="2433"/>
      <c r="I800" s="2433"/>
      <c r="J800" s="2433"/>
      <c r="K800" s="2433"/>
      <c r="L800" s="2433"/>
      <c r="M800" s="2433"/>
      <c r="N800" s="2433"/>
      <c r="O800" s="2433"/>
      <c r="P800" s="2433"/>
      <c r="Q800" s="2433"/>
      <c r="R800" s="2433"/>
      <c r="S800" s="2434"/>
      <c r="T800" s="2452">
        <f>AK327</f>
        <v>9</v>
      </c>
      <c r="U800" s="2452"/>
      <c r="V800" s="2452"/>
      <c r="W800" s="2452"/>
      <c r="X800" s="2452"/>
      <c r="Y800" s="2452"/>
      <c r="Z800" s="2437">
        <v>10</v>
      </c>
      <c r="AA800" s="2438"/>
      <c r="AB800" s="2438"/>
      <c r="AC800" s="2438"/>
      <c r="AD800" s="2438"/>
      <c r="AE800" s="2439"/>
      <c r="AF800" s="2437">
        <f>IF(T800&gt;Z800,Z800,T800)</f>
        <v>9</v>
      </c>
      <c r="AG800" s="2438"/>
      <c r="AH800" s="2438"/>
      <c r="AI800" s="2438"/>
      <c r="AJ800" s="2438"/>
      <c r="AK800" s="2439"/>
      <c r="AL800" s="1210"/>
      <c r="AM800" s="1382"/>
      <c r="AO800" s="1204"/>
      <c r="AP800" s="1205"/>
      <c r="AQ800" s="1205"/>
      <c r="AR800" s="1205"/>
      <c r="AS800" s="1205"/>
      <c r="AT800" s="1205"/>
      <c r="AU800" s="1205"/>
      <c r="AV800" s="1205"/>
      <c r="AW800" s="1205"/>
      <c r="AX800" s="1205"/>
      <c r="AY800" s="1205"/>
      <c r="AZ800" s="1205"/>
      <c r="BA800" s="1205"/>
      <c r="BB800" s="1205"/>
      <c r="BC800" s="1205"/>
      <c r="BD800" s="1369"/>
      <c r="BE800" s="1369"/>
      <c r="BF800" s="1369"/>
      <c r="BG800" s="1369"/>
      <c r="BH800" s="1369"/>
      <c r="BI800" s="1205"/>
      <c r="BJ800" s="1205"/>
      <c r="BK800" s="1205"/>
      <c r="BL800" s="1205"/>
      <c r="BM800" s="1205"/>
      <c r="BN800" s="1205"/>
      <c r="BO800" s="1205"/>
      <c r="BP800" s="1205"/>
      <c r="BQ800" s="1205"/>
      <c r="BR800" s="1205"/>
      <c r="BS800" s="1205"/>
      <c r="BT800" s="1205"/>
      <c r="BU800" s="1205"/>
      <c r="BV800" s="1205"/>
      <c r="BW800" s="1205"/>
      <c r="BX800" s="1205"/>
      <c r="BY800" s="1205"/>
      <c r="BZ800" s="1205"/>
      <c r="CA800" s="1205"/>
      <c r="CB800" s="1205"/>
      <c r="CC800" s="1205"/>
    </row>
    <row r="801" spans="1:81" s="1203" customFormat="1" hidden="1">
      <c r="A801" s="1595"/>
      <c r="B801" s="1596"/>
      <c r="C801" s="1597" t="s">
        <v>1780</v>
      </c>
      <c r="D801" s="1598"/>
      <c r="E801" s="1598"/>
      <c r="F801" s="1598"/>
      <c r="G801" s="1598"/>
      <c r="H801" s="1598"/>
      <c r="I801" s="1598"/>
      <c r="J801" s="1598"/>
      <c r="K801" s="1598"/>
      <c r="L801" s="1598"/>
      <c r="M801" s="1598"/>
      <c r="N801" s="1598"/>
      <c r="O801" s="1598"/>
      <c r="P801" s="1598"/>
      <c r="Q801" s="1598"/>
      <c r="R801" s="1596"/>
      <c r="S801" s="1599"/>
      <c r="T801" s="2454">
        <f>AK327</f>
        <v>9</v>
      </c>
      <c r="U801" s="2454"/>
      <c r="V801" s="2454"/>
      <c r="W801" s="2454"/>
      <c r="X801" s="2454"/>
      <c r="Y801" s="2454"/>
      <c r="Z801" s="2455">
        <v>20</v>
      </c>
      <c r="AA801" s="2456"/>
      <c r="AB801" s="2456"/>
      <c r="AC801" s="2456"/>
      <c r="AD801" s="2456"/>
      <c r="AE801" s="2457"/>
      <c r="AF801" s="2458"/>
      <c r="AG801" s="2458"/>
      <c r="AH801" s="2458"/>
      <c r="AI801" s="2458"/>
      <c r="AJ801" s="2458"/>
      <c r="AK801" s="2458"/>
      <c r="AL801" s="1210"/>
      <c r="AM801" s="1382"/>
      <c r="AO801" s="1204"/>
      <c r="AP801" s="1205"/>
      <c r="AQ801" s="1205"/>
      <c r="AR801" s="1205"/>
      <c r="AS801" s="1205"/>
      <c r="AT801" s="1205"/>
      <c r="AU801" s="1205"/>
      <c r="AV801" s="1205"/>
      <c r="AW801" s="1205"/>
      <c r="AX801" s="1205"/>
      <c r="AY801" s="1205"/>
      <c r="AZ801" s="1205"/>
      <c r="BA801" s="1205"/>
      <c r="BB801" s="1205"/>
      <c r="BC801" s="1205"/>
      <c r="BD801" s="1369"/>
      <c r="BE801" s="1369"/>
      <c r="BF801" s="1369"/>
      <c r="BG801" s="1369"/>
      <c r="BH801" s="1369"/>
      <c r="BI801" s="1205"/>
      <c r="BJ801" s="1205"/>
      <c r="BK801" s="1205"/>
      <c r="BL801" s="1205"/>
      <c r="BM801" s="1205"/>
      <c r="BN801" s="1205"/>
      <c r="BO801" s="1205"/>
      <c r="BP801" s="1205"/>
      <c r="BQ801" s="1205"/>
      <c r="BR801" s="1205"/>
      <c r="BS801" s="1205"/>
      <c r="BT801" s="1205"/>
      <c r="BU801" s="1205"/>
      <c r="BV801" s="1205"/>
      <c r="BW801" s="1205"/>
      <c r="BX801" s="1205"/>
      <c r="BY801" s="1205"/>
      <c r="BZ801" s="1205"/>
      <c r="CA801" s="1205"/>
      <c r="CB801" s="1205"/>
      <c r="CC801" s="1205"/>
    </row>
    <row r="802" spans="1:81" s="1203" customFormat="1">
      <c r="A802" s="1595" t="s">
        <v>1648</v>
      </c>
      <c r="B802" s="2433" t="s">
        <v>890</v>
      </c>
      <c r="C802" s="2433"/>
      <c r="D802" s="2433"/>
      <c r="E802" s="2433"/>
      <c r="F802" s="2433"/>
      <c r="G802" s="2433"/>
      <c r="H802" s="2433"/>
      <c r="I802" s="2433"/>
      <c r="J802" s="2433"/>
      <c r="K802" s="2433"/>
      <c r="L802" s="2433"/>
      <c r="M802" s="2433"/>
      <c r="N802" s="2433"/>
      <c r="O802" s="2433"/>
      <c r="P802" s="2433"/>
      <c r="Q802" s="2433"/>
      <c r="R802" s="2433"/>
      <c r="S802" s="2434"/>
      <c r="T802" s="2452">
        <f>AK458</f>
        <v>10</v>
      </c>
      <c r="U802" s="2452"/>
      <c r="V802" s="2452"/>
      <c r="W802" s="2452"/>
      <c r="X802" s="2452"/>
      <c r="Y802" s="2452"/>
      <c r="Z802" s="2437">
        <v>10</v>
      </c>
      <c r="AA802" s="2438"/>
      <c r="AB802" s="2438"/>
      <c r="AC802" s="2438"/>
      <c r="AD802" s="2438"/>
      <c r="AE802" s="2439"/>
      <c r="AF802" s="2453">
        <f>IF(T802&gt;Z802,Z802,T802)</f>
        <v>10</v>
      </c>
      <c r="AG802" s="2453"/>
      <c r="AH802" s="2453"/>
      <c r="AI802" s="2453"/>
      <c r="AJ802" s="2453"/>
      <c r="AK802" s="2453"/>
      <c r="AL802" s="1210"/>
      <c r="AM802" s="1382"/>
      <c r="AO802" s="1204"/>
      <c r="AP802" s="1205"/>
      <c r="AQ802" s="1205"/>
      <c r="AR802" s="1205"/>
      <c r="AS802" s="1205"/>
      <c r="AT802" s="1205"/>
      <c r="AU802" s="1205"/>
      <c r="AV802" s="1205"/>
      <c r="AW802" s="1205"/>
      <c r="AX802" s="1205"/>
      <c r="AY802" s="1205"/>
      <c r="AZ802" s="1205"/>
      <c r="BA802" s="1205"/>
      <c r="BB802" s="1205"/>
      <c r="BC802" s="1205"/>
      <c r="BD802" s="1369"/>
      <c r="BE802" s="1369"/>
      <c r="BF802" s="1369"/>
      <c r="BG802" s="1369"/>
      <c r="BH802" s="1369"/>
      <c r="BI802" s="1205"/>
      <c r="BJ802" s="1205"/>
      <c r="BK802" s="1205"/>
      <c r="BL802" s="1205"/>
      <c r="BM802" s="1205"/>
      <c r="BN802" s="1205"/>
      <c r="BO802" s="1205"/>
      <c r="BP802" s="1205"/>
      <c r="BQ802" s="1205"/>
      <c r="BR802" s="1205"/>
      <c r="BS802" s="1205"/>
      <c r="BT802" s="1205"/>
      <c r="BU802" s="1205"/>
      <c r="BV802" s="1205"/>
      <c r="BW802" s="1205"/>
      <c r="BX802" s="1205"/>
      <c r="BY802" s="1205"/>
      <c r="BZ802" s="1205"/>
      <c r="CA802" s="1205"/>
      <c r="CB802" s="1205"/>
      <c r="CC802" s="1205"/>
    </row>
    <row r="803" spans="1:81" s="1203" customFormat="1">
      <c r="A803" s="1595" t="s">
        <v>1758</v>
      </c>
      <c r="B803" s="2433" t="s">
        <v>1759</v>
      </c>
      <c r="C803" s="2433"/>
      <c r="D803" s="2433"/>
      <c r="E803" s="2433"/>
      <c r="F803" s="2433"/>
      <c r="G803" s="2433"/>
      <c r="H803" s="2433"/>
      <c r="I803" s="2433"/>
      <c r="J803" s="2433"/>
      <c r="K803" s="2433"/>
      <c r="L803" s="2433"/>
      <c r="M803" s="2433"/>
      <c r="N803" s="2433"/>
      <c r="O803" s="2433"/>
      <c r="P803" s="2433"/>
      <c r="Q803" s="2433"/>
      <c r="R803" s="2433"/>
      <c r="S803" s="2434"/>
      <c r="T803" s="2452">
        <f>AK548</f>
        <v>12</v>
      </c>
      <c r="U803" s="2452"/>
      <c r="V803" s="2452"/>
      <c r="W803" s="2452"/>
      <c r="X803" s="2452"/>
      <c r="Y803" s="2452"/>
      <c r="Z803" s="2437">
        <v>12</v>
      </c>
      <c r="AA803" s="2438"/>
      <c r="AB803" s="2438"/>
      <c r="AC803" s="2438"/>
      <c r="AD803" s="2438"/>
      <c r="AE803" s="2439"/>
      <c r="AF803" s="2453">
        <f>IF(T803&gt;Z803,Z803,T803)</f>
        <v>12</v>
      </c>
      <c r="AG803" s="2453"/>
      <c r="AH803" s="2453"/>
      <c r="AI803" s="2453"/>
      <c r="AJ803" s="2453"/>
      <c r="AK803" s="2453"/>
      <c r="AL803" s="1210"/>
      <c r="AM803" s="1382"/>
      <c r="AO803" s="1204"/>
      <c r="AP803" s="1205"/>
      <c r="AQ803" s="1205"/>
      <c r="AR803" s="1205"/>
      <c r="AS803" s="1205"/>
      <c r="AT803" s="1205"/>
      <c r="AU803" s="1205"/>
      <c r="AV803" s="1205"/>
      <c r="AW803" s="1205"/>
      <c r="AX803" s="1205"/>
      <c r="AY803" s="1205"/>
      <c r="AZ803" s="1205"/>
      <c r="BA803" s="1205"/>
      <c r="BB803" s="1205"/>
      <c r="BC803" s="1205"/>
      <c r="BD803" s="1369"/>
      <c r="BE803" s="1369"/>
      <c r="BF803" s="1369"/>
      <c r="BG803" s="1369"/>
      <c r="BH803" s="1369"/>
      <c r="BI803" s="1205"/>
      <c r="BJ803" s="1205"/>
      <c r="BK803" s="1205"/>
      <c r="BL803" s="1205"/>
      <c r="BM803" s="1205"/>
      <c r="BN803" s="1205"/>
      <c r="BO803" s="1205"/>
      <c r="BP803" s="1205"/>
      <c r="BQ803" s="1205"/>
      <c r="BR803" s="1205"/>
      <c r="BS803" s="1205"/>
      <c r="BT803" s="1205"/>
      <c r="BU803" s="1205"/>
      <c r="BV803" s="1205"/>
      <c r="BW803" s="1205"/>
      <c r="BX803" s="1205"/>
      <c r="BY803" s="1205"/>
      <c r="BZ803" s="1205"/>
      <c r="CA803" s="1205"/>
      <c r="CB803" s="1205"/>
      <c r="CC803" s="1205"/>
    </row>
    <row r="804" spans="1:81" s="1203" customFormat="1">
      <c r="A804" s="1595" t="s">
        <v>2724</v>
      </c>
      <c r="B804" s="2433" t="s">
        <v>1781</v>
      </c>
      <c r="C804" s="2433"/>
      <c r="D804" s="2433"/>
      <c r="E804" s="2433"/>
      <c r="F804" s="2433"/>
      <c r="G804" s="2433"/>
      <c r="H804" s="2433"/>
      <c r="I804" s="2433"/>
      <c r="J804" s="2433"/>
      <c r="K804" s="2433"/>
      <c r="L804" s="2433"/>
      <c r="M804" s="2433"/>
      <c r="N804" s="2433"/>
      <c r="O804" s="2433"/>
      <c r="P804" s="2433"/>
      <c r="Q804" s="2433"/>
      <c r="R804" s="2433"/>
      <c r="S804" s="2434"/>
      <c r="T804" s="2452">
        <f>AK779</f>
        <v>10</v>
      </c>
      <c r="U804" s="2452"/>
      <c r="V804" s="2452"/>
      <c r="W804" s="2452"/>
      <c r="X804" s="2452"/>
      <c r="Y804" s="2452"/>
      <c r="Z804" s="2437">
        <v>10</v>
      </c>
      <c r="AA804" s="2438"/>
      <c r="AB804" s="2438"/>
      <c r="AC804" s="2438"/>
      <c r="AD804" s="2438"/>
      <c r="AE804" s="2439"/>
      <c r="AF804" s="2453">
        <f>IF(T804&gt;Z804,Z804,T804)</f>
        <v>10</v>
      </c>
      <c r="AG804" s="2453"/>
      <c r="AH804" s="2453"/>
      <c r="AI804" s="2453"/>
      <c r="AJ804" s="2453"/>
      <c r="AK804" s="2453"/>
      <c r="AL804" s="1210"/>
      <c r="AM804" s="1382"/>
      <c r="AO804" s="1204"/>
      <c r="AP804" s="1205"/>
      <c r="AQ804" s="1205"/>
      <c r="AR804" s="1205"/>
      <c r="AS804" s="1205"/>
      <c r="AT804" s="1205"/>
      <c r="AU804" s="1205"/>
      <c r="AV804" s="1205"/>
      <c r="AW804" s="1205"/>
      <c r="AX804" s="1205"/>
      <c r="AY804" s="1205"/>
      <c r="AZ804" s="1205"/>
      <c r="BA804" s="1205"/>
      <c r="BB804" s="1205"/>
      <c r="BC804" s="1205"/>
      <c r="BD804" s="1369"/>
      <c r="BE804" s="1369"/>
      <c r="BF804" s="1369"/>
      <c r="BG804" s="1369"/>
      <c r="BH804" s="1369"/>
      <c r="BI804" s="1205"/>
      <c r="BJ804" s="1205"/>
      <c r="BK804" s="1205"/>
      <c r="BL804" s="1205"/>
      <c r="BM804" s="1205"/>
      <c r="BN804" s="1205"/>
      <c r="BO804" s="1205"/>
      <c r="BP804" s="1205"/>
      <c r="BQ804" s="1205"/>
      <c r="BR804" s="1205"/>
      <c r="BS804" s="1205"/>
      <c r="BT804" s="1205"/>
      <c r="BU804" s="1205"/>
      <c r="BV804" s="1205"/>
      <c r="BW804" s="1205"/>
      <c r="BX804" s="1205"/>
      <c r="BY804" s="1205"/>
      <c r="BZ804" s="1205"/>
      <c r="CA804" s="1205"/>
      <c r="CB804" s="1205"/>
      <c r="CC804" s="1205"/>
    </row>
    <row r="805" spans="1:81" s="1203" customFormat="1">
      <c r="A805" s="2432" t="s">
        <v>1782</v>
      </c>
      <c r="B805" s="2433"/>
      <c r="C805" s="2433"/>
      <c r="D805" s="2433"/>
      <c r="E805" s="2433"/>
      <c r="F805" s="2433"/>
      <c r="G805" s="2433"/>
      <c r="H805" s="2433"/>
      <c r="I805" s="2433"/>
      <c r="J805" s="2433"/>
      <c r="K805" s="2433"/>
      <c r="L805" s="2433"/>
      <c r="M805" s="2433"/>
      <c r="N805" s="2433"/>
      <c r="O805" s="2433"/>
      <c r="P805" s="2433"/>
      <c r="Q805" s="2433"/>
      <c r="R805" s="2433"/>
      <c r="S805" s="2434"/>
      <c r="T805" s="2435"/>
      <c r="U805" s="2435"/>
      <c r="V805" s="2435"/>
      <c r="W805" s="2435"/>
      <c r="X805" s="2435"/>
      <c r="Y805" s="2435"/>
      <c r="Z805" s="2436" t="s">
        <v>1783</v>
      </c>
      <c r="AA805" s="2436"/>
      <c r="AB805" s="2436"/>
      <c r="AC805" s="2436"/>
      <c r="AD805" s="2436"/>
      <c r="AE805" s="2436"/>
      <c r="AF805" s="2437">
        <f>IF(T805&gt;0,T805,0)</f>
        <v>0</v>
      </c>
      <c r="AG805" s="2438"/>
      <c r="AH805" s="2438"/>
      <c r="AI805" s="2438"/>
      <c r="AJ805" s="2438"/>
      <c r="AK805" s="2439"/>
      <c r="AL805" s="1286"/>
      <c r="AM805" s="1382"/>
      <c r="AO805" s="1204"/>
      <c r="AP805" s="1205"/>
      <c r="AQ805" s="1205"/>
      <c r="AR805" s="1205"/>
      <c r="AS805" s="1205"/>
      <c r="AT805" s="1205"/>
      <c r="AU805" s="1205"/>
      <c r="AV805" s="1205"/>
      <c r="AW805" s="1205"/>
      <c r="AX805" s="1205"/>
      <c r="AY805" s="1205"/>
      <c r="AZ805" s="1205"/>
      <c r="BA805" s="1205"/>
      <c r="BB805" s="1205"/>
      <c r="BC805" s="1205"/>
      <c r="BD805" s="1369"/>
      <c r="BE805" s="1369"/>
      <c r="BF805" s="1369"/>
      <c r="BG805" s="1369"/>
      <c r="BH805" s="1369"/>
      <c r="BI805" s="1205"/>
      <c r="BJ805" s="1205"/>
      <c r="BK805" s="1205"/>
      <c r="BL805" s="1205"/>
      <c r="BM805" s="1205"/>
      <c r="BN805" s="1205"/>
      <c r="BO805" s="1205"/>
      <c r="BP805" s="1205"/>
      <c r="BQ805" s="1205"/>
      <c r="BR805" s="1205"/>
      <c r="BS805" s="1205"/>
      <c r="BT805" s="1205"/>
      <c r="BU805" s="1205"/>
      <c r="BV805" s="1205"/>
      <c r="BW805" s="1205"/>
      <c r="BX805" s="1205"/>
      <c r="BY805" s="1205"/>
      <c r="BZ805" s="1205"/>
      <c r="CA805" s="1205"/>
      <c r="CB805" s="1205"/>
      <c r="CC805" s="1205"/>
    </row>
    <row r="806" spans="1:81" s="1203" customFormat="1" ht="15.6">
      <c r="A806" s="2440" t="s">
        <v>1784</v>
      </c>
      <c r="B806" s="2441"/>
      <c r="C806" s="2441"/>
      <c r="D806" s="2441"/>
      <c r="E806" s="2441"/>
      <c r="F806" s="2441"/>
      <c r="G806" s="2441"/>
      <c r="H806" s="2441"/>
      <c r="I806" s="2441"/>
      <c r="J806" s="2441"/>
      <c r="K806" s="2441"/>
      <c r="L806" s="2441"/>
      <c r="M806" s="2441"/>
      <c r="N806" s="2441"/>
      <c r="O806" s="2441"/>
      <c r="P806" s="2441"/>
      <c r="Q806" s="2441"/>
      <c r="R806" s="2441"/>
      <c r="S806" s="2441"/>
      <c r="T806" s="2441"/>
      <c r="U806" s="2441"/>
      <c r="V806" s="2441"/>
      <c r="W806" s="2441"/>
      <c r="X806" s="2441"/>
      <c r="Y806" s="2441"/>
      <c r="Z806" s="2441"/>
      <c r="AA806" s="2441"/>
      <c r="AB806" s="2441"/>
      <c r="AC806" s="2441"/>
      <c r="AD806" s="2441"/>
      <c r="AE806" s="2442"/>
      <c r="AF806" s="2446">
        <f ca="1">SUM(AF789:AK804)-AF805</f>
        <v>119</v>
      </c>
      <c r="AG806" s="2447"/>
      <c r="AH806" s="2447"/>
      <c r="AI806" s="2447"/>
      <c r="AJ806" s="2447"/>
      <c r="AK806" s="2448"/>
      <c r="AL806" s="1600"/>
      <c r="AM806" s="1222"/>
      <c r="AO806" s="1204"/>
      <c r="AP806" s="1205"/>
      <c r="AQ806" s="1205"/>
      <c r="AR806" s="1205"/>
      <c r="AS806" s="1205"/>
      <c r="AT806" s="1205"/>
      <c r="AU806" s="1205"/>
      <c r="AV806" s="1205"/>
      <c r="AW806" s="1205"/>
      <c r="AX806" s="1205"/>
      <c r="AY806" s="1205"/>
      <c r="AZ806" s="1205"/>
      <c r="BA806" s="1205"/>
      <c r="BB806" s="1205"/>
      <c r="BC806" s="1205"/>
      <c r="BD806" s="1369"/>
      <c r="BE806" s="1369"/>
      <c r="BF806" s="1369"/>
      <c r="BG806" s="1369"/>
      <c r="BH806" s="1369"/>
      <c r="BI806" s="1205"/>
      <c r="BJ806" s="1205"/>
      <c r="BK806" s="1205"/>
      <c r="BL806" s="1205"/>
      <c r="BM806" s="1205"/>
      <c r="BN806" s="1205"/>
      <c r="BO806" s="1205"/>
      <c r="BP806" s="1205"/>
      <c r="BQ806" s="1205"/>
      <c r="BR806" s="1205"/>
      <c r="BS806" s="1205"/>
      <c r="BT806" s="1205"/>
      <c r="BU806" s="1205"/>
      <c r="BV806" s="1205"/>
      <c r="BW806" s="1205"/>
      <c r="BX806" s="1205"/>
      <c r="BY806" s="1205"/>
      <c r="BZ806" s="1205"/>
      <c r="CA806" s="1205"/>
      <c r="CB806" s="1205"/>
      <c r="CC806" s="1205"/>
    </row>
    <row r="807" spans="1:81" s="1203" customFormat="1" ht="15.6">
      <c r="A807" s="2443"/>
      <c r="B807" s="2444"/>
      <c r="C807" s="2444"/>
      <c r="D807" s="2444"/>
      <c r="E807" s="2444"/>
      <c r="F807" s="2444"/>
      <c r="G807" s="2444"/>
      <c r="H807" s="2444"/>
      <c r="I807" s="2444"/>
      <c r="J807" s="2444"/>
      <c r="K807" s="2444"/>
      <c r="L807" s="2444"/>
      <c r="M807" s="2444"/>
      <c r="N807" s="2444"/>
      <c r="O807" s="2444"/>
      <c r="P807" s="2444"/>
      <c r="Q807" s="2444"/>
      <c r="R807" s="2444"/>
      <c r="S807" s="2444"/>
      <c r="T807" s="2444"/>
      <c r="U807" s="2444"/>
      <c r="V807" s="2444"/>
      <c r="W807" s="2444"/>
      <c r="X807" s="2444"/>
      <c r="Y807" s="2444"/>
      <c r="Z807" s="2444"/>
      <c r="AA807" s="2444"/>
      <c r="AB807" s="2444"/>
      <c r="AC807" s="2444"/>
      <c r="AD807" s="2444"/>
      <c r="AE807" s="2445"/>
      <c r="AF807" s="2449"/>
      <c r="AG807" s="2450"/>
      <c r="AH807" s="2450"/>
      <c r="AI807" s="2450"/>
      <c r="AJ807" s="2450"/>
      <c r="AK807" s="2451"/>
      <c r="AL807" s="1600"/>
      <c r="AM807" s="1222"/>
      <c r="AO807" s="1204"/>
      <c r="AP807" s="1205"/>
      <c r="AQ807" s="1205"/>
      <c r="AR807" s="1205"/>
      <c r="AS807" s="1205"/>
      <c r="AT807" s="1205"/>
      <c r="AU807" s="1205"/>
      <c r="AV807" s="1205"/>
      <c r="AW807" s="1205"/>
      <c r="AX807" s="1205"/>
      <c r="AY807" s="1205"/>
      <c r="AZ807" s="1205"/>
      <c r="BA807" s="1205"/>
      <c r="BB807" s="1205"/>
      <c r="BC807" s="1205"/>
      <c r="BD807" s="1369"/>
      <c r="BE807" s="1369"/>
      <c r="BF807" s="1369"/>
      <c r="BG807" s="1369"/>
      <c r="BH807" s="1369"/>
      <c r="BI807" s="1205"/>
      <c r="BJ807" s="1205"/>
      <c r="BK807" s="1205"/>
      <c r="BL807" s="1205"/>
      <c r="BM807" s="1205"/>
      <c r="BN807" s="1205"/>
      <c r="BO807" s="1205"/>
      <c r="BP807" s="1205"/>
      <c r="BQ807" s="1205"/>
      <c r="BR807" s="1205"/>
      <c r="BS807" s="1205"/>
      <c r="BT807" s="1205"/>
      <c r="BU807" s="1205"/>
      <c r="BV807" s="1205"/>
      <c r="BW807" s="1205"/>
      <c r="BX807" s="1205"/>
      <c r="BY807" s="1205"/>
      <c r="BZ807" s="1205"/>
      <c r="CA807" s="1205"/>
      <c r="CB807" s="1205"/>
      <c r="CC807" s="1205"/>
    </row>
    <row r="808" spans="1:81" s="1203" customFormat="1">
      <c r="A808" s="1317"/>
      <c r="B808" s="1317"/>
      <c r="C808" s="1317"/>
      <c r="D808" s="1317"/>
      <c r="E808" s="1317"/>
      <c r="F808" s="1317"/>
      <c r="G808" s="1317"/>
      <c r="H808" s="1317"/>
      <c r="I808" s="1317"/>
      <c r="J808" s="1317"/>
      <c r="K808" s="1317"/>
      <c r="L808" s="1317"/>
      <c r="M808" s="1317"/>
      <c r="N808" s="1317"/>
      <c r="O808" s="1317"/>
      <c r="P808" s="1317"/>
      <c r="Q808" s="1317"/>
      <c r="R808" s="1317"/>
      <c r="S808" s="1317"/>
      <c r="T808" s="1317"/>
      <c r="U808" s="1317"/>
      <c r="V808" s="1317"/>
      <c r="W808" s="1317"/>
      <c r="X808" s="1317"/>
      <c r="Y808" s="1317"/>
      <c r="Z808" s="1317"/>
      <c r="AA808" s="1317"/>
      <c r="AB808" s="1317"/>
      <c r="AC808" s="1317"/>
      <c r="AD808" s="1317"/>
      <c r="AE808" s="1317"/>
      <c r="AF808" s="1317"/>
      <c r="AG808" s="1317"/>
      <c r="AH808" s="1317"/>
      <c r="AI808" s="1317"/>
      <c r="AJ808" s="1317"/>
      <c r="AK808" s="1317"/>
      <c r="AL808" s="1317"/>
      <c r="AM808" s="1426"/>
      <c r="AO808" s="1204"/>
      <c r="AP808" s="1205"/>
      <c r="AQ808" s="1205"/>
      <c r="AR808" s="1205"/>
      <c r="AS808" s="1205"/>
      <c r="AT808" s="1205"/>
      <c r="AU808" s="1205"/>
      <c r="AV808" s="1205"/>
      <c r="AW808" s="1205"/>
      <c r="AX808" s="1205"/>
      <c r="AY808" s="1205"/>
      <c r="AZ808" s="1205"/>
      <c r="BA808" s="1205"/>
      <c r="BB808" s="1205"/>
      <c r="BC808" s="1205"/>
      <c r="BD808" s="1369"/>
      <c r="BE808" s="1369"/>
      <c r="BF808" s="1369"/>
      <c r="BG808" s="1369"/>
      <c r="BH808" s="1369"/>
      <c r="BI808" s="1205"/>
      <c r="BJ808" s="1205"/>
      <c r="BK808" s="1205"/>
      <c r="BL808" s="1205"/>
      <c r="BM808" s="1205"/>
      <c r="BN808" s="1205"/>
      <c r="BO808" s="1205"/>
      <c r="BP808" s="1205"/>
      <c r="BQ808" s="1205"/>
      <c r="BR808" s="1205"/>
      <c r="BS808" s="1205"/>
      <c r="BT808" s="1205"/>
      <c r="BU808" s="1205"/>
      <c r="BV808" s="1205"/>
      <c r="BW808" s="1205"/>
      <c r="BX808" s="1205"/>
      <c r="BY808" s="1205"/>
      <c r="BZ808" s="1205"/>
      <c r="CA808" s="1205"/>
      <c r="CB808" s="1205"/>
      <c r="CC808" s="1205"/>
    </row>
    <row r="809" spans="1:81"/>
  </sheetData>
  <sheetProtection algorithmName="SHA-512" hashValue="nKBawsWIhxj0lqri/jwODdMy+YMng5qWLmmnPZi6rmGDbDV8tA3k2OX+2h+j7B7cebhxfFxgoG2duD5rbRj7iQ==" saltValue="K+oR1zdPdFIZEknr7jmeNg==" spinCount="100000" sheet="1" objects="1" scenarios="1"/>
  <mergeCells count="493">
    <mergeCell ref="E20:AJ20"/>
    <mergeCell ref="B22:C22"/>
    <mergeCell ref="E22:AJ23"/>
    <mergeCell ref="B25:C25"/>
    <mergeCell ref="E25:AJ26"/>
    <mergeCell ref="B30:C30"/>
    <mergeCell ref="E30:AJ31"/>
    <mergeCell ref="A1:AM2"/>
    <mergeCell ref="AE7:AK7"/>
    <mergeCell ref="B13:C13"/>
    <mergeCell ref="AG13:AJ13"/>
    <mergeCell ref="B16:C16"/>
    <mergeCell ref="E16:AJ18"/>
    <mergeCell ref="B50:C50"/>
    <mergeCell ref="E50:AJ50"/>
    <mergeCell ref="B52:C52"/>
    <mergeCell ref="E52:AJ53"/>
    <mergeCell ref="AK56:AM56"/>
    <mergeCell ref="AE59:AK59"/>
    <mergeCell ref="B33:C33"/>
    <mergeCell ref="E33:AJ35"/>
    <mergeCell ref="B39:C39"/>
    <mergeCell ref="E39:AJ41"/>
    <mergeCell ref="B46:C46"/>
    <mergeCell ref="E46:AJ48"/>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AK103:AM103"/>
    <mergeCell ref="AE106:AK106"/>
    <mergeCell ref="B109:C109"/>
    <mergeCell ref="E109:AJ116"/>
    <mergeCell ref="E87:H87"/>
    <mergeCell ref="E88:H88"/>
    <mergeCell ref="E89:H89"/>
    <mergeCell ref="B92:C92"/>
    <mergeCell ref="E92:AJ95"/>
    <mergeCell ref="E97:H97"/>
    <mergeCell ref="E118:H118"/>
    <mergeCell ref="J118:M118"/>
    <mergeCell ref="O118:R118"/>
    <mergeCell ref="T118:W118"/>
    <mergeCell ref="Y118:AB118"/>
    <mergeCell ref="AD118:AG118"/>
    <mergeCell ref="E98:H98"/>
    <mergeCell ref="E99:H99"/>
    <mergeCell ref="E100:H100"/>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91:AB191"/>
    <mergeCell ref="AD191:AJ191"/>
    <mergeCell ref="B192:AB192"/>
    <mergeCell ref="AD192:AJ192"/>
    <mergeCell ref="B193:AB193"/>
    <mergeCell ref="AD193:AJ193"/>
    <mergeCell ref="AD188:AJ188"/>
    <mergeCell ref="B189:AB189"/>
    <mergeCell ref="AD189:AJ189"/>
    <mergeCell ref="B190:AB190"/>
    <mergeCell ref="AD190:AJ190"/>
    <mergeCell ref="B188:AB188"/>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AD200:AJ200"/>
    <mergeCell ref="I211:K211"/>
    <mergeCell ref="T211:Y211"/>
    <mergeCell ref="AB211:AG211"/>
    <mergeCell ref="B212:G212"/>
    <mergeCell ref="I212:K212"/>
    <mergeCell ref="N212:R212"/>
    <mergeCell ref="T212:Y212"/>
    <mergeCell ref="AB212:AG212"/>
    <mergeCell ref="B213:G213"/>
    <mergeCell ref="I213:K213"/>
    <mergeCell ref="N213:R213"/>
    <mergeCell ref="T213:Y213"/>
    <mergeCell ref="AB213:AG213"/>
    <mergeCell ref="B214:G214"/>
    <mergeCell ref="I214:K214"/>
    <mergeCell ref="N214:R214"/>
    <mergeCell ref="T214:Y214"/>
    <mergeCell ref="AB214:AG214"/>
    <mergeCell ref="B215:G215"/>
    <mergeCell ref="I215:K215"/>
    <mergeCell ref="N215:R215"/>
    <mergeCell ref="T215:Y215"/>
    <mergeCell ref="AB215:AG215"/>
    <mergeCell ref="B216:G216"/>
    <mergeCell ref="I216:K216"/>
    <mergeCell ref="N216:R216"/>
    <mergeCell ref="T216:Y216"/>
    <mergeCell ref="AB216:AG216"/>
    <mergeCell ref="B217:G217"/>
    <mergeCell ref="I217:K217"/>
    <mergeCell ref="N217:R217"/>
    <mergeCell ref="T217:Y217"/>
    <mergeCell ref="AB217:AG217"/>
    <mergeCell ref="B218:G218"/>
    <mergeCell ref="I218:K218"/>
    <mergeCell ref="N218:R218"/>
    <mergeCell ref="T218:Y218"/>
    <mergeCell ref="AB218:AG218"/>
    <mergeCell ref="B219:G219"/>
    <mergeCell ref="I219:K219"/>
    <mergeCell ref="N219:R219"/>
    <mergeCell ref="T219:Y219"/>
    <mergeCell ref="AB219:AG219"/>
    <mergeCell ref="B220:G220"/>
    <mergeCell ref="I220:K220"/>
    <mergeCell ref="N220:R220"/>
    <mergeCell ref="T220:Y220"/>
    <mergeCell ref="AB220:AG220"/>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s>
  <conditionalFormatting sqref="AG805:AL805 T793:AK793 AQ435:AQ437 AN444:AN448 AP434 AG796:AK796 T805:AE805 T802:Z802 Z803:Z804 T794:AF796 T804:Y804 AF804:AF806 T801:AF801 T798:AK800">
    <cfRule type="expression" dxfId="30" priority="12" stopIfTrue="1">
      <formula>ISERROR(T434)</formula>
    </cfRule>
  </conditionalFormatting>
  <conditionalFormatting sqref="AP460">
    <cfRule type="expression" dxfId="29" priority="11" stopIfTrue="1">
      <formula>ISERROR(AP460)</formula>
    </cfRule>
  </conditionalFormatting>
  <conditionalFormatting sqref="AF802:AK802">
    <cfRule type="expression" dxfId="28" priority="10" stopIfTrue="1">
      <formula>ISERROR(AF802)</formula>
    </cfRule>
  </conditionalFormatting>
  <conditionalFormatting sqref="T803:Y804">
    <cfRule type="expression" dxfId="27" priority="9" stopIfTrue="1">
      <formula>ISERROR(T803)</formula>
    </cfRule>
  </conditionalFormatting>
  <conditionalFormatting sqref="AF803:AK804">
    <cfRule type="expression" dxfId="26" priority="8" stopIfTrue="1">
      <formula>ISERROR(AF803)</formula>
    </cfRule>
  </conditionalFormatting>
  <conditionalFormatting sqref="AF797:AK797">
    <cfRule type="expression" dxfId="25" priority="7" stopIfTrue="1">
      <formula>ISERROR(AF797)</formula>
    </cfRule>
  </conditionalFormatting>
  <conditionalFormatting sqref="T797:Y797">
    <cfRule type="expression" dxfId="24" priority="6" stopIfTrue="1">
      <formula>ISERROR(T797)</formula>
    </cfRule>
  </conditionalFormatting>
  <conditionalFormatting sqref="AF792:AK792">
    <cfRule type="expression" dxfId="23" priority="5" stopIfTrue="1">
      <formula>ISERROR(AF792)</formula>
    </cfRule>
  </conditionalFormatting>
  <conditionalFormatting sqref="AF791:AK791">
    <cfRule type="expression" dxfId="22" priority="4" stopIfTrue="1">
      <formula>ISERROR(AF791)</formula>
    </cfRule>
  </conditionalFormatting>
  <conditionalFormatting sqref="AF790:AK790">
    <cfRule type="expression" dxfId="21" priority="3" stopIfTrue="1">
      <formula>ISERROR(AF790)</formula>
    </cfRule>
  </conditionalFormatting>
  <conditionalFormatting sqref="AF789:AK789">
    <cfRule type="expression" dxfId="20" priority="2" stopIfTrue="1">
      <formula>ISERROR(AF789)</formula>
    </cfRule>
  </conditionalFormatting>
  <conditionalFormatting sqref="Z804">
    <cfRule type="expression" dxfId="19" priority="1" stopIfTrue="1">
      <formula>ISERROR(Z804)</formula>
    </cfRule>
  </conditionalFormatting>
  <dataValidations count="33">
    <dataValidation type="list" allowBlank="1" showInputMessage="1" showErrorMessage="1" sqref="C281:D281" xr:uid="{54FFFE3E-DA5C-4403-B875-34CECE90A956}">
      <formula1>"N/A, Yes, 50% Met"</formula1>
    </dataValidation>
    <dataValidation type="list" allowBlank="1" showInputMessage="1" showErrorMessage="1" sqref="H674:I674" xr:uid="{648E0331-9314-4723-A090-E64E805A358F}">
      <formula1>$AO$622:$AO$629</formula1>
    </dataValidation>
    <dataValidation type="list" allowBlank="1" showInputMessage="1" showErrorMessage="1" sqref="F305:AD309" xr:uid="{6B206DD3-0C8C-47C4-B932-72E9328BA59C}">
      <formula1>$AP$300:$AP$303</formula1>
    </dataValidation>
    <dataValidation type="list" allowBlank="1" showInputMessage="1" showErrorMessage="1" sqref="I603" xr:uid="{EFE8E617-11C6-427F-8839-65DB62DFD643}">
      <formula1>$AO$602:$AO$604</formula1>
    </dataValidation>
    <dataValidation type="list" allowBlank="1" showInputMessage="1" showErrorMessage="1" sqref="H595:I601" xr:uid="{7EED0C10-B599-4DE7-A505-0E1F57C77311}">
      <formula1>$AO$575:$AO$580</formula1>
    </dataValidation>
    <dataValidation type="list" allowBlank="1" showInputMessage="1" showErrorMessage="1" sqref="H764:I764" xr:uid="{B7A87DF2-8491-4FB1-A392-70402BF43167}">
      <formula1>$AP$705:$AP$707</formula1>
    </dataValidation>
    <dataValidation type="list" allowBlank="1" showInputMessage="1" showErrorMessage="1" sqref="C160:AD160" xr:uid="{71E2747F-C319-449E-93E5-5B05D3D44C14}">
      <formula1>$AO$159:$AO$164</formula1>
    </dataValidation>
    <dataValidation type="list" allowBlank="1" showInputMessage="1" showErrorMessage="1" sqref="C159:AI159" xr:uid="{EC9802DE-DBE5-4120-B62B-DC8F338CBE7F}">
      <formula1>$AO$159:$AO$162</formula1>
    </dataValidation>
    <dataValidation type="list" allowBlank="1" showInputMessage="1" showErrorMessage="1" sqref="C163:AD163" xr:uid="{958C6A2B-4BCE-4E21-8000-F8980EEEA82D}">
      <formula1>$AO$166:$AO$168</formula1>
    </dataValidation>
    <dataValidation type="list" allowBlank="1" showInputMessage="1" showErrorMessage="1" sqref="O590" xr:uid="{2E58EA38-893C-4C71-8C55-2D0F3E10C665}">
      <formula1>"(select),Dial-a-ride service,Project-operated van service"</formula1>
    </dataValidation>
    <dataValidation type="list" allowBlank="1" showInputMessage="1" showErrorMessage="1" sqref="I313" xr:uid="{D2C82EEF-1110-414B-9B22-17434DC9889A}">
      <formula1>$AP$312:$AP$316</formula1>
    </dataValidation>
    <dataValidation type="list" allowBlank="1" showInputMessage="1" showErrorMessage="1" sqref="I318:AD320" xr:uid="{0A0CC5F4-8687-4A2F-8C41-C663DFF1E369}">
      <formula1>$AP$319:$AP$321</formula1>
    </dataValidation>
    <dataValidation type="list" allowBlank="1" showInputMessage="1" showErrorMessage="1" sqref="B213:G222" xr:uid="{BE855015-883F-4787-869A-AC9B50CF3C48}">
      <formula1>"(select),SRO/Studio,1 bedroom,2 bedroom,3 bedroom,4 bedroom,5 bedroom"</formula1>
    </dataValidation>
    <dataValidation type="list" allowBlank="1" showInputMessage="1" showErrorMessage="1" sqref="H775:I775" xr:uid="{A4999234-2E6F-4FF3-97F5-0463F4E39C68}">
      <formula1>$AO$769:$AO$770</formula1>
    </dataValidation>
    <dataValidation type="list" allowBlank="1" showInputMessage="1" showErrorMessage="1" sqref="F513" xr:uid="{B7C9687B-42A6-4200-A514-540C11F70121}">
      <formula1>$AO$483:$AO$486</formula1>
    </dataValidation>
    <dataValidation type="list" allowBlank="1" showInputMessage="1" showErrorMessage="1" sqref="F497:H497" xr:uid="{C225AB85-180E-415E-B62B-4D3A68FAF606}">
      <formula1>$AO$470:$AO$472</formula1>
    </dataValidation>
    <dataValidation type="list" allowBlank="1" showInputMessage="1" showErrorMessage="1" sqref="F492:Z492" xr:uid="{06713815-64B3-40F5-B80D-D9A116F23FBD}">
      <formula1>$AO$460:$AO$468</formula1>
    </dataValidation>
    <dataValidation type="list" allowBlank="1" showInputMessage="1" showErrorMessage="1" sqref="B152" xr:uid="{E677E15C-EDD5-4611-822D-62DAB69B744C}">
      <formula1>$AO$150:$AO$152</formula1>
    </dataValidation>
    <dataValidation type="list" allowBlank="1" showInputMessage="1" showErrorMessage="1" sqref="AB149:AC149 AC161:AD161" xr:uid="{D4678957-0063-4E55-B5EA-5E0BBC49B307}">
      <formula1>"N/A,Yes,"</formula1>
    </dataValidation>
    <dataValidation type="list" showInputMessage="1" showErrorMessage="1" sqref="B605:C605" xr:uid="{7334B2DD-34AC-4CF4-81BE-DEA29A5B180F}">
      <formula1>$AP$563:$AP$564</formula1>
    </dataValidation>
    <dataValidation type="list" allowBlank="1" showInputMessage="1" showErrorMessage="1" sqref="H639:I639" xr:uid="{52D9439C-867C-4370-AF08-1F85F21A956E}">
      <formula1>$AO$575:$AO$576</formula1>
    </dataValidation>
    <dataValidation type="list" allowBlank="1" showInputMessage="1" showErrorMessage="1" sqref="H748:I748 H736:I736 H720:I720 H708:I708 H694:I694 H639:I639 H627:I627" xr:uid="{CAB6E86D-3FE2-4980-9F00-70D1B5A7A9E6}">
      <formula1>$AO$575:$AO$577</formula1>
    </dataValidation>
    <dataValidation type="list" allowBlank="1" showInputMessage="1" showErrorMessage="1" sqref="G502:AF502" xr:uid="{F801C7DC-E6F3-44C0-96EC-9DE56CEA7FBB}">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76EA79CF-3F2F-4072-AFF1-D59D8941AAA7}">
      <formula1>"N/A, Yes"</formula1>
    </dataValidation>
    <dataValidation type="list" allowBlank="1" showInputMessage="1" showErrorMessage="1" sqref="B147:AI147" xr:uid="{384AF8A2-6827-4A05-B76B-A844201578FF}">
      <formula1>$AO$145:$AO$148</formula1>
    </dataValidation>
    <dataValidation type="list" showInputMessage="1" showErrorMessage="1" sqref="B177" xr:uid="{19016A3D-BBCB-4A6F-8CAA-55A3AFF1A957}">
      <formula1>$AP$174:$AP$181</formula1>
    </dataValidation>
    <dataValidation type="list" showInputMessage="1" showErrorMessage="1" sqref="T178:AC178" xr:uid="{BAA0AE44-FF1A-47A1-8329-0DB826CA2CA8}">
      <formula1>$AS$178:$AS$180</formula1>
    </dataValidation>
    <dataValidation type="list" allowBlank="1" showInputMessage="1" showErrorMessage="1" sqref="V474:X474" xr:uid="{179D7318-23A0-4B70-99AD-94EDC8A77737}">
      <formula1>$AR$444:$AR$446</formula1>
    </dataValidation>
    <dataValidation type="list" allowBlank="1" showInputMessage="1" showErrorMessage="1" sqref="V481:X481" xr:uid="{E25A3FA1-AC03-4CD5-9097-5BDA5CC13572}">
      <formula1>$AO$448:$AO$450</formula1>
    </dataValidation>
    <dataValidation type="list" allowBlank="1" showInputMessage="1" showErrorMessage="1" sqref="F469:Z469" xr:uid="{0D8D0B40-D57D-4CD2-B89E-194178618222}">
      <formula1>$AO$434:$AO$442</formula1>
    </dataValidation>
    <dataValidation type="list" allowBlank="1" showInputMessage="1" showErrorMessage="1" sqref="V487:X487" xr:uid="{EDD553DA-2320-41C6-BE83-7640397541D9}">
      <formula1>$BA$444:$BA$446</formula1>
    </dataValidation>
    <dataValidation type="list" allowBlank="1" showInputMessage="1" showErrorMessage="1" sqref="V485:X485" xr:uid="{A95A68AB-3FD2-4C73-8618-6E9273274675}">
      <formula1>$AW$444:$AW$447</formula1>
    </dataValidation>
    <dataValidation type="list" allowBlank="1" showInputMessage="1" showErrorMessage="1" sqref="V476:X476" xr:uid="{5884B291-2518-4AF4-B769-55688EA1E8D9}">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0" zoomScaleNormal="100" zoomScaleSheetLayoutView="100" workbookViewId="0">
      <selection activeCell="H110" sqref="H110"/>
    </sheetView>
  </sheetViews>
  <sheetFormatPr defaultColWidth="0" defaultRowHeight="12" zeroHeight="1"/>
  <cols>
    <col min="1" max="1" width="32.6640625" style="603" customWidth="1"/>
    <col min="2" max="3" width="12.109375" style="596" customWidth="1"/>
    <col min="4" max="6" width="12.88671875" style="596" customWidth="1"/>
    <col min="7" max="9" width="12.109375" style="596" customWidth="1"/>
    <col min="10" max="10" width="12.109375" style="597" customWidth="1"/>
    <col min="11" max="11" width="8.88671875" style="598" hidden="1" customWidth="1"/>
    <col min="12" max="21" width="8.88671875" style="596" hidden="1" customWidth="1"/>
    <col min="22" max="23" width="0" style="596" hidden="1"/>
    <col min="24" max="256" width="8.88671875" style="596" hidden="1"/>
    <col min="257" max="257" width="32.6640625" style="596" hidden="1" customWidth="1"/>
    <col min="258" max="259" width="12.109375" style="596" hidden="1" customWidth="1"/>
    <col min="260" max="260" width="12.88671875" style="596" hidden="1" customWidth="1"/>
    <col min="261" max="266" width="12.109375" style="596" hidden="1" customWidth="1"/>
    <col min="267" max="277" width="8.88671875" style="596" hidden="1" customWidth="1"/>
    <col min="278" max="512" width="8.88671875" style="596" hidden="1"/>
    <col min="513" max="513" width="32.6640625" style="596" hidden="1" customWidth="1"/>
    <col min="514" max="515" width="12.109375" style="596" hidden="1" customWidth="1"/>
    <col min="516" max="516" width="12.88671875" style="596" hidden="1" customWidth="1"/>
    <col min="517" max="522" width="12.109375" style="596" hidden="1" customWidth="1"/>
    <col min="523" max="533" width="8.88671875" style="596" hidden="1" customWidth="1"/>
    <col min="534" max="768" width="8.88671875" style="596" hidden="1"/>
    <col min="769" max="769" width="32.6640625" style="596" hidden="1" customWidth="1"/>
    <col min="770" max="771" width="12.109375" style="596" hidden="1" customWidth="1"/>
    <col min="772" max="772" width="12.88671875" style="596" hidden="1" customWidth="1"/>
    <col min="773" max="778" width="12.109375" style="596" hidden="1" customWidth="1"/>
    <col min="779" max="789" width="8.88671875" style="596" hidden="1" customWidth="1"/>
    <col min="790" max="1024" width="8.88671875" style="596" hidden="1"/>
    <col min="1025" max="1025" width="32.6640625" style="596" hidden="1" customWidth="1"/>
    <col min="1026" max="1027" width="12.109375" style="596" hidden="1" customWidth="1"/>
    <col min="1028" max="1028" width="12.88671875" style="596" hidden="1" customWidth="1"/>
    <col min="1029" max="1034" width="12.109375" style="596" hidden="1" customWidth="1"/>
    <col min="1035" max="1045" width="8.88671875" style="596" hidden="1" customWidth="1"/>
    <col min="1046" max="1280" width="8.88671875" style="596" hidden="1"/>
    <col min="1281" max="1281" width="32.6640625" style="596" hidden="1" customWidth="1"/>
    <col min="1282" max="1283" width="12.109375" style="596" hidden="1" customWidth="1"/>
    <col min="1284" max="1284" width="12.88671875" style="596" hidden="1" customWidth="1"/>
    <col min="1285" max="1290" width="12.109375" style="596" hidden="1" customWidth="1"/>
    <col min="1291" max="1301" width="8.88671875" style="596" hidden="1" customWidth="1"/>
    <col min="1302" max="1536" width="8.88671875" style="596" hidden="1"/>
    <col min="1537" max="1537" width="32.6640625" style="596" hidden="1" customWidth="1"/>
    <col min="1538" max="1539" width="12.109375" style="596" hidden="1" customWidth="1"/>
    <col min="1540" max="1540" width="12.88671875" style="596" hidden="1" customWidth="1"/>
    <col min="1541" max="1546" width="12.109375" style="596" hidden="1" customWidth="1"/>
    <col min="1547" max="1557" width="8.88671875" style="596" hidden="1" customWidth="1"/>
    <col min="1558" max="1792" width="8.88671875" style="596" hidden="1"/>
    <col min="1793" max="1793" width="32.6640625" style="596" hidden="1" customWidth="1"/>
    <col min="1794" max="1795" width="12.109375" style="596" hidden="1" customWidth="1"/>
    <col min="1796" max="1796" width="12.88671875" style="596" hidden="1" customWidth="1"/>
    <col min="1797" max="1802" width="12.109375" style="596" hidden="1" customWidth="1"/>
    <col min="1803" max="1813" width="8.88671875" style="596" hidden="1" customWidth="1"/>
    <col min="1814" max="2048" width="8.88671875" style="596" hidden="1"/>
    <col min="2049" max="2049" width="32.6640625" style="596" hidden="1" customWidth="1"/>
    <col min="2050" max="2051" width="12.109375" style="596" hidden="1" customWidth="1"/>
    <col min="2052" max="2052" width="12.88671875" style="596" hidden="1" customWidth="1"/>
    <col min="2053" max="2058" width="12.109375" style="596" hidden="1" customWidth="1"/>
    <col min="2059" max="2069" width="8.88671875" style="596" hidden="1" customWidth="1"/>
    <col min="2070" max="2304" width="8.88671875" style="596" hidden="1"/>
    <col min="2305" max="2305" width="32.6640625" style="596" hidden="1" customWidth="1"/>
    <col min="2306" max="2307" width="12.109375" style="596" hidden="1" customWidth="1"/>
    <col min="2308" max="2308" width="12.88671875" style="596" hidden="1" customWidth="1"/>
    <col min="2309" max="2314" width="12.109375" style="596" hidden="1" customWidth="1"/>
    <col min="2315" max="2325" width="8.88671875" style="596" hidden="1" customWidth="1"/>
    <col min="2326" max="2560" width="8.88671875" style="596" hidden="1"/>
    <col min="2561" max="2561" width="32.6640625" style="596" hidden="1" customWidth="1"/>
    <col min="2562" max="2563" width="12.109375" style="596" hidden="1" customWidth="1"/>
    <col min="2564" max="2564" width="12.88671875" style="596" hidden="1" customWidth="1"/>
    <col min="2565" max="2570" width="12.109375" style="596" hidden="1" customWidth="1"/>
    <col min="2571" max="2581" width="8.88671875" style="596" hidden="1" customWidth="1"/>
    <col min="2582" max="2816" width="8.88671875" style="596" hidden="1"/>
    <col min="2817" max="2817" width="32.6640625" style="596" hidden="1" customWidth="1"/>
    <col min="2818" max="2819" width="12.109375" style="596" hidden="1" customWidth="1"/>
    <col min="2820" max="2820" width="12.88671875" style="596" hidden="1" customWidth="1"/>
    <col min="2821" max="2826" width="12.109375" style="596" hidden="1" customWidth="1"/>
    <col min="2827" max="2837" width="8.88671875" style="596" hidden="1" customWidth="1"/>
    <col min="2838" max="3072" width="8.88671875" style="596" hidden="1"/>
    <col min="3073" max="3073" width="32.6640625" style="596" hidden="1" customWidth="1"/>
    <col min="3074" max="3075" width="12.109375" style="596" hidden="1" customWidth="1"/>
    <col min="3076" max="3076" width="12.88671875" style="596" hidden="1" customWidth="1"/>
    <col min="3077" max="3082" width="12.109375" style="596" hidden="1" customWidth="1"/>
    <col min="3083" max="3093" width="8.88671875" style="596" hidden="1" customWidth="1"/>
    <col min="3094" max="3328" width="8.88671875" style="596" hidden="1"/>
    <col min="3329" max="3329" width="32.6640625" style="596" hidden="1" customWidth="1"/>
    <col min="3330" max="3331" width="12.109375" style="596" hidden="1" customWidth="1"/>
    <col min="3332" max="3332" width="12.88671875" style="596" hidden="1" customWidth="1"/>
    <col min="3333" max="3338" width="12.109375" style="596" hidden="1" customWidth="1"/>
    <col min="3339" max="3349" width="8.88671875" style="596" hidden="1" customWidth="1"/>
    <col min="3350" max="3584" width="8.88671875" style="596" hidden="1"/>
    <col min="3585" max="3585" width="32.6640625" style="596" hidden="1" customWidth="1"/>
    <col min="3586" max="3587" width="12.109375" style="596" hidden="1" customWidth="1"/>
    <col min="3588" max="3588" width="12.88671875" style="596" hidden="1" customWidth="1"/>
    <col min="3589" max="3594" width="12.109375" style="596" hidden="1" customWidth="1"/>
    <col min="3595" max="3605" width="8.88671875" style="596" hidden="1" customWidth="1"/>
    <col min="3606" max="3840" width="8.88671875" style="596" hidden="1"/>
    <col min="3841" max="3841" width="32.6640625" style="596" hidden="1" customWidth="1"/>
    <col min="3842" max="3843" width="12.109375" style="596" hidden="1" customWidth="1"/>
    <col min="3844" max="3844" width="12.88671875" style="596" hidden="1" customWidth="1"/>
    <col min="3845" max="3850" width="12.109375" style="596" hidden="1" customWidth="1"/>
    <col min="3851" max="3861" width="8.88671875" style="596" hidden="1" customWidth="1"/>
    <col min="3862" max="4096" width="8.88671875" style="596" hidden="1"/>
    <col min="4097" max="4097" width="32.6640625" style="596" hidden="1" customWidth="1"/>
    <col min="4098" max="4099" width="12.109375" style="596" hidden="1" customWidth="1"/>
    <col min="4100" max="4100" width="12.88671875" style="596" hidden="1" customWidth="1"/>
    <col min="4101" max="4106" width="12.109375" style="596" hidden="1" customWidth="1"/>
    <col min="4107" max="4117" width="8.88671875" style="596" hidden="1" customWidth="1"/>
    <col min="4118" max="4352" width="8.88671875" style="596" hidden="1"/>
    <col min="4353" max="4353" width="32.6640625" style="596" hidden="1" customWidth="1"/>
    <col min="4354" max="4355" width="12.109375" style="596" hidden="1" customWidth="1"/>
    <col min="4356" max="4356" width="12.88671875" style="596" hidden="1" customWidth="1"/>
    <col min="4357" max="4362" width="12.109375" style="596" hidden="1" customWidth="1"/>
    <col min="4363" max="4373" width="8.88671875" style="596" hidden="1" customWidth="1"/>
    <col min="4374" max="4608" width="8.88671875" style="596" hidden="1"/>
    <col min="4609" max="4609" width="32.6640625" style="596" hidden="1" customWidth="1"/>
    <col min="4610" max="4611" width="12.109375" style="596" hidden="1" customWidth="1"/>
    <col min="4612" max="4612" width="12.88671875" style="596" hidden="1" customWidth="1"/>
    <col min="4613" max="4618" width="12.109375" style="596" hidden="1" customWidth="1"/>
    <col min="4619" max="4629" width="8.88671875" style="596" hidden="1" customWidth="1"/>
    <col min="4630" max="4864" width="8.88671875" style="596" hidden="1"/>
    <col min="4865" max="4865" width="32.6640625" style="596" hidden="1" customWidth="1"/>
    <col min="4866" max="4867" width="12.109375" style="596" hidden="1" customWidth="1"/>
    <col min="4868" max="4868" width="12.88671875" style="596" hidden="1" customWidth="1"/>
    <col min="4869" max="4874" width="12.109375" style="596" hidden="1" customWidth="1"/>
    <col min="4875" max="4885" width="8.88671875" style="596" hidden="1" customWidth="1"/>
    <col min="4886" max="5120" width="8.88671875" style="596" hidden="1"/>
    <col min="5121" max="5121" width="32.6640625" style="596" hidden="1" customWidth="1"/>
    <col min="5122" max="5123" width="12.109375" style="596" hidden="1" customWidth="1"/>
    <col min="5124" max="5124" width="12.88671875" style="596" hidden="1" customWidth="1"/>
    <col min="5125" max="5130" width="12.109375" style="596" hidden="1" customWidth="1"/>
    <col min="5131" max="5141" width="8.88671875" style="596" hidden="1" customWidth="1"/>
    <col min="5142" max="5376" width="8.88671875" style="596" hidden="1"/>
    <col min="5377" max="5377" width="32.6640625" style="596" hidden="1" customWidth="1"/>
    <col min="5378" max="5379" width="12.109375" style="596" hidden="1" customWidth="1"/>
    <col min="5380" max="5380" width="12.88671875" style="596" hidden="1" customWidth="1"/>
    <col min="5381" max="5386" width="12.109375" style="596" hidden="1" customWidth="1"/>
    <col min="5387" max="5397" width="8.88671875" style="596" hidden="1" customWidth="1"/>
    <col min="5398" max="5632" width="8.88671875" style="596" hidden="1"/>
    <col min="5633" max="5633" width="32.6640625" style="596" hidden="1" customWidth="1"/>
    <col min="5634" max="5635" width="12.109375" style="596" hidden="1" customWidth="1"/>
    <col min="5636" max="5636" width="12.88671875" style="596" hidden="1" customWidth="1"/>
    <col min="5637" max="5642" width="12.109375" style="596" hidden="1" customWidth="1"/>
    <col min="5643" max="5653" width="8.88671875" style="596" hidden="1" customWidth="1"/>
    <col min="5654" max="5888" width="8.88671875" style="596" hidden="1"/>
    <col min="5889" max="5889" width="32.6640625" style="596" hidden="1" customWidth="1"/>
    <col min="5890" max="5891" width="12.109375" style="596" hidden="1" customWidth="1"/>
    <col min="5892" max="5892" width="12.88671875" style="596" hidden="1" customWidth="1"/>
    <col min="5893" max="5898" width="12.109375" style="596" hidden="1" customWidth="1"/>
    <col min="5899" max="5909" width="8.88671875" style="596" hidden="1" customWidth="1"/>
    <col min="5910" max="6144" width="8.88671875" style="596" hidden="1"/>
    <col min="6145" max="6145" width="32.6640625" style="596" hidden="1" customWidth="1"/>
    <col min="6146" max="6147" width="12.109375" style="596" hidden="1" customWidth="1"/>
    <col min="6148" max="6148" width="12.88671875" style="596" hidden="1" customWidth="1"/>
    <col min="6149" max="6154" width="12.109375" style="596" hidden="1" customWidth="1"/>
    <col min="6155" max="6165" width="8.88671875" style="596" hidden="1" customWidth="1"/>
    <col min="6166" max="6400" width="8.88671875" style="596" hidden="1"/>
    <col min="6401" max="6401" width="32.6640625" style="596" hidden="1" customWidth="1"/>
    <col min="6402" max="6403" width="12.109375" style="596" hidden="1" customWidth="1"/>
    <col min="6404" max="6404" width="12.88671875" style="596" hidden="1" customWidth="1"/>
    <col min="6405" max="6410" width="12.109375" style="596" hidden="1" customWidth="1"/>
    <col min="6411" max="6421" width="8.88671875" style="596" hidden="1" customWidth="1"/>
    <col min="6422" max="6656" width="8.88671875" style="596" hidden="1"/>
    <col min="6657" max="6657" width="32.6640625" style="596" hidden="1" customWidth="1"/>
    <col min="6658" max="6659" width="12.109375" style="596" hidden="1" customWidth="1"/>
    <col min="6660" max="6660" width="12.88671875" style="596" hidden="1" customWidth="1"/>
    <col min="6661" max="6666" width="12.109375" style="596" hidden="1" customWidth="1"/>
    <col min="6667" max="6677" width="8.88671875" style="596" hidden="1" customWidth="1"/>
    <col min="6678" max="6912" width="8.88671875" style="596" hidden="1"/>
    <col min="6913" max="6913" width="32.6640625" style="596" hidden="1" customWidth="1"/>
    <col min="6914" max="6915" width="12.109375" style="596" hidden="1" customWidth="1"/>
    <col min="6916" max="6916" width="12.88671875" style="596" hidden="1" customWidth="1"/>
    <col min="6917" max="6922" width="12.109375" style="596" hidden="1" customWidth="1"/>
    <col min="6923" max="6933" width="8.88671875" style="596" hidden="1" customWidth="1"/>
    <col min="6934" max="7168" width="8.88671875" style="596" hidden="1"/>
    <col min="7169" max="7169" width="32.6640625" style="596" hidden="1" customWidth="1"/>
    <col min="7170" max="7171" width="12.109375" style="596" hidden="1" customWidth="1"/>
    <col min="7172" max="7172" width="12.88671875" style="596" hidden="1" customWidth="1"/>
    <col min="7173" max="7178" width="12.109375" style="596" hidden="1" customWidth="1"/>
    <col min="7179" max="7189" width="8.88671875" style="596" hidden="1" customWidth="1"/>
    <col min="7190" max="7424" width="8.88671875" style="596" hidden="1"/>
    <col min="7425" max="7425" width="32.6640625" style="596" hidden="1" customWidth="1"/>
    <col min="7426" max="7427" width="12.109375" style="596" hidden="1" customWidth="1"/>
    <col min="7428" max="7428" width="12.88671875" style="596" hidden="1" customWidth="1"/>
    <col min="7429" max="7434" width="12.109375" style="596" hidden="1" customWidth="1"/>
    <col min="7435" max="7445" width="8.88671875" style="596" hidden="1" customWidth="1"/>
    <col min="7446" max="7680" width="8.88671875" style="596" hidden="1"/>
    <col min="7681" max="7681" width="32.6640625" style="596" hidden="1" customWidth="1"/>
    <col min="7682" max="7683" width="12.109375" style="596" hidden="1" customWidth="1"/>
    <col min="7684" max="7684" width="12.88671875" style="596" hidden="1" customWidth="1"/>
    <col min="7685" max="7690" width="12.109375" style="596" hidden="1" customWidth="1"/>
    <col min="7691" max="7701" width="8.88671875" style="596" hidden="1" customWidth="1"/>
    <col min="7702" max="7936" width="8.88671875" style="596" hidden="1"/>
    <col min="7937" max="7937" width="32.6640625" style="596" hidden="1" customWidth="1"/>
    <col min="7938" max="7939" width="12.109375" style="596" hidden="1" customWidth="1"/>
    <col min="7940" max="7940" width="12.88671875" style="596" hidden="1" customWidth="1"/>
    <col min="7941" max="7946" width="12.109375" style="596" hidden="1" customWidth="1"/>
    <col min="7947" max="7957" width="8.88671875" style="596" hidden="1" customWidth="1"/>
    <col min="7958" max="8192" width="8.88671875" style="596" hidden="1"/>
    <col min="8193" max="8193" width="32.6640625" style="596" hidden="1" customWidth="1"/>
    <col min="8194" max="8195" width="12.109375" style="596" hidden="1" customWidth="1"/>
    <col min="8196" max="8196" width="12.88671875" style="596" hidden="1" customWidth="1"/>
    <col min="8197" max="8202" width="12.109375" style="596" hidden="1" customWidth="1"/>
    <col min="8203" max="8213" width="8.88671875" style="596" hidden="1" customWidth="1"/>
    <col min="8214" max="8448" width="8.88671875" style="596" hidden="1"/>
    <col min="8449" max="8449" width="32.6640625" style="596" hidden="1" customWidth="1"/>
    <col min="8450" max="8451" width="12.109375" style="596" hidden="1" customWidth="1"/>
    <col min="8452" max="8452" width="12.88671875" style="596" hidden="1" customWidth="1"/>
    <col min="8453" max="8458" width="12.109375" style="596" hidden="1" customWidth="1"/>
    <col min="8459" max="8469" width="8.88671875" style="596" hidden="1" customWidth="1"/>
    <col min="8470" max="8704" width="8.88671875" style="596" hidden="1"/>
    <col min="8705" max="8705" width="32.6640625" style="596" hidden="1" customWidth="1"/>
    <col min="8706" max="8707" width="12.109375" style="596" hidden="1" customWidth="1"/>
    <col min="8708" max="8708" width="12.88671875" style="596" hidden="1" customWidth="1"/>
    <col min="8709" max="8714" width="12.109375" style="596" hidden="1" customWidth="1"/>
    <col min="8715" max="8725" width="8.88671875" style="596" hidden="1" customWidth="1"/>
    <col min="8726" max="8960" width="8.88671875" style="596" hidden="1"/>
    <col min="8961" max="8961" width="32.6640625" style="596" hidden="1" customWidth="1"/>
    <col min="8962" max="8963" width="12.109375" style="596" hidden="1" customWidth="1"/>
    <col min="8964" max="8964" width="12.88671875" style="596" hidden="1" customWidth="1"/>
    <col min="8965" max="8970" width="12.109375" style="596" hidden="1" customWidth="1"/>
    <col min="8971" max="8981" width="8.88671875" style="596" hidden="1" customWidth="1"/>
    <col min="8982" max="9216" width="8.88671875" style="596" hidden="1"/>
    <col min="9217" max="9217" width="32.6640625" style="596" hidden="1" customWidth="1"/>
    <col min="9218" max="9219" width="12.109375" style="596" hidden="1" customWidth="1"/>
    <col min="9220" max="9220" width="12.88671875" style="596" hidden="1" customWidth="1"/>
    <col min="9221" max="9226" width="12.109375" style="596" hidden="1" customWidth="1"/>
    <col min="9227" max="9237" width="8.88671875" style="596" hidden="1" customWidth="1"/>
    <col min="9238" max="9472" width="8.88671875" style="596" hidden="1"/>
    <col min="9473" max="9473" width="32.6640625" style="596" hidden="1" customWidth="1"/>
    <col min="9474" max="9475" width="12.109375" style="596" hidden="1" customWidth="1"/>
    <col min="9476" max="9476" width="12.88671875" style="596" hidden="1" customWidth="1"/>
    <col min="9477" max="9482" width="12.109375" style="596" hidden="1" customWidth="1"/>
    <col min="9483" max="9493" width="8.88671875" style="596" hidden="1" customWidth="1"/>
    <col min="9494" max="9728" width="8.88671875" style="596" hidden="1"/>
    <col min="9729" max="9729" width="32.6640625" style="596" hidden="1" customWidth="1"/>
    <col min="9730" max="9731" width="12.109375" style="596" hidden="1" customWidth="1"/>
    <col min="9732" max="9732" width="12.88671875" style="596" hidden="1" customWidth="1"/>
    <col min="9733" max="9738" width="12.109375" style="596" hidden="1" customWidth="1"/>
    <col min="9739" max="9749" width="8.88671875" style="596" hidden="1" customWidth="1"/>
    <col min="9750" max="9984" width="8.88671875" style="596" hidden="1"/>
    <col min="9985" max="9985" width="32.6640625" style="596" hidden="1" customWidth="1"/>
    <col min="9986" max="9987" width="12.109375" style="596" hidden="1" customWidth="1"/>
    <col min="9988" max="9988" width="12.88671875" style="596" hidden="1" customWidth="1"/>
    <col min="9989" max="9994" width="12.109375" style="596" hidden="1" customWidth="1"/>
    <col min="9995" max="10005" width="8.88671875" style="596" hidden="1" customWidth="1"/>
    <col min="10006" max="10240" width="8.88671875" style="596" hidden="1"/>
    <col min="10241" max="10241" width="32.6640625" style="596" hidden="1" customWidth="1"/>
    <col min="10242" max="10243" width="12.109375" style="596" hidden="1" customWidth="1"/>
    <col min="10244" max="10244" width="12.88671875" style="596" hidden="1" customWidth="1"/>
    <col min="10245" max="10250" width="12.109375" style="596" hidden="1" customWidth="1"/>
    <col min="10251" max="10261" width="8.88671875" style="596" hidden="1" customWidth="1"/>
    <col min="10262" max="10496" width="8.88671875" style="596" hidden="1"/>
    <col min="10497" max="10497" width="32.6640625" style="596" hidden="1" customWidth="1"/>
    <col min="10498" max="10499" width="12.109375" style="596" hidden="1" customWidth="1"/>
    <col min="10500" max="10500" width="12.88671875" style="596" hidden="1" customWidth="1"/>
    <col min="10501" max="10506" width="12.109375" style="596" hidden="1" customWidth="1"/>
    <col min="10507" max="10517" width="8.88671875" style="596" hidden="1" customWidth="1"/>
    <col min="10518" max="10752" width="8.88671875" style="596" hidden="1"/>
    <col min="10753" max="10753" width="32.6640625" style="596" hidden="1" customWidth="1"/>
    <col min="10754" max="10755" width="12.109375" style="596" hidden="1" customWidth="1"/>
    <col min="10756" max="10756" width="12.88671875" style="596" hidden="1" customWidth="1"/>
    <col min="10757" max="10762" width="12.109375" style="596" hidden="1" customWidth="1"/>
    <col min="10763" max="10773" width="8.88671875" style="596" hidden="1" customWidth="1"/>
    <col min="10774" max="11008" width="8.88671875" style="596" hidden="1"/>
    <col min="11009" max="11009" width="32.6640625" style="596" hidden="1" customWidth="1"/>
    <col min="11010" max="11011" width="12.109375" style="596" hidden="1" customWidth="1"/>
    <col min="11012" max="11012" width="12.88671875" style="596" hidden="1" customWidth="1"/>
    <col min="11013" max="11018" width="12.109375" style="596" hidden="1" customWidth="1"/>
    <col min="11019" max="11029" width="8.88671875" style="596" hidden="1" customWidth="1"/>
    <col min="11030" max="11264" width="8.88671875" style="596" hidden="1"/>
    <col min="11265" max="11265" width="32.6640625" style="596" hidden="1" customWidth="1"/>
    <col min="11266" max="11267" width="12.109375" style="596" hidden="1" customWidth="1"/>
    <col min="11268" max="11268" width="12.88671875" style="596" hidden="1" customWidth="1"/>
    <col min="11269" max="11274" width="12.109375" style="596" hidden="1" customWidth="1"/>
    <col min="11275" max="11285" width="8.88671875" style="596" hidden="1" customWidth="1"/>
    <col min="11286" max="11520" width="8.88671875" style="596" hidden="1"/>
    <col min="11521" max="11521" width="32.6640625" style="596" hidden="1" customWidth="1"/>
    <col min="11522" max="11523" width="12.109375" style="596" hidden="1" customWidth="1"/>
    <col min="11524" max="11524" width="12.88671875" style="596" hidden="1" customWidth="1"/>
    <col min="11525" max="11530" width="12.109375" style="596" hidden="1" customWidth="1"/>
    <col min="11531" max="11541" width="8.88671875" style="596" hidden="1" customWidth="1"/>
    <col min="11542" max="11776" width="8.88671875" style="596" hidden="1"/>
    <col min="11777" max="11777" width="32.6640625" style="596" hidden="1" customWidth="1"/>
    <col min="11778" max="11779" width="12.109375" style="596" hidden="1" customWidth="1"/>
    <col min="11780" max="11780" width="12.88671875" style="596" hidden="1" customWidth="1"/>
    <col min="11781" max="11786" width="12.109375" style="596" hidden="1" customWidth="1"/>
    <col min="11787" max="11797" width="8.88671875" style="596" hidden="1" customWidth="1"/>
    <col min="11798" max="12032" width="8.88671875" style="596" hidden="1"/>
    <col min="12033" max="12033" width="32.6640625" style="596" hidden="1" customWidth="1"/>
    <col min="12034" max="12035" width="12.109375" style="596" hidden="1" customWidth="1"/>
    <col min="12036" max="12036" width="12.88671875" style="596" hidden="1" customWidth="1"/>
    <col min="12037" max="12042" width="12.109375" style="596" hidden="1" customWidth="1"/>
    <col min="12043" max="12053" width="8.88671875" style="596" hidden="1" customWidth="1"/>
    <col min="12054" max="12288" width="8.88671875" style="596" hidden="1"/>
    <col min="12289" max="12289" width="32.6640625" style="596" hidden="1" customWidth="1"/>
    <col min="12290" max="12291" width="12.109375" style="596" hidden="1" customWidth="1"/>
    <col min="12292" max="12292" width="12.88671875" style="596" hidden="1" customWidth="1"/>
    <col min="12293" max="12298" width="12.109375" style="596" hidden="1" customWidth="1"/>
    <col min="12299" max="12309" width="8.88671875" style="596" hidden="1" customWidth="1"/>
    <col min="12310" max="12544" width="8.88671875" style="596" hidden="1"/>
    <col min="12545" max="12545" width="32.6640625" style="596" hidden="1" customWidth="1"/>
    <col min="12546" max="12547" width="12.109375" style="596" hidden="1" customWidth="1"/>
    <col min="12548" max="12548" width="12.88671875" style="596" hidden="1" customWidth="1"/>
    <col min="12549" max="12554" width="12.109375" style="596" hidden="1" customWidth="1"/>
    <col min="12555" max="12565" width="8.88671875" style="596" hidden="1" customWidth="1"/>
    <col min="12566" max="12800" width="8.88671875" style="596" hidden="1"/>
    <col min="12801" max="12801" width="32.6640625" style="596" hidden="1" customWidth="1"/>
    <col min="12802" max="12803" width="12.109375" style="596" hidden="1" customWidth="1"/>
    <col min="12804" max="12804" width="12.88671875" style="596" hidden="1" customWidth="1"/>
    <col min="12805" max="12810" width="12.109375" style="596" hidden="1" customWidth="1"/>
    <col min="12811" max="12821" width="8.88671875" style="596" hidden="1" customWidth="1"/>
    <col min="12822" max="13056" width="8.88671875" style="596" hidden="1"/>
    <col min="13057" max="13057" width="32.6640625" style="596" hidden="1" customWidth="1"/>
    <col min="13058" max="13059" width="12.109375" style="596" hidden="1" customWidth="1"/>
    <col min="13060" max="13060" width="12.88671875" style="596" hidden="1" customWidth="1"/>
    <col min="13061" max="13066" width="12.109375" style="596" hidden="1" customWidth="1"/>
    <col min="13067" max="13077" width="8.88671875" style="596" hidden="1" customWidth="1"/>
    <col min="13078" max="13312" width="8.88671875" style="596" hidden="1"/>
    <col min="13313" max="13313" width="32.6640625" style="596" hidden="1" customWidth="1"/>
    <col min="13314" max="13315" width="12.109375" style="596" hidden="1" customWidth="1"/>
    <col min="13316" max="13316" width="12.88671875" style="596" hidden="1" customWidth="1"/>
    <col min="13317" max="13322" width="12.109375" style="596" hidden="1" customWidth="1"/>
    <col min="13323" max="13333" width="8.88671875" style="596" hidden="1" customWidth="1"/>
    <col min="13334" max="13568" width="8.88671875" style="596" hidden="1"/>
    <col min="13569" max="13569" width="32.6640625" style="596" hidden="1" customWidth="1"/>
    <col min="13570" max="13571" width="12.109375" style="596" hidden="1" customWidth="1"/>
    <col min="13572" max="13572" width="12.88671875" style="596" hidden="1" customWidth="1"/>
    <col min="13573" max="13578" width="12.109375" style="596" hidden="1" customWidth="1"/>
    <col min="13579" max="13589" width="8.88671875" style="596" hidden="1" customWidth="1"/>
    <col min="13590" max="13824" width="8.88671875" style="596" hidden="1"/>
    <col min="13825" max="13825" width="32.6640625" style="596" hidden="1" customWidth="1"/>
    <col min="13826" max="13827" width="12.109375" style="596" hidden="1" customWidth="1"/>
    <col min="13828" max="13828" width="12.88671875" style="596" hidden="1" customWidth="1"/>
    <col min="13829" max="13834" width="12.109375" style="596" hidden="1" customWidth="1"/>
    <col min="13835" max="13845" width="8.88671875" style="596" hidden="1" customWidth="1"/>
    <col min="13846" max="14080" width="8.88671875" style="596" hidden="1"/>
    <col min="14081" max="14081" width="32.6640625" style="596" hidden="1" customWidth="1"/>
    <col min="14082" max="14083" width="12.109375" style="596" hidden="1" customWidth="1"/>
    <col min="14084" max="14084" width="12.88671875" style="596" hidden="1" customWidth="1"/>
    <col min="14085" max="14090" width="12.109375" style="596" hidden="1" customWidth="1"/>
    <col min="14091" max="14101" width="8.88671875" style="596" hidden="1" customWidth="1"/>
    <col min="14102" max="14336" width="8.88671875" style="596" hidden="1"/>
    <col min="14337" max="14337" width="32.6640625" style="596" hidden="1" customWidth="1"/>
    <col min="14338" max="14339" width="12.109375" style="596" hidden="1" customWidth="1"/>
    <col min="14340" max="14340" width="12.88671875" style="596" hidden="1" customWidth="1"/>
    <col min="14341" max="14346" width="12.109375" style="596" hidden="1" customWidth="1"/>
    <col min="14347" max="14357" width="8.88671875" style="596" hidden="1" customWidth="1"/>
    <col min="14358" max="14592" width="8.88671875" style="596" hidden="1"/>
    <col min="14593" max="14593" width="32.6640625" style="596" hidden="1" customWidth="1"/>
    <col min="14594" max="14595" width="12.109375" style="596" hidden="1" customWidth="1"/>
    <col min="14596" max="14596" width="12.88671875" style="596" hidden="1" customWidth="1"/>
    <col min="14597" max="14602" width="12.109375" style="596" hidden="1" customWidth="1"/>
    <col min="14603" max="14613" width="8.88671875" style="596" hidden="1" customWidth="1"/>
    <col min="14614" max="14848" width="8.88671875" style="596" hidden="1"/>
    <col min="14849" max="14849" width="32.6640625" style="596" hidden="1" customWidth="1"/>
    <col min="14850" max="14851" width="12.109375" style="596" hidden="1" customWidth="1"/>
    <col min="14852" max="14852" width="12.88671875" style="596" hidden="1" customWidth="1"/>
    <col min="14853" max="14858" width="12.109375" style="596" hidden="1" customWidth="1"/>
    <col min="14859" max="14869" width="8.88671875" style="596" hidden="1" customWidth="1"/>
    <col min="14870" max="15104" width="8.88671875" style="596" hidden="1"/>
    <col min="15105" max="15105" width="32.6640625" style="596" hidden="1" customWidth="1"/>
    <col min="15106" max="15107" width="12.109375" style="596" hidden="1" customWidth="1"/>
    <col min="15108" max="15108" width="12.88671875" style="596" hidden="1" customWidth="1"/>
    <col min="15109" max="15114" width="12.109375" style="596" hidden="1" customWidth="1"/>
    <col min="15115" max="15125" width="8.88671875" style="596" hidden="1" customWidth="1"/>
    <col min="15126" max="15360" width="8.88671875" style="596" hidden="1"/>
    <col min="15361" max="15361" width="32.6640625" style="596" hidden="1" customWidth="1"/>
    <col min="15362" max="15363" width="12.109375" style="596" hidden="1" customWidth="1"/>
    <col min="15364" max="15364" width="12.88671875" style="596" hidden="1" customWidth="1"/>
    <col min="15365" max="15370" width="12.109375" style="596" hidden="1" customWidth="1"/>
    <col min="15371" max="15381" width="8.88671875" style="596" hidden="1" customWidth="1"/>
    <col min="15382" max="15616" width="8.88671875" style="596" hidden="1"/>
    <col min="15617" max="15617" width="32.6640625" style="596" hidden="1" customWidth="1"/>
    <col min="15618" max="15619" width="12.109375" style="596" hidden="1" customWidth="1"/>
    <col min="15620" max="15620" width="12.88671875" style="596" hidden="1" customWidth="1"/>
    <col min="15621" max="15626" width="12.109375" style="596" hidden="1" customWidth="1"/>
    <col min="15627" max="15637" width="8.88671875" style="596" hidden="1" customWidth="1"/>
    <col min="15638" max="15872" width="8.88671875" style="596" hidden="1"/>
    <col min="15873" max="15873" width="32.6640625" style="596" hidden="1" customWidth="1"/>
    <col min="15874" max="15875" width="12.109375" style="596" hidden="1" customWidth="1"/>
    <col min="15876" max="15876" width="12.88671875" style="596" hidden="1" customWidth="1"/>
    <col min="15877" max="15882" width="12.109375" style="596" hidden="1" customWidth="1"/>
    <col min="15883" max="15893" width="8.88671875" style="596" hidden="1" customWidth="1"/>
    <col min="15894" max="16128" width="8.88671875" style="596" hidden="1"/>
    <col min="16129" max="16129" width="32.6640625" style="596" hidden="1" customWidth="1"/>
    <col min="16130" max="16131" width="12.109375" style="596" hidden="1" customWidth="1"/>
    <col min="16132" max="16132" width="12.88671875" style="596" hidden="1" customWidth="1"/>
    <col min="16133" max="16138" width="12.109375" style="596" hidden="1" customWidth="1"/>
    <col min="16139" max="16149" width="8.88671875" style="596" hidden="1" customWidth="1"/>
    <col min="16150" max="16384" width="8.88671875" style="596" hidden="1"/>
  </cols>
  <sheetData>
    <row r="1" spans="1:11" s="553" customFormat="1" ht="13.2">
      <c r="A1" s="2686" t="s">
        <v>1393</v>
      </c>
      <c r="B1" s="2687"/>
      <c r="C1" s="2687"/>
      <c r="D1" s="2687"/>
      <c r="E1" s="2687"/>
      <c r="F1" s="2687"/>
      <c r="G1" s="2687"/>
      <c r="H1" s="2687"/>
      <c r="I1" s="2687"/>
      <c r="J1" s="2688"/>
      <c r="K1" s="552"/>
    </row>
    <row r="2" spans="1:11" s="608" customFormat="1" ht="72">
      <c r="A2" s="604"/>
      <c r="B2" s="605" t="s">
        <v>1105</v>
      </c>
      <c r="C2" s="605" t="s">
        <v>1395</v>
      </c>
      <c r="D2" s="606" t="s">
        <v>1396</v>
      </c>
      <c r="E2" s="605" t="s">
        <v>1317</v>
      </c>
      <c r="F2" s="605" t="s">
        <v>1397</v>
      </c>
      <c r="G2" s="605" t="s">
        <v>1398</v>
      </c>
      <c r="H2" s="605" t="s">
        <v>1106</v>
      </c>
      <c r="I2" s="605" t="s">
        <v>1399</v>
      </c>
      <c r="J2" s="605" t="s">
        <v>1400</v>
      </c>
      <c r="K2" s="607"/>
    </row>
    <row r="3" spans="1:11" s="557" customFormat="1" ht="11.4">
      <c r="A3" s="554" t="s">
        <v>27</v>
      </c>
      <c r="B3" s="555"/>
      <c r="C3" s="555"/>
      <c r="D3" s="555"/>
      <c r="E3" s="555"/>
      <c r="F3" s="555"/>
      <c r="G3" s="555"/>
      <c r="H3" s="555"/>
      <c r="I3" s="555"/>
      <c r="J3" s="555"/>
      <c r="K3" s="556"/>
    </row>
    <row r="4" spans="1:11" s="557" customFormat="1" ht="11.4">
      <c r="A4" s="561" t="s">
        <v>28</v>
      </c>
      <c r="B4" s="558">
        <f>'Sources and Uses Budget'!C4</f>
        <v>0</v>
      </c>
      <c r="C4" s="559"/>
      <c r="D4" s="559"/>
      <c r="E4" s="560"/>
      <c r="F4" s="560"/>
      <c r="G4" s="560"/>
      <c r="H4" s="560"/>
      <c r="I4" s="560"/>
      <c r="J4" s="560"/>
      <c r="K4" s="556"/>
    </row>
    <row r="5" spans="1:11" s="557" customFormat="1" ht="11.4">
      <c r="A5" s="561" t="s">
        <v>29</v>
      </c>
      <c r="B5" s="558">
        <f>'Sources and Uses Budget'!C5</f>
        <v>0</v>
      </c>
      <c r="C5" s="559"/>
      <c r="D5" s="559"/>
      <c r="E5" s="560"/>
      <c r="F5" s="560"/>
      <c r="G5" s="560"/>
      <c r="H5" s="560"/>
      <c r="I5" s="560"/>
      <c r="J5" s="560"/>
      <c r="K5" s="556"/>
    </row>
    <row r="6" spans="1:11" s="557" customFormat="1" ht="11.4">
      <c r="A6" s="561" t="s">
        <v>30</v>
      </c>
      <c r="B6" s="558">
        <f>'Sources and Uses Budget'!C6</f>
        <v>24590</v>
      </c>
      <c r="C6" s="559"/>
      <c r="D6" s="559"/>
      <c r="E6" s="560"/>
      <c r="F6" s="560"/>
      <c r="G6" s="560"/>
      <c r="H6" s="560"/>
      <c r="I6" s="560"/>
      <c r="J6" s="560"/>
      <c r="K6" s="556"/>
    </row>
    <row r="7" spans="1:11" s="557" customFormat="1" ht="11.4">
      <c r="A7" s="561" t="s">
        <v>102</v>
      </c>
      <c r="B7" s="558">
        <f>'Sources and Uses Budget'!C7</f>
        <v>0</v>
      </c>
      <c r="C7" s="559"/>
      <c r="D7" s="559"/>
      <c r="E7" s="560"/>
      <c r="F7" s="560"/>
      <c r="G7" s="560"/>
      <c r="H7" s="560"/>
      <c r="I7" s="560"/>
      <c r="J7" s="560"/>
      <c r="K7" s="556"/>
    </row>
    <row r="8" spans="1:11" s="557" customFormat="1">
      <c r="A8" s="562" t="s">
        <v>618</v>
      </c>
      <c r="B8" s="558">
        <f>'Sources and Uses Budget'!C8</f>
        <v>24590</v>
      </c>
      <c r="C8" s="558">
        <f>SUM(C4:C7)</f>
        <v>0</v>
      </c>
      <c r="D8" s="558">
        <f>SUM(D4:D7)</f>
        <v>0</v>
      </c>
      <c r="E8" s="560"/>
      <c r="F8" s="560"/>
      <c r="G8" s="560"/>
      <c r="H8" s="560"/>
      <c r="I8" s="560"/>
      <c r="J8" s="560"/>
      <c r="K8" s="556"/>
    </row>
    <row r="9" spans="1:11" s="557" customFormat="1" ht="11.4">
      <c r="A9" s="561" t="s">
        <v>619</v>
      </c>
      <c r="B9" s="558">
        <f>'Sources and Uses Budget'!C9</f>
        <v>0</v>
      </c>
      <c r="C9" s="559"/>
      <c r="D9" s="559"/>
      <c r="E9" s="560"/>
      <c r="F9" s="560"/>
      <c r="G9" s="560"/>
      <c r="H9" s="558">
        <f>'Sources and Uses Budget'!T9</f>
        <v>0</v>
      </c>
      <c r="I9" s="559"/>
      <c r="J9" s="559"/>
      <c r="K9" s="556"/>
    </row>
    <row r="10" spans="1:11" s="557" customFormat="1" ht="11.4">
      <c r="A10" s="561" t="s">
        <v>620</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621</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24590</v>
      </c>
      <c r="C12" s="558">
        <f>SUM(C8+C11)</f>
        <v>0</v>
      </c>
      <c r="D12" s="558">
        <f>SUM(D8+D11)</f>
        <v>0</v>
      </c>
      <c r="E12" s="560"/>
      <c r="F12" s="560"/>
      <c r="G12" s="560"/>
      <c r="H12" s="560"/>
      <c r="I12" s="560"/>
      <c r="J12" s="560"/>
      <c r="K12" s="556"/>
    </row>
    <row r="13" spans="1:11" s="557" customFormat="1" ht="11.4">
      <c r="A13" s="563" t="s">
        <v>952</v>
      </c>
      <c r="B13" s="558">
        <f>'Sources and Uses Budget'!C13</f>
        <v>0</v>
      </c>
      <c r="C13" s="559"/>
      <c r="D13" s="559"/>
      <c r="E13" s="558">
        <f>'Sources and Uses Budget'!S13</f>
        <v>0</v>
      </c>
      <c r="F13" s="559"/>
      <c r="G13" s="559"/>
      <c r="H13" s="558">
        <f>'Sources and Uses Budget'!T13</f>
        <v>0</v>
      </c>
      <c r="I13" s="559"/>
      <c r="J13" s="559"/>
      <c r="K13" s="556"/>
    </row>
    <row r="14" spans="1:11" s="557" customFormat="1" ht="22.8">
      <c r="A14" s="564" t="s">
        <v>953</v>
      </c>
      <c r="B14" s="558">
        <f>'Sources and Uses Budget'!C14</f>
        <v>0</v>
      </c>
      <c r="C14" s="559"/>
      <c r="D14" s="559"/>
      <c r="E14" s="558">
        <f>'Sources and Uses Budget'!S14</f>
        <v>0</v>
      </c>
      <c r="F14" s="559"/>
      <c r="G14" s="559"/>
      <c r="H14" s="558">
        <f>'Sources and Uses Budget'!T14</f>
        <v>0</v>
      </c>
      <c r="I14" s="559"/>
      <c r="J14" s="559"/>
      <c r="K14" s="556"/>
    </row>
    <row r="15" spans="1:11" s="557" customFormat="1" ht="11.4">
      <c r="A15" s="564" t="s">
        <v>1321</v>
      </c>
      <c r="B15" s="558">
        <f>'Sources and Uses Budget'!C15</f>
        <v>0</v>
      </c>
      <c r="C15" s="559"/>
      <c r="D15" s="559"/>
      <c r="E15" s="560">
        <f>'Sources and Uses Budget'!S15</f>
        <v>0</v>
      </c>
      <c r="F15" s="560"/>
      <c r="G15" s="560"/>
      <c r="H15" s="560">
        <f>'Sources and Uses Budget'!T15</f>
        <v>0</v>
      </c>
      <c r="I15" s="560"/>
      <c r="J15" s="560"/>
      <c r="K15" s="556"/>
    </row>
    <row r="16" spans="1:11" s="557" customFormat="1" ht="11.4">
      <c r="A16" s="554" t="s">
        <v>622</v>
      </c>
      <c r="B16" s="555"/>
      <c r="C16" s="555"/>
      <c r="D16" s="555"/>
      <c r="E16" s="555"/>
      <c r="F16" s="555"/>
      <c r="G16" s="555"/>
      <c r="H16" s="555"/>
      <c r="I16" s="555"/>
      <c r="J16" s="555"/>
      <c r="K16" s="556"/>
    </row>
    <row r="17" spans="1:11" s="557" customFormat="1" ht="11.4">
      <c r="A17" s="561" t="s">
        <v>623</v>
      </c>
      <c r="B17" s="558">
        <f>'Sources and Uses Budget'!C17</f>
        <v>0</v>
      </c>
      <c r="C17" s="559"/>
      <c r="D17" s="559"/>
      <c r="E17" s="558">
        <f>'Sources and Uses Budget'!S17</f>
        <v>0</v>
      </c>
      <c r="F17" s="559"/>
      <c r="G17" s="559"/>
      <c r="H17" s="558">
        <f>'Sources and Uses Budget'!T17</f>
        <v>0</v>
      </c>
      <c r="I17" s="559"/>
      <c r="J17" s="559"/>
      <c r="K17" s="556"/>
    </row>
    <row r="18" spans="1:11" s="557" customFormat="1" ht="11.4">
      <c r="A18" s="561" t="s">
        <v>624</v>
      </c>
      <c r="B18" s="558">
        <f>'Sources and Uses Budget'!C18</f>
        <v>0</v>
      </c>
      <c r="C18" s="559"/>
      <c r="D18" s="559"/>
      <c r="E18" s="558">
        <f>'Sources and Uses Budget'!S18</f>
        <v>0</v>
      </c>
      <c r="F18" s="559"/>
      <c r="G18" s="559"/>
      <c r="H18" s="558">
        <f>'Sources and Uses Budget'!T18</f>
        <v>0</v>
      </c>
      <c r="I18" s="559"/>
      <c r="J18" s="559"/>
      <c r="K18" s="556"/>
    </row>
    <row r="19" spans="1:11" s="557" customFormat="1" ht="11.4">
      <c r="A19" s="561" t="s">
        <v>625</v>
      </c>
      <c r="B19" s="558">
        <f>'Sources and Uses Budget'!C19</f>
        <v>0</v>
      </c>
      <c r="C19" s="559"/>
      <c r="D19" s="559"/>
      <c r="E19" s="558">
        <f>'Sources and Uses Budget'!S19</f>
        <v>0</v>
      </c>
      <c r="F19" s="559"/>
      <c r="G19" s="559"/>
      <c r="H19" s="558">
        <f>'Sources and Uses Budget'!T19</f>
        <v>0</v>
      </c>
      <c r="I19" s="559"/>
      <c r="J19" s="559"/>
      <c r="K19" s="556"/>
    </row>
    <row r="20" spans="1:11" s="557" customFormat="1" ht="11.4">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ht="11.4">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ht="11.4">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ht="11.4">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ht="11.4">
      <c r="A24" s="850" t="s">
        <v>1843</v>
      </c>
      <c r="B24" s="558">
        <f>'Sources and Uses Budget'!C24</f>
        <v>0</v>
      </c>
      <c r="C24" s="559"/>
      <c r="D24" s="559"/>
      <c r="E24" s="558">
        <f>'Sources and Uses Budget'!S24</f>
        <v>0</v>
      </c>
      <c r="F24" s="559"/>
      <c r="G24" s="559"/>
      <c r="H24" s="558">
        <f>'Sources and Uses Budget'!T24</f>
        <v>0</v>
      </c>
      <c r="I24" s="559"/>
      <c r="J24" s="559"/>
      <c r="K24" s="556"/>
    </row>
    <row r="25" spans="1:11" s="557" customFormat="1" ht="11.4">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49180</v>
      </c>
      <c r="C27" s="559"/>
      <c r="D27" s="559"/>
      <c r="E27" s="558">
        <f>'Sources and Uses Budget'!S27</f>
        <v>0</v>
      </c>
      <c r="F27" s="559"/>
      <c r="G27" s="559"/>
      <c r="H27" s="558">
        <f>'Sources and Uses Budget'!T27</f>
        <v>0</v>
      </c>
      <c r="I27" s="559"/>
      <c r="J27" s="559"/>
      <c r="K27" s="556"/>
    </row>
    <row r="28" spans="1:11" s="557" customFormat="1" ht="11.4">
      <c r="A28" s="554" t="s">
        <v>147</v>
      </c>
      <c r="B28" s="555"/>
      <c r="C28" s="555"/>
      <c r="D28" s="555"/>
      <c r="E28" s="555"/>
      <c r="F28" s="555"/>
      <c r="G28" s="555"/>
      <c r="H28" s="555"/>
      <c r="I28" s="555"/>
      <c r="J28" s="555"/>
      <c r="K28" s="556"/>
    </row>
    <row r="29" spans="1:11" s="557" customFormat="1" ht="11.4">
      <c r="A29" s="215" t="s">
        <v>623</v>
      </c>
      <c r="B29" s="558">
        <f>'Sources and Uses Budget'!C29</f>
        <v>2083518</v>
      </c>
      <c r="C29" s="559"/>
      <c r="D29" s="559"/>
      <c r="E29" s="558">
        <f>'Sources and Uses Budget'!S29</f>
        <v>2083518</v>
      </c>
      <c r="F29" s="559"/>
      <c r="G29" s="559"/>
      <c r="H29" s="558">
        <f>'Sources and Uses Budget'!T29</f>
        <v>0</v>
      </c>
      <c r="I29" s="559"/>
      <c r="J29" s="559"/>
      <c r="K29" s="556"/>
    </row>
    <row r="30" spans="1:11" s="557" customFormat="1" ht="11.4">
      <c r="A30" s="215" t="s">
        <v>624</v>
      </c>
      <c r="B30" s="558">
        <f>'Sources and Uses Budget'!C30</f>
        <v>57869023</v>
      </c>
      <c r="C30" s="559"/>
      <c r="D30" s="559"/>
      <c r="E30" s="558">
        <f>'Sources and Uses Budget'!S30</f>
        <v>57869023</v>
      </c>
      <c r="F30" s="559"/>
      <c r="G30" s="559"/>
      <c r="H30" s="558">
        <f>'Sources and Uses Budget'!T30</f>
        <v>0</v>
      </c>
      <c r="I30" s="559"/>
      <c r="J30" s="559"/>
      <c r="K30" s="556"/>
    </row>
    <row r="31" spans="1:11" s="557" customFormat="1" ht="11.4">
      <c r="A31" s="215" t="s">
        <v>625</v>
      </c>
      <c r="B31" s="558">
        <f>'Sources and Uses Budget'!C31</f>
        <v>2753142</v>
      </c>
      <c r="C31" s="559"/>
      <c r="D31" s="559"/>
      <c r="E31" s="558">
        <f>'Sources and Uses Budget'!S31</f>
        <v>2753142</v>
      </c>
      <c r="F31" s="559"/>
      <c r="G31" s="559"/>
      <c r="H31" s="558">
        <f>'Sources and Uses Budget'!T31</f>
        <v>0</v>
      </c>
      <c r="I31" s="559"/>
      <c r="J31" s="559"/>
      <c r="K31" s="556"/>
    </row>
    <row r="32" spans="1:11" s="557" customFormat="1" ht="11.4">
      <c r="A32" s="215" t="s">
        <v>142</v>
      </c>
      <c r="B32" s="558">
        <f>'Sources and Uses Budget'!C32</f>
        <v>2070539</v>
      </c>
      <c r="C32" s="559"/>
      <c r="D32" s="559"/>
      <c r="E32" s="558">
        <f>'Sources and Uses Budget'!S32</f>
        <v>2070539</v>
      </c>
      <c r="F32" s="559"/>
      <c r="G32" s="559"/>
      <c r="H32" s="558">
        <f>'Sources and Uses Budget'!T32</f>
        <v>0</v>
      </c>
      <c r="I32" s="559"/>
      <c r="J32" s="559"/>
      <c r="K32" s="556"/>
    </row>
    <row r="33" spans="1:11" s="557" customFormat="1" ht="11.4">
      <c r="A33" s="215" t="s">
        <v>143</v>
      </c>
      <c r="B33" s="558">
        <f>'Sources and Uses Budget'!C33</f>
        <v>2070539</v>
      </c>
      <c r="C33" s="559"/>
      <c r="D33" s="559"/>
      <c r="E33" s="558">
        <f>'Sources and Uses Budget'!S33</f>
        <v>2070539</v>
      </c>
      <c r="F33" s="559"/>
      <c r="G33" s="559"/>
      <c r="H33" s="558">
        <f>'Sources and Uses Budget'!T33</f>
        <v>0</v>
      </c>
      <c r="I33" s="559"/>
      <c r="J33" s="559"/>
      <c r="K33" s="556"/>
    </row>
    <row r="34" spans="1:11" s="557" customFormat="1" ht="11.4">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ht="11.4">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ht="11.4">
      <c r="A36" s="850" t="s">
        <v>1843</v>
      </c>
      <c r="B36" s="558">
        <f>'Sources and Uses Budget'!C36</f>
        <v>289552</v>
      </c>
      <c r="C36" s="559"/>
      <c r="D36" s="559"/>
      <c r="E36" s="558">
        <f>'Sources and Uses Budget'!S36</f>
        <v>289552</v>
      </c>
      <c r="F36" s="559"/>
      <c r="G36" s="559"/>
      <c r="H36" s="558">
        <f>'Sources and Uses Budget'!T36</f>
        <v>0</v>
      </c>
      <c r="I36" s="559"/>
      <c r="J36" s="559"/>
      <c r="K36" s="556"/>
    </row>
    <row r="37" spans="1:11" s="557" customFormat="1" ht="11.4">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67136313</v>
      </c>
      <c r="C38" s="558">
        <f>SUM(C29:C37)</f>
        <v>0</v>
      </c>
      <c r="D38" s="558">
        <f>SUM(D29:D37)</f>
        <v>0</v>
      </c>
      <c r="E38" s="558">
        <f>'Sources and Uses Budget'!S38</f>
        <v>67136313</v>
      </c>
      <c r="F38" s="565">
        <f>SUM(F29:F37)</f>
        <v>0</v>
      </c>
      <c r="G38" s="565">
        <f>SUM(G29:G37)</f>
        <v>0</v>
      </c>
      <c r="H38" s="558">
        <f>'Sources and Uses Budget'!T38</f>
        <v>0</v>
      </c>
      <c r="I38" s="565">
        <f>SUM(I29:I37)</f>
        <v>0</v>
      </c>
      <c r="J38" s="565">
        <f>SUM(J29:J37)</f>
        <v>0</v>
      </c>
      <c r="K38" s="556"/>
    </row>
    <row r="39" spans="1:11" s="557" customFormat="1" ht="11.4">
      <c r="A39" s="554" t="s">
        <v>149</v>
      </c>
      <c r="B39" s="555"/>
      <c r="C39" s="555"/>
      <c r="D39" s="555"/>
      <c r="E39" s="555"/>
      <c r="F39" s="555"/>
      <c r="G39" s="555"/>
      <c r="H39" s="555"/>
      <c r="I39" s="555"/>
      <c r="J39" s="555"/>
      <c r="K39" s="556"/>
    </row>
    <row r="40" spans="1:11" s="557" customFormat="1" ht="11.4">
      <c r="A40" s="561" t="s">
        <v>150</v>
      </c>
      <c r="B40" s="558">
        <f>'Sources and Uses Budget'!C40</f>
        <v>2613375</v>
      </c>
      <c r="C40" s="559"/>
      <c r="D40" s="559"/>
      <c r="E40" s="558">
        <f>'Sources and Uses Budget'!S40</f>
        <v>2613375</v>
      </c>
      <c r="F40" s="559"/>
      <c r="G40" s="559"/>
      <c r="H40" s="558">
        <f>'Sources and Uses Budget'!T40</f>
        <v>0</v>
      </c>
      <c r="I40" s="559"/>
      <c r="J40" s="559"/>
      <c r="K40" s="556"/>
    </row>
    <row r="41" spans="1:11" s="557" customFormat="1" ht="11.4">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2613375</v>
      </c>
      <c r="C42" s="558">
        <f>SUM(C39:C41)</f>
        <v>0</v>
      </c>
      <c r="D42" s="558">
        <f>SUM(D39:D41)</f>
        <v>0</v>
      </c>
      <c r="E42" s="558">
        <f>'Sources and Uses Budget'!S42</f>
        <v>2613375</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616896</v>
      </c>
      <c r="C43" s="559"/>
      <c r="D43" s="559"/>
      <c r="E43" s="558">
        <f>'Sources and Uses Budget'!S43</f>
        <v>616896</v>
      </c>
      <c r="F43" s="559"/>
      <c r="G43" s="559"/>
      <c r="H43" s="558">
        <f>'Sources and Uses Budget'!T43</f>
        <v>0</v>
      </c>
      <c r="I43" s="559"/>
      <c r="J43" s="559"/>
      <c r="K43" s="556"/>
    </row>
    <row r="44" spans="1:11" s="557" customFormat="1" ht="11.4">
      <c r="A44" s="554" t="s">
        <v>154</v>
      </c>
      <c r="B44" s="555"/>
      <c r="C44" s="555"/>
      <c r="D44" s="555"/>
      <c r="E44" s="555"/>
      <c r="F44" s="555"/>
      <c r="G44" s="555"/>
      <c r="H44" s="555"/>
      <c r="I44" s="555"/>
      <c r="J44" s="555"/>
      <c r="K44" s="556"/>
    </row>
    <row r="45" spans="1:11" s="557" customFormat="1" ht="11.4">
      <c r="A45" s="561" t="s">
        <v>155</v>
      </c>
      <c r="B45" s="558">
        <f>'Sources and Uses Budget'!C45</f>
        <v>6278975</v>
      </c>
      <c r="C45" s="559"/>
      <c r="D45" s="559"/>
      <c r="E45" s="558">
        <f>'Sources and Uses Budget'!S45</f>
        <v>2500770</v>
      </c>
      <c r="F45" s="559"/>
      <c r="G45" s="559"/>
      <c r="H45" s="558">
        <f>'Sources and Uses Budget'!T45</f>
        <v>0</v>
      </c>
      <c r="I45" s="559"/>
      <c r="J45" s="559"/>
      <c r="K45" s="556"/>
    </row>
    <row r="46" spans="1:11" s="557" customFormat="1" ht="11.4">
      <c r="A46" s="561" t="s">
        <v>156</v>
      </c>
      <c r="B46" s="558">
        <f>'Sources and Uses Budget'!C46</f>
        <v>431299</v>
      </c>
      <c r="C46" s="559"/>
      <c r="D46" s="559"/>
      <c r="E46" s="558">
        <f>'Sources and Uses Budget'!S46</f>
        <v>139373</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ht="11.4">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ht="11.4">
      <c r="A49" s="437" t="s">
        <v>60</v>
      </c>
      <c r="B49" s="558">
        <f>'Sources and Uses Budget'!C49</f>
        <v>409183</v>
      </c>
      <c r="C49" s="559"/>
      <c r="D49" s="559"/>
      <c r="E49" s="558">
        <f>'Sources and Uses Budget'!S49</f>
        <v>0</v>
      </c>
      <c r="F49" s="559"/>
      <c r="G49" s="559"/>
      <c r="H49" s="558">
        <f>'Sources and Uses Budget'!T49</f>
        <v>0</v>
      </c>
      <c r="I49" s="559"/>
      <c r="J49" s="559"/>
      <c r="K49" s="556"/>
    </row>
    <row r="50" spans="1:11" s="557" customFormat="1" ht="11.4">
      <c r="A50" s="561" t="s">
        <v>161</v>
      </c>
      <c r="B50" s="558">
        <f>'Sources and Uses Budget'!C50</f>
        <v>122950</v>
      </c>
      <c r="C50" s="559"/>
      <c r="D50" s="559"/>
      <c r="E50" s="558">
        <f>'Sources and Uses Budget'!S50</f>
        <v>122950</v>
      </c>
      <c r="F50" s="559"/>
      <c r="G50" s="559"/>
      <c r="H50" s="558">
        <f>'Sources and Uses Budget'!T50</f>
        <v>0</v>
      </c>
      <c r="I50" s="559"/>
      <c r="J50" s="559"/>
      <c r="K50" s="556"/>
    </row>
    <row r="51" spans="1:11" s="557" customFormat="1" ht="11.4">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ht="11.4">
      <c r="A52" s="561" t="s">
        <v>160</v>
      </c>
      <c r="B52" s="558">
        <f>'Sources and Uses Budget'!C52</f>
        <v>737700</v>
      </c>
      <c r="C52" s="559"/>
      <c r="D52" s="559"/>
      <c r="E52" s="558">
        <f>'Sources and Uses Budget'!S52</f>
        <v>737700</v>
      </c>
      <c r="F52" s="559"/>
      <c r="G52" s="559"/>
      <c r="H52" s="558">
        <f>'Sources and Uses Budget'!T52</f>
        <v>0</v>
      </c>
      <c r="I52" s="559"/>
      <c r="J52" s="559"/>
      <c r="K52" s="556"/>
    </row>
    <row r="53" spans="1:11" s="557" customFormat="1" ht="11.4">
      <c r="A53" s="564" t="str">
        <f>'Sources and Uses Budget'!$A53</f>
        <v>Other: Construction Lender Expenses</v>
      </c>
      <c r="B53" s="558">
        <f>'Sources and Uses Budget'!C53</f>
        <v>39344</v>
      </c>
      <c r="C53" s="559"/>
      <c r="D53" s="559"/>
      <c r="E53" s="558">
        <f>'Sources and Uses Budget'!S53</f>
        <v>12714</v>
      </c>
      <c r="F53" s="559"/>
      <c r="G53" s="559"/>
      <c r="H53" s="558">
        <f>'Sources and Uses Budget'!T53</f>
        <v>0</v>
      </c>
      <c r="I53" s="559"/>
      <c r="J53" s="559"/>
      <c r="K53" s="556"/>
    </row>
    <row r="54" spans="1:11" s="568" customFormat="1">
      <c r="A54" s="562" t="s">
        <v>162</v>
      </c>
      <c r="B54" s="558">
        <f>'Sources and Uses Budget'!C54</f>
        <v>8019451</v>
      </c>
      <c r="C54" s="565">
        <f>SUM(C45:C53)</f>
        <v>0</v>
      </c>
      <c r="D54" s="565">
        <f>SUM(D45:D53)</f>
        <v>0</v>
      </c>
      <c r="E54" s="558">
        <f>'Sources and Uses Budget'!S54</f>
        <v>3513507</v>
      </c>
      <c r="F54" s="565">
        <f>SUM(F45:F53)</f>
        <v>0</v>
      </c>
      <c r="G54" s="565">
        <f>SUM(G45:G53)</f>
        <v>0</v>
      </c>
      <c r="H54" s="558">
        <f>'Sources and Uses Budget'!T54</f>
        <v>0</v>
      </c>
      <c r="I54" s="565">
        <f>SUM(I45:I53)</f>
        <v>0</v>
      </c>
      <c r="J54" s="565">
        <f>SUM(J45:J53)</f>
        <v>0</v>
      </c>
      <c r="K54" s="567"/>
    </row>
    <row r="55" spans="1:11" s="557" customFormat="1" ht="11.4">
      <c r="A55" s="554" t="s">
        <v>434</v>
      </c>
      <c r="B55" s="555"/>
      <c r="C55" s="555"/>
      <c r="D55" s="555"/>
      <c r="E55" s="555"/>
      <c r="F55" s="555"/>
      <c r="G55" s="555"/>
      <c r="H55" s="555"/>
      <c r="I55" s="555"/>
      <c r="J55" s="555"/>
      <c r="K55" s="556"/>
    </row>
    <row r="56" spans="1:11" s="557" customFormat="1" ht="11.4">
      <c r="A56" s="561" t="s">
        <v>163</v>
      </c>
      <c r="B56" s="558">
        <f>'Sources and Uses Budget'!C56</f>
        <v>31030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ht="11.4">
      <c r="A58" s="561" t="s">
        <v>161</v>
      </c>
      <c r="B58" s="558">
        <f>'Sources and Uses Budget'!C58</f>
        <v>49180</v>
      </c>
      <c r="C58" s="559"/>
      <c r="D58" s="559"/>
      <c r="E58" s="560"/>
      <c r="F58" s="560"/>
      <c r="G58" s="560"/>
      <c r="H58" s="560"/>
      <c r="I58" s="560"/>
      <c r="J58" s="560"/>
      <c r="K58" s="556"/>
    </row>
    <row r="59" spans="1:11" s="557" customFormat="1" ht="11.4">
      <c r="A59" s="561" t="s">
        <v>159</v>
      </c>
      <c r="B59" s="558">
        <f>'Sources and Uses Budget'!C59</f>
        <v>0</v>
      </c>
      <c r="C59" s="559"/>
      <c r="D59" s="559"/>
      <c r="E59" s="560"/>
      <c r="F59" s="560"/>
      <c r="G59" s="560"/>
      <c r="H59" s="560"/>
      <c r="I59" s="560"/>
      <c r="J59" s="560"/>
      <c r="K59" s="556"/>
    </row>
    <row r="60" spans="1:11" s="557" customFormat="1" ht="11.4">
      <c r="A60" s="561" t="s">
        <v>160</v>
      </c>
      <c r="B60" s="558">
        <f>'Sources and Uses Budget'!C60</f>
        <v>0</v>
      </c>
      <c r="C60" s="559"/>
      <c r="D60" s="559"/>
      <c r="E60" s="560"/>
      <c r="F60" s="560"/>
      <c r="G60" s="560"/>
      <c r="H60" s="560"/>
      <c r="I60" s="560"/>
      <c r="J60" s="560"/>
      <c r="K60" s="556"/>
    </row>
    <row r="61" spans="1:11" s="557" customFormat="1" ht="11.4">
      <c r="A61" s="564" t="str">
        <f>'Sources and Uses Budget'!$A61</f>
        <v>Other: Perm Lender Expenses</v>
      </c>
      <c r="B61" s="558">
        <f>'Sources and Uses Budget'!C61</f>
        <v>25000</v>
      </c>
      <c r="C61" s="559"/>
      <c r="D61" s="559"/>
      <c r="E61" s="560"/>
      <c r="F61" s="560"/>
      <c r="G61" s="560"/>
      <c r="H61" s="560"/>
      <c r="I61" s="560"/>
      <c r="J61" s="560"/>
      <c r="K61" s="556"/>
    </row>
    <row r="62" spans="1:11" s="557" customFormat="1" ht="13.65" customHeight="1">
      <c r="A62" s="562" t="s">
        <v>306</v>
      </c>
      <c r="B62" s="558">
        <f>'Sources and Uses Budget'!C62</f>
        <v>105210</v>
      </c>
      <c r="C62" s="558">
        <f>SUM(C56:C61)</f>
        <v>0</v>
      </c>
      <c r="D62" s="558">
        <f>SUM(D56:D61)</f>
        <v>0</v>
      </c>
      <c r="E62" s="560"/>
      <c r="F62" s="560"/>
      <c r="G62" s="560"/>
      <c r="H62" s="560"/>
      <c r="I62" s="560"/>
      <c r="J62" s="560"/>
      <c r="K62" s="556"/>
    </row>
    <row r="63" spans="1:11" s="557" customFormat="1" ht="11.4">
      <c r="A63" s="569" t="s">
        <v>307</v>
      </c>
      <c r="B63" s="558">
        <f>'Sources and Uses Budget'!C63</f>
        <v>78565015</v>
      </c>
      <c r="C63" s="558">
        <f>SUM(C8+C11+C13+C14+C15+C26+C27+C38+C42+C43+C54+C62)</f>
        <v>0</v>
      </c>
      <c r="D63" s="558">
        <f>SUM(D8+D11+D13+D14+D15+D26+D27+D38+D42+D43+D54+D62)</f>
        <v>0</v>
      </c>
      <c r="E63" s="558">
        <f>'Sources and Uses Budget'!S63</f>
        <v>73880091</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2.8">
      <c r="A64" s="211" t="s">
        <v>1847</v>
      </c>
      <c r="B64" s="555"/>
      <c r="C64" s="555"/>
      <c r="D64" s="555"/>
      <c r="E64" s="555"/>
      <c r="F64" s="555"/>
      <c r="G64" s="555"/>
      <c r="H64" s="555"/>
      <c r="I64" s="555"/>
      <c r="J64" s="555"/>
      <c r="K64" s="556"/>
    </row>
    <row r="65" spans="1:11" s="557" customFormat="1" ht="11.4">
      <c r="A65" s="215" t="s">
        <v>175</v>
      </c>
      <c r="B65" s="558">
        <f>'Sources and Uses Budget'!C65</f>
        <v>103934</v>
      </c>
      <c r="C65" s="559"/>
      <c r="D65" s="559"/>
      <c r="E65" s="558">
        <f>'Sources and Uses Budget'!S65</f>
        <v>20660</v>
      </c>
      <c r="F65" s="559"/>
      <c r="G65" s="559"/>
      <c r="H65" s="558">
        <f>'Sources and Uses Budget'!T65</f>
        <v>0</v>
      </c>
      <c r="I65" s="559"/>
      <c r="J65" s="559"/>
      <c r="K65" s="556"/>
    </row>
    <row r="66" spans="1:11" s="557" customFormat="1" ht="22.8">
      <c r="A66" s="437" t="s">
        <v>1844</v>
      </c>
      <c r="B66" s="558">
        <f>'Sources and Uses Budget'!C66</f>
        <v>0</v>
      </c>
      <c r="C66" s="559"/>
      <c r="D66" s="559"/>
      <c r="E66" s="558">
        <f>'Sources and Uses Budget'!S66</f>
        <v>0</v>
      </c>
      <c r="F66" s="559"/>
      <c r="G66" s="559"/>
      <c r="H66" s="558">
        <f>'Sources and Uses Budget'!T66</f>
        <v>0</v>
      </c>
      <c r="I66" s="559"/>
      <c r="J66" s="559"/>
      <c r="K66" s="556"/>
    </row>
    <row r="67" spans="1:11" s="557" customFormat="1" ht="22.8">
      <c r="A67" s="437" t="s">
        <v>1845</v>
      </c>
      <c r="B67" s="558">
        <f>'Sources and Uses Budget'!C67</f>
        <v>9900</v>
      </c>
      <c r="C67" s="559"/>
      <c r="D67" s="559"/>
      <c r="E67" s="558">
        <f>'Sources and Uses Budget'!S67</f>
        <v>9900</v>
      </c>
      <c r="F67" s="559"/>
      <c r="G67" s="559"/>
      <c r="H67" s="558">
        <f>'Sources and Uses Budget'!T67</f>
        <v>0</v>
      </c>
      <c r="I67" s="559"/>
      <c r="J67" s="559"/>
      <c r="K67" s="556"/>
    </row>
    <row r="68" spans="1:11" s="557" customFormat="1" ht="11.4">
      <c r="A68" s="437" t="s">
        <v>1851</v>
      </c>
      <c r="B68" s="558">
        <f>'Sources and Uses Budget'!C68</f>
        <v>0</v>
      </c>
      <c r="C68" s="559"/>
      <c r="D68" s="559"/>
      <c r="E68" s="558">
        <f>'Sources and Uses Budget'!S68</f>
        <v>0</v>
      </c>
      <c r="F68" s="559"/>
      <c r="G68" s="559"/>
      <c r="H68" s="558">
        <f>'Sources and Uses Budget'!T68</f>
        <v>0</v>
      </c>
      <c r="I68" s="559"/>
      <c r="J68" s="559"/>
      <c r="K68" s="556"/>
    </row>
    <row r="69" spans="1:11" s="557" customFormat="1" ht="11.4">
      <c r="A69" s="564" t="str">
        <f>'Sources and Uses Budget'!$A69</f>
        <v>Other: Borrower Legal</v>
      </c>
      <c r="B69" s="558">
        <f>'Sources and Uses Budget'!C69</f>
        <v>118032</v>
      </c>
      <c r="C69" s="559"/>
      <c r="D69" s="559"/>
      <c r="E69" s="558">
        <f>'Sources and Uses Budget'!S69</f>
        <v>103278</v>
      </c>
      <c r="F69" s="559"/>
      <c r="G69" s="559"/>
      <c r="H69" s="558">
        <f>'Sources and Uses Budget'!T69</f>
        <v>0</v>
      </c>
      <c r="I69" s="559"/>
      <c r="J69" s="559"/>
      <c r="K69" s="556"/>
    </row>
    <row r="70" spans="1:11" s="557" customFormat="1">
      <c r="A70" s="562" t="s">
        <v>626</v>
      </c>
      <c r="B70" s="558">
        <f>'Sources and Uses Budget'!C70</f>
        <v>231866</v>
      </c>
      <c r="C70" s="558">
        <f>SUM(C64:C69)</f>
        <v>0</v>
      </c>
      <c r="D70" s="558">
        <f>SUM(D64:D69)</f>
        <v>0</v>
      </c>
      <c r="E70" s="558">
        <f>'Sources and Uses Budget'!S70</f>
        <v>133838</v>
      </c>
      <c r="F70" s="565">
        <f>SUM(F65:F69)</f>
        <v>0</v>
      </c>
      <c r="G70" s="565">
        <f>SUM(G65:G69)</f>
        <v>0</v>
      </c>
      <c r="H70" s="558">
        <f>'Sources and Uses Budget'!T70</f>
        <v>0</v>
      </c>
      <c r="I70" s="565">
        <f>SUM(I65:I69)</f>
        <v>0</v>
      </c>
      <c r="J70" s="565">
        <f>SUM(J65:J69)</f>
        <v>0</v>
      </c>
      <c r="K70" s="556"/>
    </row>
    <row r="71" spans="1:11" s="557" customFormat="1" ht="11.4">
      <c r="A71" s="554" t="s">
        <v>627</v>
      </c>
      <c r="B71" s="555"/>
      <c r="C71" s="555"/>
      <c r="D71" s="555"/>
      <c r="E71" s="555"/>
      <c r="F71" s="555"/>
      <c r="G71" s="555"/>
      <c r="H71" s="555"/>
      <c r="I71" s="555"/>
      <c r="J71" s="555"/>
      <c r="K71" s="556"/>
    </row>
    <row r="72" spans="1:11" s="557" customFormat="1" ht="11.4">
      <c r="A72" s="561" t="s">
        <v>628</v>
      </c>
      <c r="B72" s="558">
        <f>'Sources and Uses Budget'!C72</f>
        <v>0</v>
      </c>
      <c r="C72" s="559"/>
      <c r="D72" s="559"/>
      <c r="E72" s="560"/>
      <c r="F72" s="560"/>
      <c r="G72" s="560"/>
      <c r="H72" s="560"/>
      <c r="I72" s="560"/>
      <c r="J72" s="560"/>
      <c r="K72" s="556"/>
    </row>
    <row r="73" spans="1:11" s="557" customFormat="1" ht="11.4">
      <c r="A73" s="561" t="s">
        <v>629</v>
      </c>
      <c r="B73" s="558">
        <f>'Sources and Uses Budget'!C73</f>
        <v>0</v>
      </c>
      <c r="C73" s="559"/>
      <c r="D73" s="559"/>
      <c r="E73" s="560"/>
      <c r="F73" s="560"/>
      <c r="G73" s="560"/>
      <c r="H73" s="560"/>
      <c r="I73" s="560"/>
      <c r="J73" s="560"/>
      <c r="K73" s="556"/>
    </row>
    <row r="74" spans="1:11" s="557" customFormat="1" ht="11.4">
      <c r="A74" s="731" t="s">
        <v>1056</v>
      </c>
      <c r="B74" s="558">
        <f>'Sources and Uses Budget'!C74</f>
        <v>0</v>
      </c>
      <c r="C74" s="559"/>
      <c r="D74" s="559"/>
      <c r="E74" s="560"/>
      <c r="F74" s="560"/>
      <c r="G74" s="560"/>
      <c r="H74" s="560"/>
      <c r="I74" s="560"/>
      <c r="J74" s="560"/>
      <c r="K74" s="556"/>
    </row>
    <row r="75" spans="1:11" s="557" customFormat="1" ht="11.4">
      <c r="A75" s="561" t="s">
        <v>630</v>
      </c>
      <c r="B75" s="558">
        <f>'Sources and Uses Budget'!C75</f>
        <v>490766</v>
      </c>
      <c r="C75" s="559"/>
      <c r="D75" s="559"/>
      <c r="E75" s="560"/>
      <c r="F75" s="560"/>
      <c r="G75" s="560"/>
      <c r="H75" s="560"/>
      <c r="I75" s="560"/>
      <c r="J75" s="560"/>
      <c r="K75" s="556"/>
    </row>
    <row r="76" spans="1:11" s="557" customFormat="1" ht="22.8">
      <c r="A76" s="564" t="str">
        <f>'Sources and Uses Budget'!$A76</f>
        <v>Other: Additional Operating Reserve; HCD Required Transition Reserve</v>
      </c>
      <c r="B76" s="558">
        <f>'Sources and Uses Budget'!C76</f>
        <v>614884</v>
      </c>
      <c r="C76" s="559"/>
      <c r="D76" s="559"/>
      <c r="E76" s="560"/>
      <c r="F76" s="560"/>
      <c r="G76" s="560"/>
      <c r="H76" s="560"/>
      <c r="I76" s="560"/>
      <c r="J76" s="560"/>
      <c r="K76" s="556"/>
    </row>
    <row r="77" spans="1:11" s="557" customFormat="1">
      <c r="A77" s="562" t="s">
        <v>631</v>
      </c>
      <c r="B77" s="558">
        <f>'Sources and Uses Budget'!C77</f>
        <v>1105650</v>
      </c>
      <c r="C77" s="558">
        <f>SUM(C72:C76)</f>
        <v>0</v>
      </c>
      <c r="D77" s="558">
        <f>SUM(D72:D76)</f>
        <v>0</v>
      </c>
      <c r="E77" s="560"/>
      <c r="F77" s="560"/>
      <c r="G77" s="560"/>
      <c r="H77" s="560"/>
      <c r="I77" s="560"/>
      <c r="J77" s="560"/>
      <c r="K77" s="556"/>
    </row>
    <row r="78" spans="1:11" s="557" customFormat="1" ht="11.4">
      <c r="A78" s="554" t="s">
        <v>1372</v>
      </c>
      <c r="B78" s="555"/>
      <c r="C78" s="555"/>
      <c r="D78" s="555"/>
      <c r="E78" s="555"/>
      <c r="F78" s="555"/>
      <c r="G78" s="555"/>
      <c r="H78" s="555"/>
      <c r="I78" s="555"/>
      <c r="J78" s="555"/>
      <c r="K78" s="556"/>
    </row>
    <row r="79" spans="1:11" s="557" customFormat="1" ht="11.4">
      <c r="A79" s="561" t="s">
        <v>1374</v>
      </c>
      <c r="B79" s="558">
        <f>'Sources and Uses Budget'!C79</f>
        <v>3342338</v>
      </c>
      <c r="C79" s="559"/>
      <c r="D79" s="559"/>
      <c r="E79" s="558">
        <f>'Sources and Uses Budget'!S79</f>
        <v>3342338</v>
      </c>
      <c r="F79" s="559"/>
      <c r="G79" s="559"/>
      <c r="H79" s="558">
        <f>'Sources and Uses Budget'!T79</f>
        <v>0</v>
      </c>
      <c r="I79" s="559"/>
      <c r="J79" s="559"/>
      <c r="K79" s="556"/>
    </row>
    <row r="80" spans="1:11" s="557" customFormat="1" ht="11.4">
      <c r="A80" s="561" t="s">
        <v>61</v>
      </c>
      <c r="B80" s="558">
        <f>'Sources and Uses Budget'!C80</f>
        <v>590601</v>
      </c>
      <c r="C80" s="559"/>
      <c r="D80" s="559"/>
      <c r="E80" s="558">
        <f>'Sources and Uses Budget'!S80</f>
        <v>590601</v>
      </c>
      <c r="F80" s="559"/>
      <c r="G80" s="559"/>
      <c r="H80" s="558">
        <f>'Sources and Uses Budget'!T80</f>
        <v>0</v>
      </c>
      <c r="I80" s="559"/>
      <c r="J80" s="559"/>
      <c r="K80" s="556"/>
    </row>
    <row r="81" spans="1:11" s="557" customFormat="1">
      <c r="A81" s="562" t="s">
        <v>1371</v>
      </c>
      <c r="B81" s="558">
        <f>'Sources and Uses Budget'!C81</f>
        <v>3932939</v>
      </c>
      <c r="C81" s="558">
        <f>SUM(C79:C80)</f>
        <v>0</v>
      </c>
      <c r="D81" s="558">
        <f>SUM(D79:D80)</f>
        <v>0</v>
      </c>
      <c r="E81" s="558">
        <f>'Sources and Uses Budget'!S81</f>
        <v>3932939</v>
      </c>
      <c r="F81" s="558">
        <f>SUM(F79:F80)</f>
        <v>0</v>
      </c>
      <c r="G81" s="558">
        <f>SUM(G79:G80)</f>
        <v>0</v>
      </c>
      <c r="H81" s="558">
        <f>'Sources and Uses Budget'!T81</f>
        <v>0</v>
      </c>
      <c r="I81" s="558">
        <f>SUM(I79:I80)</f>
        <v>0</v>
      </c>
      <c r="J81" s="558">
        <f>SUM(J79:J80)</f>
        <v>0</v>
      </c>
      <c r="K81" s="556"/>
    </row>
    <row r="82" spans="1:11" s="557" customFormat="1" ht="11.4">
      <c r="A82" s="554" t="s">
        <v>806</v>
      </c>
      <c r="B82" s="555"/>
      <c r="C82" s="555"/>
      <c r="D82" s="555"/>
      <c r="E82" s="555"/>
      <c r="F82" s="555"/>
      <c r="G82" s="555"/>
      <c r="H82" s="555"/>
      <c r="I82" s="555"/>
      <c r="J82" s="555"/>
      <c r="K82" s="556"/>
    </row>
    <row r="83" spans="1:11" s="557" customFormat="1" ht="13.65" customHeight="1">
      <c r="A83" s="215" t="s">
        <v>2725</v>
      </c>
      <c r="B83" s="558">
        <f>'Sources and Uses Budget'!C83</f>
        <v>89701</v>
      </c>
      <c r="C83" s="559"/>
      <c r="D83" s="559"/>
      <c r="E83" s="560"/>
      <c r="F83" s="560"/>
      <c r="G83" s="560"/>
      <c r="H83" s="560"/>
      <c r="I83" s="560"/>
      <c r="J83" s="560"/>
      <c r="K83" s="556"/>
    </row>
    <row r="84" spans="1:11" s="557" customFormat="1" ht="11.4">
      <c r="A84" s="215" t="s">
        <v>807</v>
      </c>
      <c r="B84" s="558">
        <f>'Sources and Uses Budget'!C84</f>
        <v>110163</v>
      </c>
      <c r="C84" s="559"/>
      <c r="D84" s="559"/>
      <c r="E84" s="558">
        <f>'Sources and Uses Budget'!S84</f>
        <v>110163</v>
      </c>
      <c r="F84" s="559"/>
      <c r="G84" s="559"/>
      <c r="H84" s="558">
        <f>'Sources and Uses Budget'!T84</f>
        <v>0</v>
      </c>
      <c r="I84" s="559"/>
      <c r="J84" s="559"/>
      <c r="K84" s="556"/>
    </row>
    <row r="85" spans="1:11" s="557" customFormat="1" ht="11.4">
      <c r="A85" s="215" t="s">
        <v>808</v>
      </c>
      <c r="B85" s="558">
        <f>'Sources and Uses Budget'!C85</f>
        <v>373997</v>
      </c>
      <c r="C85" s="559"/>
      <c r="D85" s="559"/>
      <c r="E85" s="558">
        <f>'Sources and Uses Budget'!S85</f>
        <v>373997</v>
      </c>
      <c r="F85" s="559"/>
      <c r="G85" s="559"/>
      <c r="H85" s="558">
        <f>'Sources and Uses Budget'!T85</f>
        <v>0</v>
      </c>
      <c r="I85" s="559"/>
      <c r="J85" s="559"/>
      <c r="K85" s="556"/>
    </row>
    <row r="86" spans="1:11" s="557" customFormat="1" ht="11.4">
      <c r="A86" s="215" t="s">
        <v>809</v>
      </c>
      <c r="B86" s="558">
        <f>'Sources and Uses Budget'!C86</f>
        <v>229673</v>
      </c>
      <c r="C86" s="559"/>
      <c r="D86" s="559"/>
      <c r="E86" s="558">
        <f>'Sources and Uses Budget'!S86</f>
        <v>229673</v>
      </c>
      <c r="F86" s="559"/>
      <c r="G86" s="559"/>
      <c r="H86" s="558">
        <f>'Sources and Uses Budget'!T86</f>
        <v>0</v>
      </c>
      <c r="I86" s="559"/>
      <c r="J86" s="559"/>
      <c r="K86" s="556"/>
    </row>
    <row r="87" spans="1:11" s="557" customFormat="1" ht="11.4">
      <c r="A87" s="215" t="s">
        <v>810</v>
      </c>
      <c r="B87" s="558">
        <f>'Sources and Uses Budget'!C87</f>
        <v>509958</v>
      </c>
      <c r="C87" s="559"/>
      <c r="D87" s="559"/>
      <c r="E87" s="558">
        <f>'Sources and Uses Budget'!S87</f>
        <v>509958</v>
      </c>
      <c r="F87" s="559"/>
      <c r="G87" s="559"/>
      <c r="H87" s="558">
        <f>'Sources and Uses Budget'!T87</f>
        <v>0</v>
      </c>
      <c r="I87" s="559"/>
      <c r="J87" s="559"/>
      <c r="K87" s="556"/>
    </row>
    <row r="88" spans="1:11" s="557" customFormat="1" ht="11.4">
      <c r="A88" s="215" t="s">
        <v>811</v>
      </c>
      <c r="B88" s="558">
        <f>'Sources and Uses Budget'!C88</f>
        <v>415921</v>
      </c>
      <c r="C88" s="559"/>
      <c r="D88" s="559"/>
      <c r="E88" s="560"/>
      <c r="F88" s="560"/>
      <c r="G88" s="560"/>
      <c r="H88" s="560"/>
      <c r="I88" s="560"/>
      <c r="J88" s="560"/>
      <c r="K88" s="556"/>
    </row>
    <row r="89" spans="1:11" s="557" customFormat="1" ht="11.4">
      <c r="A89" s="215" t="s">
        <v>812</v>
      </c>
      <c r="B89" s="558">
        <f>'Sources and Uses Budget'!C89</f>
        <v>224000</v>
      </c>
      <c r="C89" s="559"/>
      <c r="D89" s="559"/>
      <c r="E89" s="558">
        <f>'Sources and Uses Budget'!S89</f>
        <v>224000</v>
      </c>
      <c r="F89" s="559"/>
      <c r="G89" s="559"/>
      <c r="H89" s="558">
        <f>'Sources and Uses Budget'!T89</f>
        <v>0</v>
      </c>
      <c r="I89" s="559"/>
      <c r="J89" s="559"/>
      <c r="K89" s="556"/>
    </row>
    <row r="90" spans="1:11" s="557" customFormat="1" ht="11.4">
      <c r="A90" s="215" t="s">
        <v>813</v>
      </c>
      <c r="B90" s="558">
        <f>'Sources and Uses Budget'!C90</f>
        <v>26500</v>
      </c>
      <c r="C90" s="559"/>
      <c r="D90" s="559"/>
      <c r="E90" s="558">
        <f>'Sources and Uses Budget'!S90</f>
        <v>0</v>
      </c>
      <c r="F90" s="559"/>
      <c r="G90" s="559"/>
      <c r="H90" s="558">
        <f>'Sources and Uses Budget'!T90</f>
        <v>0</v>
      </c>
      <c r="I90" s="559"/>
      <c r="J90" s="559"/>
      <c r="K90" s="556"/>
    </row>
    <row r="91" spans="1:11" s="557" customFormat="1" ht="11.4">
      <c r="A91" s="226" t="s">
        <v>386</v>
      </c>
      <c r="B91" s="558">
        <f>'Sources and Uses Budget'!C91</f>
        <v>0</v>
      </c>
      <c r="C91" s="559"/>
      <c r="D91" s="559"/>
      <c r="E91" s="558">
        <f>'Sources and Uses Budget'!S91</f>
        <v>0</v>
      </c>
      <c r="F91" s="559"/>
      <c r="G91" s="559"/>
      <c r="H91" s="558">
        <f>'Sources and Uses Budget'!T91</f>
        <v>0</v>
      </c>
      <c r="I91" s="559"/>
      <c r="J91" s="559"/>
      <c r="K91" s="556"/>
    </row>
    <row r="92" spans="1:11" s="557" customFormat="1" ht="11.4">
      <c r="A92" s="850" t="s">
        <v>1373</v>
      </c>
      <c r="B92" s="558">
        <f>'Sources and Uses Budget'!C92</f>
        <v>14754</v>
      </c>
      <c r="C92" s="559"/>
      <c r="D92" s="559"/>
      <c r="E92" s="558">
        <f>'Sources and Uses Budget'!S92</f>
        <v>14754</v>
      </c>
      <c r="F92" s="559"/>
      <c r="G92" s="559"/>
      <c r="H92" s="558">
        <f>'Sources and Uses Budget'!T92</f>
        <v>0</v>
      </c>
      <c r="I92" s="559"/>
      <c r="J92" s="559"/>
      <c r="K92" s="556"/>
    </row>
    <row r="93" spans="1:11" s="557" customFormat="1" ht="22.8">
      <c r="A93" s="564" t="str">
        <f>'Sources and Uses Budget'!$A93</f>
        <v>Other: Accrued Interest on soft loans during construction</v>
      </c>
      <c r="B93" s="558">
        <f>'Sources and Uses Budget'!C93</f>
        <v>724002</v>
      </c>
      <c r="C93" s="559"/>
      <c r="D93" s="559"/>
      <c r="E93" s="558">
        <f>'Sources and Uses Budget'!S93</f>
        <v>452478</v>
      </c>
      <c r="F93" s="559"/>
      <c r="G93" s="559"/>
      <c r="H93" s="558">
        <f>'Sources and Uses Budget'!T93</f>
        <v>0</v>
      </c>
      <c r="I93" s="559"/>
      <c r="J93" s="559"/>
      <c r="K93" s="556"/>
    </row>
    <row r="94" spans="1:11" s="557" customFormat="1" ht="11.4">
      <c r="A94" s="564" t="str">
        <f>'Sources and Uses Budget'!$A94</f>
        <v>Other: AHSC Consultant</v>
      </c>
      <c r="B94" s="558">
        <f>'Sources and Uses Budget'!C94</f>
        <v>24787</v>
      </c>
      <c r="C94" s="559"/>
      <c r="D94" s="559"/>
      <c r="E94" s="558">
        <f>'Sources and Uses Budget'!S94</f>
        <v>24787</v>
      </c>
      <c r="F94" s="559"/>
      <c r="G94" s="559"/>
      <c r="H94" s="558">
        <f>'Sources and Uses Budget'!T94</f>
        <v>0</v>
      </c>
      <c r="I94" s="559"/>
      <c r="J94" s="559"/>
      <c r="K94" s="556"/>
    </row>
    <row r="95" spans="1:11" s="557" customFormat="1" ht="11.4">
      <c r="A95" s="564" t="str">
        <f>'Sources and Uses Budget'!$A95</f>
        <v>Other: Public Art</v>
      </c>
      <c r="B95" s="558">
        <f>'Sources and Uses Budget'!C95</f>
        <v>220000</v>
      </c>
      <c r="C95" s="559"/>
      <c r="D95" s="559"/>
      <c r="E95" s="558">
        <f>'Sources and Uses Budget'!S95</f>
        <v>220000</v>
      </c>
      <c r="F95" s="559"/>
      <c r="G95" s="559"/>
      <c r="H95" s="558">
        <f>'Sources and Uses Budget'!T95</f>
        <v>0</v>
      </c>
      <c r="I95" s="559"/>
      <c r="J95" s="559"/>
      <c r="K95" s="556"/>
    </row>
    <row r="96" spans="1:11" s="557" customFormat="1">
      <c r="A96" s="562" t="s">
        <v>814</v>
      </c>
      <c r="B96" s="558">
        <f>'Sources and Uses Budget'!C96</f>
        <v>2963456</v>
      </c>
      <c r="C96" s="558">
        <f>SUM(C83:C95)</f>
        <v>0</v>
      </c>
      <c r="D96" s="558">
        <f>SUM(D83:D95)</f>
        <v>0</v>
      </c>
      <c r="E96" s="558">
        <f>'Sources and Uses Budget'!S96</f>
        <v>2159810</v>
      </c>
      <c r="F96" s="565">
        <f>SUM(F84:F87,F89:F95)</f>
        <v>0</v>
      </c>
      <c r="G96" s="565">
        <f>SUM(G84:G87,G89:G95)</f>
        <v>0</v>
      </c>
      <c r="H96" s="558">
        <f>'Sources and Uses Budget'!T96</f>
        <v>0</v>
      </c>
      <c r="I96" s="558">
        <f>SUM(I84:I87,I89:I95)</f>
        <v>0</v>
      </c>
      <c r="J96" s="558">
        <f>SUM(J84:J87,J89:J95)</f>
        <v>0</v>
      </c>
      <c r="K96" s="556"/>
    </row>
    <row r="97" spans="1:11" s="557" customFormat="1">
      <c r="A97" s="562" t="s">
        <v>1107</v>
      </c>
      <c r="B97" s="558">
        <f>'Sources and Uses Budget'!C97</f>
        <v>86798926</v>
      </c>
      <c r="C97" s="558">
        <f>SUM(C63+C70+C77+C81+C96)</f>
        <v>0</v>
      </c>
      <c r="D97" s="558">
        <f>SUM(D63+D70+D77+D81+D96)</f>
        <v>0</v>
      </c>
      <c r="E97" s="558">
        <f>'Sources and Uses Budget'!S97</f>
        <v>80106678</v>
      </c>
      <c r="F97" s="565">
        <f>SUM(+F63+F70+F81+F96)</f>
        <v>0</v>
      </c>
      <c r="G97" s="565">
        <f>SUM(+G63+G70+G81+G96)</f>
        <v>0</v>
      </c>
      <c r="H97" s="558">
        <f>'Sources and Uses Budget'!T97</f>
        <v>0</v>
      </c>
      <c r="I97" s="565">
        <f>SUM(I63+I70+I81+I96)</f>
        <v>0</v>
      </c>
      <c r="J97" s="565">
        <f>SUM(J63+J70+J81+J96)</f>
        <v>0</v>
      </c>
      <c r="K97" s="556"/>
    </row>
    <row r="98" spans="1:11" s="557" customFormat="1" ht="11.4">
      <c r="A98" s="554" t="s">
        <v>816</v>
      </c>
      <c r="B98" s="555"/>
      <c r="C98" s="555"/>
      <c r="D98" s="555"/>
      <c r="E98" s="555"/>
      <c r="F98" s="555"/>
      <c r="G98" s="555"/>
      <c r="H98" s="555"/>
      <c r="I98" s="555"/>
      <c r="J98" s="555"/>
      <c r="K98" s="556"/>
    </row>
    <row r="99" spans="1:11" s="557" customFormat="1" ht="11.4">
      <c r="A99" s="215" t="s">
        <v>817</v>
      </c>
      <c r="B99" s="558">
        <f>'Sources and Uses Budget'!C99</f>
        <v>2163919</v>
      </c>
      <c r="C99" s="559"/>
      <c r="D99" s="559"/>
      <c r="E99" s="558">
        <f>'Sources and Uses Budget'!S99</f>
        <v>2163919</v>
      </c>
      <c r="F99" s="559"/>
      <c r="G99" s="559"/>
      <c r="H99" s="558">
        <f>'Sources and Uses Budget'!T99</f>
        <v>0</v>
      </c>
      <c r="I99" s="559"/>
      <c r="J99" s="559"/>
      <c r="K99" s="556"/>
    </row>
    <row r="100" spans="1:11" s="557" customFormat="1" ht="11.4">
      <c r="A100" s="437" t="s">
        <v>1849</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ht="11.4">
      <c r="A101" s="215" t="s">
        <v>818</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1850</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ht="11.4">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819</v>
      </c>
      <c r="B104" s="558">
        <f>'Sources and Uses Budget'!C104</f>
        <v>2163919</v>
      </c>
      <c r="C104" s="558">
        <f>SUM(C99:C103)</f>
        <v>0</v>
      </c>
      <c r="D104" s="558">
        <f>SUM(D99:D103)</f>
        <v>0</v>
      </c>
      <c r="E104" s="558">
        <f>'Sources and Uses Budget'!S104</f>
        <v>2163919</v>
      </c>
      <c r="F104" s="565">
        <f>SUM(F99:F103)</f>
        <v>0</v>
      </c>
      <c r="G104" s="565">
        <f>SUM(G99:G103)</f>
        <v>0</v>
      </c>
      <c r="H104" s="558">
        <f>'Sources and Uses Budget'!T104</f>
        <v>0</v>
      </c>
      <c r="I104" s="565">
        <f>SUM(I99:I103)</f>
        <v>0</v>
      </c>
      <c r="J104" s="565">
        <f>SUM(J99:J103)</f>
        <v>0</v>
      </c>
      <c r="K104" s="556"/>
    </row>
    <row r="105" spans="1:11" s="557" customFormat="1">
      <c r="A105" s="562" t="s">
        <v>1108</v>
      </c>
      <c r="B105" s="558">
        <f>'Sources and Uses Budget'!C105</f>
        <v>88962845</v>
      </c>
      <c r="C105" s="565">
        <f>SUM(C97+C104)</f>
        <v>0</v>
      </c>
      <c r="D105" s="565">
        <f>SUM(D97+D104)</f>
        <v>0</v>
      </c>
      <c r="E105" s="558">
        <f>'Sources and Uses Budget'!S105</f>
        <v>82270597</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82270597</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2">
      <c r="A111" s="577"/>
      <c r="B111" s="575"/>
      <c r="C111" s="575"/>
      <c r="D111" s="575"/>
      <c r="J111" s="576"/>
      <c r="K111" s="556"/>
    </row>
    <row r="112" spans="1:11" s="557" customFormat="1" ht="13.2">
      <c r="A112" s="577"/>
      <c r="B112" s="575"/>
      <c r="C112" s="575"/>
      <c r="D112" s="575"/>
      <c r="J112" s="576"/>
      <c r="K112" s="556"/>
    </row>
    <row r="113" spans="1:11" s="557" customFormat="1" ht="15.6">
      <c r="A113" s="578"/>
      <c r="B113" s="575"/>
      <c r="C113" s="575"/>
      <c r="D113" s="575"/>
      <c r="J113" s="576"/>
      <c r="K113" s="556"/>
    </row>
    <row r="114" spans="1:11" s="557" customFormat="1" ht="13.2">
      <c r="A114" s="577"/>
      <c r="J114" s="576"/>
      <c r="K114" s="556"/>
    </row>
    <row r="115" spans="1:11" s="557" customFormat="1" ht="15.6">
      <c r="A115" s="578"/>
      <c r="J115" s="576"/>
      <c r="K115" s="556"/>
    </row>
    <row r="116" spans="1:11" s="557" customFormat="1" ht="15.6">
      <c r="A116" s="578"/>
      <c r="J116" s="576"/>
      <c r="K116" s="556"/>
    </row>
    <row r="117" spans="1:11" s="557" customFormat="1" ht="11.4">
      <c r="B117" s="575"/>
      <c r="C117" s="575"/>
      <c r="D117" s="575"/>
      <c r="J117" s="576"/>
      <c r="K117" s="556"/>
    </row>
    <row r="118" spans="1:11" s="557" customFormat="1" ht="11.4">
      <c r="J118" s="576"/>
      <c r="K118" s="556"/>
    </row>
    <row r="119" spans="1:11" s="557" customFormat="1" ht="11.4">
      <c r="J119" s="576"/>
      <c r="K119" s="556"/>
    </row>
    <row r="120" spans="1:11" s="557" customFormat="1" ht="11.4">
      <c r="J120" s="576"/>
      <c r="K120" s="556"/>
    </row>
    <row r="121" spans="1:11" s="557" customFormat="1" ht="15.6">
      <c r="A121" s="578"/>
      <c r="J121" s="576"/>
      <c r="K121" s="556"/>
    </row>
    <row r="122" spans="1:11" s="581" customFormat="1" ht="15.6">
      <c r="A122" s="579"/>
      <c r="B122" s="580"/>
      <c r="C122" s="580"/>
      <c r="D122" s="580"/>
      <c r="E122" s="580"/>
      <c r="F122" s="580"/>
      <c r="G122" s="580"/>
      <c r="J122" s="582"/>
      <c r="K122" s="583"/>
    </row>
    <row r="123" spans="1:11" s="557" customFormat="1" ht="11.4">
      <c r="A123" s="584"/>
      <c r="B123" s="585"/>
      <c r="C123" s="585"/>
      <c r="D123" s="585"/>
      <c r="E123" s="585"/>
      <c r="F123" s="585"/>
      <c r="G123" s="585"/>
      <c r="J123" s="576"/>
      <c r="K123" s="556"/>
    </row>
    <row r="124" spans="1:11" s="557" customFormat="1" ht="11.4">
      <c r="A124" s="585"/>
      <c r="B124" s="586"/>
      <c r="C124" s="585"/>
      <c r="D124" s="2680"/>
      <c r="E124" s="2681"/>
      <c r="F124" s="2681"/>
      <c r="G124" s="2681"/>
      <c r="H124" s="2681"/>
      <c r="I124" s="2681"/>
      <c r="J124" s="576"/>
      <c r="K124" s="556"/>
    </row>
    <row r="125" spans="1:11" s="557" customFormat="1" ht="13.2">
      <c r="A125" s="587"/>
      <c r="B125" s="586"/>
      <c r="C125" s="587"/>
      <c r="D125" s="2681"/>
      <c r="E125" s="2681"/>
      <c r="F125" s="2681"/>
      <c r="G125" s="2681"/>
      <c r="H125" s="2681"/>
      <c r="I125" s="2681"/>
      <c r="J125" s="576"/>
      <c r="K125" s="556"/>
    </row>
    <row r="126" spans="1:11" s="557" customFormat="1" ht="13.2">
      <c r="A126" s="587"/>
      <c r="B126" s="586"/>
      <c r="C126" s="587"/>
      <c r="D126" s="2681"/>
      <c r="E126" s="2681"/>
      <c r="F126" s="2681"/>
      <c r="G126" s="2681"/>
      <c r="H126" s="2681"/>
      <c r="I126" s="2681"/>
      <c r="J126" s="576"/>
      <c r="K126" s="556"/>
    </row>
    <row r="127" spans="1:11" s="557" customFormat="1" ht="13.2">
      <c r="A127" s="587"/>
      <c r="B127" s="586"/>
      <c r="C127" s="587"/>
      <c r="D127" s="588"/>
      <c r="E127" s="587"/>
      <c r="F127" s="587"/>
      <c r="G127" s="587"/>
      <c r="J127" s="576"/>
      <c r="K127" s="556"/>
    </row>
    <row r="128" spans="1:11" s="557" customFormat="1" ht="13.2">
      <c r="A128" s="587"/>
      <c r="B128" s="586"/>
      <c r="C128" s="587"/>
      <c r="D128" s="588"/>
      <c r="E128" s="587"/>
      <c r="F128" s="587"/>
      <c r="G128" s="587"/>
      <c r="J128" s="576"/>
      <c r="K128" s="556"/>
    </row>
    <row r="129" spans="1:11" s="557" customFormat="1" ht="13.2">
      <c r="A129" s="587"/>
      <c r="B129" s="586"/>
      <c r="C129" s="587"/>
      <c r="D129" s="587"/>
      <c r="E129" s="587"/>
      <c r="F129" s="587"/>
      <c r="G129" s="587"/>
      <c r="J129" s="576"/>
      <c r="K129" s="556"/>
    </row>
    <row r="130" spans="1:11" s="557" customFormat="1" ht="13.2">
      <c r="A130" s="587"/>
      <c r="B130" s="586"/>
      <c r="C130" s="587"/>
      <c r="D130" s="587"/>
      <c r="E130" s="587"/>
      <c r="F130" s="587"/>
      <c r="G130" s="587"/>
      <c r="J130" s="576"/>
      <c r="K130" s="556"/>
    </row>
    <row r="131" spans="1:11" s="557" customFormat="1" ht="13.2">
      <c r="A131" s="587"/>
      <c r="B131" s="589"/>
      <c r="C131" s="587"/>
      <c r="D131" s="587"/>
      <c r="E131" s="587"/>
      <c r="F131" s="587"/>
      <c r="G131" s="587"/>
      <c r="J131" s="576"/>
      <c r="K131" s="556"/>
    </row>
    <row r="132" spans="1:11" s="557" customFormat="1" ht="13.2">
      <c r="A132" s="590"/>
      <c r="B132" s="591"/>
      <c r="C132" s="587"/>
      <c r="D132" s="592"/>
      <c r="E132" s="587"/>
      <c r="F132" s="587"/>
      <c r="G132" s="587"/>
      <c r="J132" s="576"/>
      <c r="K132" s="556"/>
    </row>
    <row r="133" spans="1:11" s="557" customFormat="1" ht="13.2">
      <c r="A133" s="593"/>
      <c r="B133" s="587"/>
      <c r="C133" s="587"/>
      <c r="D133" s="587"/>
      <c r="E133" s="587"/>
      <c r="F133" s="587"/>
      <c r="G133" s="587"/>
      <c r="J133" s="576"/>
      <c r="K133" s="556"/>
    </row>
    <row r="134" spans="1:11" s="557" customFormat="1" ht="13.2">
      <c r="A134" s="593"/>
      <c r="B134" s="587"/>
      <c r="C134" s="587"/>
      <c r="D134" s="587"/>
      <c r="E134" s="587"/>
      <c r="F134" s="587"/>
      <c r="G134" s="587"/>
      <c r="J134" s="576"/>
      <c r="K134" s="556"/>
    </row>
    <row r="135" spans="1:11" s="557" customFormat="1" ht="13.2">
      <c r="A135" s="594"/>
      <c r="B135" s="587"/>
      <c r="C135" s="587"/>
      <c r="D135" s="587"/>
      <c r="E135" s="587"/>
      <c r="F135" s="587"/>
      <c r="G135" s="587"/>
      <c r="J135" s="576"/>
      <c r="K135" s="556"/>
    </row>
    <row r="136" spans="1:11" s="557" customFormat="1" ht="13.2">
      <c r="A136" s="595"/>
      <c r="B136" s="587"/>
      <c r="C136" s="587"/>
      <c r="D136" s="587"/>
      <c r="E136" s="587"/>
      <c r="F136" s="587"/>
      <c r="G136" s="587"/>
      <c r="J136" s="576"/>
      <c r="K136" s="556"/>
    </row>
    <row r="137" spans="1:11" ht="13.2">
      <c r="A137" s="593"/>
      <c r="B137" s="587"/>
      <c r="C137" s="587"/>
      <c r="D137" s="587"/>
      <c r="E137" s="587"/>
      <c r="F137" s="587"/>
      <c r="G137" s="587"/>
    </row>
    <row r="138" spans="1:11" ht="12" customHeight="1">
      <c r="A138" s="593"/>
      <c r="B138" s="587"/>
      <c r="C138" s="587"/>
      <c r="D138" s="587"/>
      <c r="E138" s="587"/>
      <c r="F138" s="587"/>
      <c r="G138" s="587"/>
    </row>
    <row r="139" spans="1:11" ht="12" customHeight="1">
      <c r="A139" s="2682"/>
      <c r="B139" s="2683"/>
      <c r="C139" s="2683"/>
      <c r="D139" s="599"/>
      <c r="E139" s="587"/>
      <c r="F139" s="587"/>
      <c r="G139" s="587"/>
    </row>
    <row r="140" spans="1:11" ht="12" customHeight="1">
      <c r="A140" s="2684"/>
      <c r="B140" s="2685"/>
      <c r="C140" s="2685"/>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0uuZ6N9noNqGI8ED0GYKvk3YB4cvanR6IWD9bgxbhl5J6pCdWI3E9FjH9it2aMy3R7G39baVIuYo3v2/GNNmdA==" saltValue="f5MqcC58y5EeHRJ79qy8gQ=="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44" zoomScaleNormal="100" workbookViewId="0">
      <selection activeCell="BA12" sqref="BA12"/>
    </sheetView>
  </sheetViews>
  <sheetFormatPr defaultColWidth="2.6640625" defaultRowHeight="15.75" customHeight="1"/>
  <cols>
    <col min="1" max="37" width="2.6640625" style="1141"/>
    <col min="38" max="38" width="3" style="1141" customWidth="1"/>
    <col min="39" max="64" width="2.6640625" style="1141"/>
    <col min="65" max="65" width="6.109375" style="1141" bestFit="1" customWidth="1"/>
    <col min="66" max="70" width="5.44140625" style="1141" bestFit="1" customWidth="1"/>
    <col min="71" max="71" width="6.109375" style="1141" bestFit="1" customWidth="1"/>
    <col min="72" max="76" width="5.44140625" style="1141" bestFit="1" customWidth="1"/>
    <col min="77" max="77" width="6.109375" style="1141" bestFit="1" customWidth="1"/>
    <col min="78" max="78" width="5.44140625" style="1141" bestFit="1" customWidth="1"/>
    <col min="79" max="16384" width="2.6640625" style="1141"/>
  </cols>
  <sheetData>
    <row r="1" spans="1:65" ht="15.75" customHeight="1">
      <c r="A1" s="2689" t="s">
        <v>2727</v>
      </c>
      <c r="B1" s="2690"/>
      <c r="C1" s="2690"/>
      <c r="D1" s="2690"/>
      <c r="E1" s="2690"/>
      <c r="F1" s="2690"/>
      <c r="G1" s="2690"/>
      <c r="H1" s="2690"/>
      <c r="I1" s="2690"/>
      <c r="J1" s="2690"/>
      <c r="K1" s="2690"/>
      <c r="L1" s="2690"/>
      <c r="M1" s="2690"/>
      <c r="N1" s="2690"/>
      <c r="O1" s="2690"/>
      <c r="P1" s="2690"/>
      <c r="Q1" s="2690"/>
      <c r="R1" s="2690"/>
      <c r="S1" s="2690"/>
      <c r="T1" s="2690"/>
      <c r="U1" s="2690"/>
      <c r="V1" s="2690"/>
      <c r="W1" s="2690"/>
      <c r="X1" s="2690"/>
      <c r="Y1" s="2690"/>
      <c r="Z1" s="2690"/>
      <c r="AA1" s="2690"/>
      <c r="AB1" s="2690"/>
      <c r="AC1" s="2690"/>
      <c r="AD1" s="2690"/>
      <c r="AE1" s="2690"/>
      <c r="AF1" s="2690"/>
      <c r="AG1" s="2690"/>
      <c r="AH1" s="2690"/>
      <c r="AI1" s="2690"/>
      <c r="AJ1" s="2690"/>
      <c r="AK1" s="2690"/>
      <c r="AL1" s="2690"/>
      <c r="AM1" s="2690"/>
      <c r="AN1" s="2690"/>
      <c r="AO1" s="2690"/>
      <c r="AP1" s="2690"/>
      <c r="AQ1" s="2690"/>
      <c r="AR1" s="2690"/>
      <c r="AS1" s="2690"/>
      <c r="AT1" s="2690"/>
      <c r="AU1" s="2690"/>
      <c r="AV1" s="2690"/>
      <c r="AW1" s="2690"/>
      <c r="AX1" s="2690"/>
      <c r="AY1" s="2690"/>
      <c r="AZ1" s="2690"/>
      <c r="BA1" s="2690"/>
      <c r="BB1" s="2690"/>
      <c r="BC1" s="2690"/>
      <c r="BD1" s="2690"/>
      <c r="BE1" s="2691"/>
    </row>
    <row r="2" spans="1:65" ht="15.75" customHeight="1">
      <c r="A2" s="2692" t="s">
        <v>2728</v>
      </c>
      <c r="B2" s="2693"/>
      <c r="C2" s="2693"/>
      <c r="D2" s="2693"/>
      <c r="E2" s="2693"/>
      <c r="F2" s="2693"/>
      <c r="G2" s="2693"/>
      <c r="H2" s="2693"/>
      <c r="I2" s="2693"/>
      <c r="J2" s="2693"/>
      <c r="K2" s="2693"/>
      <c r="L2" s="2693"/>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693"/>
      <c r="AO2" s="2693"/>
      <c r="AP2" s="2693"/>
      <c r="AQ2" s="2693"/>
      <c r="AR2" s="2693"/>
      <c r="AS2" s="2693"/>
      <c r="AT2" s="2693"/>
      <c r="AU2" s="2693"/>
      <c r="AV2" s="2693"/>
      <c r="AW2" s="2693"/>
      <c r="AX2" s="2693"/>
      <c r="AY2" s="2693"/>
      <c r="AZ2" s="2693"/>
      <c r="BA2" s="2693"/>
      <c r="BB2" s="2693"/>
      <c r="BC2" s="2693"/>
      <c r="BD2" s="2693"/>
      <c r="BE2" s="2694"/>
      <c r="BF2" s="1142"/>
    </row>
    <row r="3" spans="1:65" ht="15.75" customHeight="1" thickBot="1">
      <c r="A3" s="1143"/>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4"/>
      <c r="BA3" s="1144"/>
      <c r="BB3" s="1144"/>
      <c r="BC3" s="1144"/>
      <c r="BD3" s="1144"/>
      <c r="BE3" s="1145"/>
    </row>
    <row r="4" spans="1:65" ht="15.75" customHeight="1" thickBot="1">
      <c r="A4" s="1143"/>
      <c r="B4" s="1146" t="s">
        <v>681</v>
      </c>
      <c r="C4" s="1146"/>
      <c r="D4" s="1146"/>
      <c r="E4" s="1146"/>
      <c r="F4" s="1146"/>
      <c r="G4" s="1144"/>
      <c r="H4" s="1144"/>
      <c r="I4" s="1144"/>
      <c r="J4" s="1144"/>
      <c r="K4" s="1144"/>
      <c r="L4" s="2695" t="str">
        <f>IF(Application!H18="","",Application!H18)</f>
        <v>The Kelsey Civic Center</v>
      </c>
      <c r="M4" s="2696"/>
      <c r="N4" s="2696"/>
      <c r="O4" s="2696"/>
      <c r="P4" s="2696"/>
      <c r="Q4" s="2696"/>
      <c r="R4" s="2696"/>
      <c r="S4" s="2696"/>
      <c r="T4" s="2696"/>
      <c r="U4" s="2696"/>
      <c r="V4" s="2696"/>
      <c r="W4" s="2696"/>
      <c r="X4" s="2696"/>
      <c r="Y4" s="2696"/>
      <c r="Z4" s="2696"/>
      <c r="AA4" s="2696"/>
      <c r="AB4" s="2696"/>
      <c r="AC4" s="2697"/>
      <c r="AD4" s="1144"/>
      <c r="AE4" s="1144"/>
      <c r="AF4" s="2698" t="s">
        <v>1881</v>
      </c>
      <c r="AG4" s="2699"/>
      <c r="AH4" s="2699"/>
      <c r="AI4" s="2699"/>
      <c r="AJ4" s="2699"/>
      <c r="AK4" s="2699"/>
      <c r="AL4" s="2699"/>
      <c r="AM4" s="2699"/>
      <c r="AN4" s="2699"/>
      <c r="AO4" s="2699"/>
      <c r="AP4" s="2700">
        <v>44562</v>
      </c>
      <c r="AQ4" s="2701"/>
      <c r="AR4" s="2701"/>
      <c r="AS4" s="2701"/>
      <c r="AT4" s="2701"/>
      <c r="AU4" s="2702"/>
      <c r="AV4" s="1144"/>
      <c r="AW4" s="1144"/>
      <c r="AX4" s="1144"/>
      <c r="AY4" s="1144"/>
      <c r="AZ4" s="1144"/>
      <c r="BA4" s="1144"/>
      <c r="BB4" s="1144"/>
      <c r="BC4" s="1144"/>
      <c r="BD4" s="1144"/>
      <c r="BE4" s="1145"/>
    </row>
    <row r="5" spans="1:65" ht="15.75" customHeight="1" thickBot="1">
      <c r="A5" s="1143"/>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2703" t="s">
        <v>1882</v>
      </c>
      <c r="AG5" s="2704"/>
      <c r="AH5" s="2704"/>
      <c r="AI5" s="2704"/>
      <c r="AJ5" s="2704"/>
      <c r="AK5" s="2704"/>
      <c r="AL5" s="2704"/>
      <c r="AM5" s="2704"/>
      <c r="AN5" s="2704"/>
      <c r="AO5" s="2704"/>
      <c r="AP5" s="2700">
        <v>44562</v>
      </c>
      <c r="AQ5" s="2701"/>
      <c r="AR5" s="2701"/>
      <c r="AS5" s="2701"/>
      <c r="AT5" s="2701"/>
      <c r="AU5" s="2702"/>
      <c r="AV5" s="1144"/>
      <c r="AW5" s="1144"/>
      <c r="AX5" s="1144"/>
      <c r="AY5" s="1144"/>
      <c r="AZ5" s="1144"/>
      <c r="BA5" s="1144"/>
      <c r="BB5" s="1144"/>
      <c r="BC5" s="1144"/>
      <c r="BD5" s="1144"/>
      <c r="BE5" s="1145"/>
    </row>
    <row r="6" spans="1:65" ht="15.75" customHeight="1" thickBot="1">
      <c r="A6" s="1143"/>
      <c r="B6" s="1146" t="s">
        <v>1883</v>
      </c>
      <c r="C6" s="1144"/>
      <c r="D6" s="1144"/>
      <c r="E6" s="1144"/>
      <c r="F6" s="1144"/>
      <c r="G6" s="1144"/>
      <c r="H6" s="1144"/>
      <c r="I6" s="1144"/>
      <c r="J6" s="1144"/>
      <c r="K6" s="1144"/>
      <c r="L6" s="2719" t="str">
        <f>IF(Application!H16="","",Application!H16)</f>
        <v>The Kelsey Civic Center, L.P.</v>
      </c>
      <c r="M6" s="2720"/>
      <c r="N6" s="2720"/>
      <c r="O6" s="2720"/>
      <c r="P6" s="2720"/>
      <c r="Q6" s="2720"/>
      <c r="R6" s="2720"/>
      <c r="S6" s="2720"/>
      <c r="T6" s="2720"/>
      <c r="U6" s="2720"/>
      <c r="V6" s="2720"/>
      <c r="W6" s="2720"/>
      <c r="X6" s="2720"/>
      <c r="Y6" s="2720"/>
      <c r="Z6" s="2720"/>
      <c r="AA6" s="2720"/>
      <c r="AB6" s="2720"/>
      <c r="AC6" s="2721"/>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4"/>
      <c r="BA6" s="1144"/>
      <c r="BB6" s="1144"/>
      <c r="BC6" s="1144"/>
      <c r="BD6" s="1144"/>
      <c r="BE6" s="1145"/>
    </row>
    <row r="7" spans="1:65" ht="15" thickBot="1">
      <c r="A7" s="1143"/>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5"/>
    </row>
    <row r="8" spans="1:65" ht="15" thickBot="1">
      <c r="A8" s="1143"/>
      <c r="B8" s="1146" t="s">
        <v>1884</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2722" t="str">
        <f>Application!T196</f>
        <v>No</v>
      </c>
      <c r="AC8" s="2712"/>
      <c r="AD8" s="2713"/>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5"/>
      <c r="BM8" s="1141">
        <f>Application!AO714</f>
        <v>0</v>
      </c>
    </row>
    <row r="9" spans="1:65" ht="15" thickBot="1">
      <c r="A9" s="1144"/>
      <c r="B9" s="1144"/>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7"/>
      <c r="AR9" s="1147"/>
      <c r="AS9" s="1144"/>
      <c r="AT9" s="1144"/>
      <c r="AU9" s="1144"/>
      <c r="AV9" s="1144"/>
      <c r="AW9" s="1144"/>
      <c r="AX9" s="1144"/>
      <c r="AY9" s="1144"/>
      <c r="AZ9" s="1144"/>
      <c r="BA9" s="1144"/>
      <c r="BB9" s="1144"/>
      <c r="BC9" s="1144"/>
      <c r="BD9" s="1144"/>
      <c r="BE9" s="1145"/>
    </row>
    <row r="10" spans="1:65" ht="15" thickBot="1">
      <c r="A10" s="1143"/>
      <c r="B10" s="1146" t="s">
        <v>1886</v>
      </c>
      <c r="C10" s="1146"/>
      <c r="D10" s="1146"/>
      <c r="E10" s="1146"/>
      <c r="F10" s="1146"/>
      <c r="G10" s="1146"/>
      <c r="H10" s="1146"/>
      <c r="I10" s="1146"/>
      <c r="J10" s="1146"/>
      <c r="K10" s="1146"/>
      <c r="L10" s="1146"/>
      <c r="M10" s="1144"/>
      <c r="N10" s="2723">
        <f>Application!AO637</f>
        <v>3103000</v>
      </c>
      <c r="O10" s="2724"/>
      <c r="P10" s="2724"/>
      <c r="Q10" s="2724"/>
      <c r="R10" s="2724"/>
      <c r="S10" s="2724"/>
      <c r="T10" s="2725"/>
      <c r="U10" s="1144"/>
      <c r="V10" s="1144"/>
      <c r="W10" s="1144"/>
      <c r="X10" s="2705" t="s">
        <v>1887</v>
      </c>
      <c r="Y10" s="2706"/>
      <c r="Z10" s="2706"/>
      <c r="AA10" s="2706"/>
      <c r="AB10" s="2706"/>
      <c r="AC10" s="2706"/>
      <c r="AD10" s="2706"/>
      <c r="AE10" s="2706"/>
      <c r="AF10" s="2706"/>
      <c r="AG10" s="2706"/>
      <c r="AH10" s="2706"/>
      <c r="AI10" s="2706"/>
      <c r="AJ10" s="2706"/>
      <c r="AK10" s="2707"/>
      <c r="AL10" s="2711">
        <f>Application!W471</f>
        <v>17</v>
      </c>
      <c r="AM10" s="2712"/>
      <c r="AN10" s="2712"/>
      <c r="AO10" s="2712"/>
      <c r="AP10" s="2713"/>
      <c r="AQ10" s="1147"/>
      <c r="AR10" s="1147"/>
      <c r="AS10" s="1147"/>
      <c r="AT10" s="1147"/>
      <c r="AU10" s="1147"/>
      <c r="AV10" s="1147"/>
      <c r="AW10" s="1147"/>
      <c r="AX10" s="1144"/>
      <c r="AY10" s="1144"/>
      <c r="AZ10" s="1144"/>
      <c r="BA10" s="1144"/>
      <c r="BB10" s="1144"/>
      <c r="BC10" s="1144"/>
      <c r="BD10" s="1144"/>
      <c r="BE10" s="1145"/>
    </row>
    <row r="11" spans="1:65" ht="15" thickBot="1">
      <c r="A11" s="1143"/>
      <c r="B11" s="1146" t="s">
        <v>1888</v>
      </c>
      <c r="C11" s="1146"/>
      <c r="D11" s="1146"/>
      <c r="E11" s="1146"/>
      <c r="F11" s="1146"/>
      <c r="G11" s="1146"/>
      <c r="H11" s="1146"/>
      <c r="I11" s="1146"/>
      <c r="J11" s="1146"/>
      <c r="K11" s="1146"/>
      <c r="L11" s="1146"/>
      <c r="M11" s="1144"/>
      <c r="N11" s="2726">
        <f>Application!AA925</f>
        <v>0</v>
      </c>
      <c r="O11" s="2727"/>
      <c r="P11" s="2727"/>
      <c r="Q11" s="2727"/>
      <c r="R11" s="2727"/>
      <c r="S11" s="2727"/>
      <c r="T11" s="2728"/>
      <c r="U11" s="1144"/>
      <c r="V11" s="1144"/>
      <c r="W11" s="1144"/>
      <c r="X11" s="2729" t="s">
        <v>1889</v>
      </c>
      <c r="Y11" s="2730"/>
      <c r="Z11" s="2730"/>
      <c r="AA11" s="2730"/>
      <c r="AB11" s="2730"/>
      <c r="AC11" s="2730"/>
      <c r="AD11" s="2730"/>
      <c r="AE11" s="2730"/>
      <c r="AF11" s="2730"/>
      <c r="AG11" s="2730"/>
      <c r="AH11" s="2730"/>
      <c r="AI11" s="2730"/>
      <c r="AJ11" s="2730"/>
      <c r="AK11" s="2731"/>
      <c r="AL11" s="2708">
        <v>44562</v>
      </c>
      <c r="AM11" s="2709"/>
      <c r="AN11" s="2709"/>
      <c r="AO11" s="2709"/>
      <c r="AP11" s="2710"/>
      <c r="AQ11" s="1148"/>
      <c r="AR11" s="1149"/>
      <c r="AS11" s="1147"/>
      <c r="AT11" s="1147"/>
      <c r="AU11" s="1147"/>
      <c r="AV11" s="1147"/>
      <c r="AW11" s="1147"/>
      <c r="AX11" s="1144"/>
      <c r="AY11" s="1144"/>
      <c r="AZ11" s="1144"/>
      <c r="BA11" s="1144"/>
      <c r="BB11" s="1144"/>
      <c r="BC11" s="1144"/>
      <c r="BD11" s="1144"/>
      <c r="BE11" s="1145"/>
    </row>
    <row r="12" spans="1:65" ht="15" thickBot="1">
      <c r="A12" s="1144"/>
      <c r="B12" s="1144"/>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2705" t="s">
        <v>2729</v>
      </c>
      <c r="Y12" s="2706"/>
      <c r="Z12" s="2706"/>
      <c r="AA12" s="2706"/>
      <c r="AB12" s="2706"/>
      <c r="AC12" s="2706"/>
      <c r="AD12" s="2706"/>
      <c r="AE12" s="2706"/>
      <c r="AF12" s="2706"/>
      <c r="AG12" s="2706"/>
      <c r="AH12" s="2706"/>
      <c r="AI12" s="2706"/>
      <c r="AJ12" s="2706"/>
      <c r="AK12" s="2707"/>
      <c r="AL12" s="2708">
        <v>44562</v>
      </c>
      <c r="AM12" s="2709"/>
      <c r="AN12" s="2709"/>
      <c r="AO12" s="2709"/>
      <c r="AP12" s="2710"/>
      <c r="AQ12" s="1147"/>
      <c r="AR12" s="1147"/>
      <c r="AS12" s="1147"/>
      <c r="AT12" s="1147"/>
      <c r="AU12" s="1147"/>
      <c r="AV12" s="1144"/>
      <c r="AW12" s="1144"/>
      <c r="AX12" s="1144"/>
      <c r="AY12" s="1144"/>
      <c r="AZ12" s="1144"/>
      <c r="BA12" s="1144"/>
      <c r="BB12" s="1144"/>
      <c r="BC12" s="1144"/>
      <c r="BD12" s="1144"/>
      <c r="BE12" s="1150"/>
    </row>
    <row r="13" spans="1:65" ht="15" thickBot="1">
      <c r="A13" s="1144"/>
      <c r="B13" s="2705" t="s">
        <v>1890</v>
      </c>
      <c r="C13" s="2706"/>
      <c r="D13" s="2706"/>
      <c r="E13" s="2706"/>
      <c r="F13" s="2706"/>
      <c r="G13" s="2706"/>
      <c r="H13" s="2706"/>
      <c r="I13" s="2706"/>
      <c r="J13" s="2706"/>
      <c r="K13" s="2706"/>
      <c r="L13" s="2706"/>
      <c r="M13" s="2706"/>
      <c r="N13" s="2706"/>
      <c r="O13" s="2706"/>
      <c r="P13" s="2707"/>
      <c r="Q13" s="2714" t="s">
        <v>1885</v>
      </c>
      <c r="R13" s="2701"/>
      <c r="S13" s="2701"/>
      <c r="T13" s="2702"/>
      <c r="U13" s="1147"/>
      <c r="V13" s="1144"/>
      <c r="W13" s="1144"/>
      <c r="X13" s="1144"/>
      <c r="Y13" s="1144"/>
      <c r="Z13" s="1144"/>
      <c r="AA13" s="1147"/>
      <c r="AB13" s="1147"/>
      <c r="AC13" s="1147"/>
      <c r="AD13" s="1147"/>
      <c r="AE13" s="1147"/>
      <c r="AF13" s="1147"/>
      <c r="AG13" s="1147"/>
      <c r="AH13" s="1147"/>
      <c r="AI13" s="1147"/>
      <c r="AJ13" s="1147"/>
      <c r="AK13" s="1147"/>
      <c r="AL13" s="1147"/>
      <c r="AM13" s="1147"/>
      <c r="AN13" s="1147"/>
      <c r="AO13" s="1147"/>
      <c r="AP13" s="1147"/>
      <c r="AQ13" s="1147"/>
      <c r="AR13" s="1147"/>
      <c r="AS13" s="1147"/>
      <c r="AT13" s="1147"/>
      <c r="AU13" s="1147"/>
      <c r="AV13" s="1147"/>
      <c r="AW13" s="1147"/>
      <c r="AX13" s="1147"/>
      <c r="AY13" s="1147"/>
      <c r="AZ13" s="1147"/>
      <c r="BA13" s="1147"/>
      <c r="BB13" s="1147"/>
      <c r="BC13" s="1147"/>
      <c r="BD13" s="1147"/>
      <c r="BE13" s="1150"/>
    </row>
    <row r="14" spans="1:65" ht="15" thickBot="1">
      <c r="A14" s="1144"/>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7"/>
      <c r="AZ14" s="1147"/>
      <c r="BA14" s="1147"/>
      <c r="BB14" s="1147"/>
      <c r="BC14" s="1147"/>
      <c r="BD14" s="1147"/>
      <c r="BE14" s="1150"/>
    </row>
    <row r="15" spans="1:65" ht="14.4">
      <c r="A15" s="1144"/>
      <c r="B15" s="2715" t="s">
        <v>1891</v>
      </c>
      <c r="C15" s="2715"/>
      <c r="D15" s="2715"/>
      <c r="E15" s="2715"/>
      <c r="F15" s="2715"/>
      <c r="G15" s="2715"/>
      <c r="H15" s="2715"/>
      <c r="I15" s="2715"/>
      <c r="J15" s="2715"/>
      <c r="K15" s="2715"/>
      <c r="L15" s="2716"/>
      <c r="M15" s="2698" t="s">
        <v>1892</v>
      </c>
      <c r="N15" s="2699"/>
      <c r="O15" s="2699"/>
      <c r="P15" s="2699"/>
      <c r="Q15" s="2699"/>
      <c r="R15" s="2699"/>
      <c r="S15" s="2717" t="str">
        <f>IF(Application!AB214="","",Application!AB214)</f>
        <v/>
      </c>
      <c r="T15" s="2717"/>
      <c r="U15" s="2717"/>
      <c r="V15" s="2717"/>
      <c r="W15" s="2718"/>
      <c r="X15" s="1147"/>
      <c r="Y15" s="1144"/>
      <c r="Z15" s="1144"/>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7"/>
      <c r="AZ15" s="1147"/>
      <c r="BA15" s="1147"/>
      <c r="BB15" s="1147"/>
      <c r="BC15" s="1147"/>
      <c r="BD15" s="1147"/>
      <c r="BE15" s="1150"/>
    </row>
    <row r="16" spans="1:65" ht="15" thickBot="1">
      <c r="A16" s="1143"/>
      <c r="B16" s="1144"/>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1144"/>
      <c r="AT16" s="1144"/>
      <c r="AU16" s="1144"/>
      <c r="AV16" s="1144"/>
      <c r="AW16" s="1144"/>
      <c r="AX16" s="1144"/>
      <c r="AY16" s="1144"/>
      <c r="AZ16" s="1144"/>
      <c r="BA16" s="1144"/>
      <c r="BB16" s="1144"/>
      <c r="BC16" s="1144"/>
      <c r="BD16" s="1144"/>
      <c r="BE16" s="1150"/>
    </row>
    <row r="17" spans="1:58" ht="14.4">
      <c r="A17" s="1144"/>
      <c r="B17" s="2732" t="s">
        <v>1893</v>
      </c>
      <c r="C17" s="2733"/>
      <c r="D17" s="2733"/>
      <c r="E17" s="2733"/>
      <c r="F17" s="2733"/>
      <c r="G17" s="2733"/>
      <c r="H17" s="2733"/>
      <c r="I17" s="2733"/>
      <c r="J17" s="2733"/>
      <c r="K17" s="2733"/>
      <c r="L17" s="2733"/>
      <c r="M17" s="2733"/>
      <c r="N17" s="2733"/>
      <c r="O17" s="2733"/>
      <c r="P17" s="2733"/>
      <c r="Q17" s="2733"/>
      <c r="R17" s="2733"/>
      <c r="S17" s="2733"/>
      <c r="T17" s="2733"/>
      <c r="U17" s="2733"/>
      <c r="V17" s="2733"/>
      <c r="W17" s="2733"/>
      <c r="X17" s="2733"/>
      <c r="Y17" s="2733"/>
      <c r="Z17" s="2733"/>
      <c r="AA17" s="2733"/>
      <c r="AB17" s="2733"/>
      <c r="AC17" s="2733"/>
      <c r="AD17" s="2733"/>
      <c r="AE17" s="2733"/>
      <c r="AF17" s="2733"/>
      <c r="AG17" s="2733"/>
      <c r="AH17" s="2733"/>
      <c r="AI17" s="2733"/>
      <c r="AJ17" s="2733"/>
      <c r="AK17" s="2733"/>
      <c r="AL17" s="2733"/>
      <c r="AM17" s="2733"/>
      <c r="AN17" s="2733"/>
      <c r="AO17" s="2733"/>
      <c r="AP17" s="2733"/>
      <c r="AQ17" s="2733"/>
      <c r="AR17" s="2733"/>
      <c r="AS17" s="2733"/>
      <c r="AT17" s="2733"/>
      <c r="AU17" s="2733"/>
      <c r="AV17" s="2733"/>
      <c r="AW17" s="2733"/>
      <c r="AX17" s="2733"/>
      <c r="AY17" s="2734"/>
      <c r="AZ17" s="1144"/>
      <c r="BA17" s="1144"/>
      <c r="BB17" s="1144"/>
      <c r="BC17" s="1144"/>
      <c r="BD17" s="1144"/>
      <c r="BE17" s="1150"/>
      <c r="BF17" s="1142"/>
    </row>
    <row r="18" spans="1:58" ht="15.75" customHeight="1">
      <c r="A18" s="1144"/>
      <c r="B18" s="2735" t="s">
        <v>1894</v>
      </c>
      <c r="C18" s="2736"/>
      <c r="D18" s="2736"/>
      <c r="E18" s="2736"/>
      <c r="F18" s="2736"/>
      <c r="G18" s="2736"/>
      <c r="H18" s="2736"/>
      <c r="I18" s="2737"/>
      <c r="J18" s="2738" t="s">
        <v>1786</v>
      </c>
      <c r="K18" s="2739"/>
      <c r="L18" s="2739"/>
      <c r="M18" s="2739"/>
      <c r="N18" s="2739"/>
      <c r="O18" s="2740"/>
      <c r="P18" s="2738" t="s">
        <v>329</v>
      </c>
      <c r="Q18" s="2739"/>
      <c r="R18" s="2739"/>
      <c r="S18" s="2739"/>
      <c r="T18" s="2739"/>
      <c r="U18" s="2740"/>
      <c r="V18" s="2738" t="s">
        <v>330</v>
      </c>
      <c r="W18" s="2739"/>
      <c r="X18" s="2739"/>
      <c r="Y18" s="2739"/>
      <c r="Z18" s="2739"/>
      <c r="AA18" s="2740"/>
      <c r="AB18" s="2738" t="s">
        <v>168</v>
      </c>
      <c r="AC18" s="2739"/>
      <c r="AD18" s="2739"/>
      <c r="AE18" s="2739"/>
      <c r="AF18" s="2739"/>
      <c r="AG18" s="2740"/>
      <c r="AH18" s="2738" t="s">
        <v>169</v>
      </c>
      <c r="AI18" s="2739"/>
      <c r="AJ18" s="2739"/>
      <c r="AK18" s="2739"/>
      <c r="AL18" s="2739"/>
      <c r="AM18" s="2740"/>
      <c r="AN18" s="2738" t="s">
        <v>170</v>
      </c>
      <c r="AO18" s="2739"/>
      <c r="AP18" s="2739"/>
      <c r="AQ18" s="2739"/>
      <c r="AR18" s="2739"/>
      <c r="AS18" s="2740"/>
      <c r="AT18" s="2738" t="s">
        <v>1895</v>
      </c>
      <c r="AU18" s="2739"/>
      <c r="AV18" s="2739"/>
      <c r="AW18" s="2739"/>
      <c r="AX18" s="2739"/>
      <c r="AY18" s="2741"/>
      <c r="AZ18" s="1144"/>
      <c r="BA18" s="1144"/>
      <c r="BB18" s="1144"/>
      <c r="BC18" s="1144"/>
      <c r="BD18" s="1144"/>
      <c r="BE18" s="1150"/>
    </row>
    <row r="19" spans="1:58" ht="14.4">
      <c r="A19" s="1144"/>
      <c r="B19" s="2748">
        <v>0.2</v>
      </c>
      <c r="C19" s="2749"/>
      <c r="D19" s="2749"/>
      <c r="E19" s="2749"/>
      <c r="F19" s="2749"/>
      <c r="G19" s="2749"/>
      <c r="H19" s="2749"/>
      <c r="I19" s="2749"/>
      <c r="J19" s="2742">
        <f>SUM(P19:AS19)</f>
        <v>24</v>
      </c>
      <c r="K19" s="2743"/>
      <c r="L19" s="2743"/>
      <c r="M19" s="2743"/>
      <c r="N19" s="2743"/>
      <c r="O19" s="2744"/>
      <c r="P19" s="2742" cm="1">
        <f t="array" ref="P19">SUMPRODUCT((Application!$B$728:$B$752 = 'CalHFA Addendum'!P$18)*(Application!$AC$728:$AC$752 = 'CalHFA Addendum'!$B19),Application!$G$728:$G$752)</f>
        <v>24</v>
      </c>
      <c r="Q19" s="2743"/>
      <c r="R19" s="2743"/>
      <c r="S19" s="2743"/>
      <c r="T19" s="2743"/>
      <c r="U19" s="2744"/>
      <c r="V19" s="2742" cm="1">
        <f t="array" ref="V19">SUMPRODUCT((Application!$B$728:$B$752 = 'CalHFA Addendum'!V$18)*(Application!$AC$728:$AC$752 = 'CalHFA Addendum'!$B19),Application!$G$728:$G$752)</f>
        <v>0</v>
      </c>
      <c r="W19" s="2743"/>
      <c r="X19" s="2743"/>
      <c r="Y19" s="2743"/>
      <c r="Z19" s="2743"/>
      <c r="AA19" s="2744"/>
      <c r="AB19" s="2742" cm="1">
        <f t="array" ref="AB19">SUMPRODUCT((Application!$B$728:$B$752 = 'CalHFA Addendum'!AB$18)*(Application!$AC$728:$AC$752 = 'CalHFA Addendum'!$B19),Application!$G$728:$G$752)</f>
        <v>0</v>
      </c>
      <c r="AC19" s="2743"/>
      <c r="AD19" s="2743"/>
      <c r="AE19" s="2743"/>
      <c r="AF19" s="2743"/>
      <c r="AG19" s="2744"/>
      <c r="AH19" s="2742" cm="1">
        <f t="array" ref="AH19">SUMPRODUCT((Application!$B$728:$B$752 = 'CalHFA Addendum'!AH$18)*(Application!$AC$728:$AC$752 = 'CalHFA Addendum'!$B19),Application!$G$728:$G$752)</f>
        <v>0</v>
      </c>
      <c r="AI19" s="2743"/>
      <c r="AJ19" s="2743"/>
      <c r="AK19" s="2743"/>
      <c r="AL19" s="2743"/>
      <c r="AM19" s="2744"/>
      <c r="AN19" s="2742" cm="1">
        <f t="array" ref="AN19">SUMPRODUCT((Application!$B$728:$B$752 = 'CalHFA Addendum'!AN$18)*(Application!$AC$728:$AC$752 = 'CalHFA Addendum'!$B19),Application!$G$728:$G$752)</f>
        <v>0</v>
      </c>
      <c r="AO19" s="2743"/>
      <c r="AP19" s="2743"/>
      <c r="AQ19" s="2743"/>
      <c r="AR19" s="2743"/>
      <c r="AS19" s="2744"/>
      <c r="AT19" s="2745">
        <f t="shared" ref="AT19:AT28" si="0">J19/$J$29</f>
        <v>0.21428571428571427</v>
      </c>
      <c r="AU19" s="2746"/>
      <c r="AV19" s="2746"/>
      <c r="AW19" s="2746"/>
      <c r="AX19" s="2746"/>
      <c r="AY19" s="2747"/>
      <c r="AZ19" s="1151"/>
      <c r="BA19" s="1144"/>
      <c r="BB19" s="1144"/>
      <c r="BC19" s="1144"/>
      <c r="BD19" s="1144"/>
      <c r="BE19" s="1150"/>
    </row>
    <row r="20" spans="1:58" ht="15" customHeight="1">
      <c r="A20" s="1144"/>
      <c r="B20" s="2748">
        <v>0.3</v>
      </c>
      <c r="C20" s="2749"/>
      <c r="D20" s="2749"/>
      <c r="E20" s="2749"/>
      <c r="F20" s="2749"/>
      <c r="G20" s="2749"/>
      <c r="H20" s="2749"/>
      <c r="I20" s="2749"/>
      <c r="J20" s="2742">
        <f t="shared" ref="J20:J28" si="1">SUM(P20:AS20)</f>
        <v>6</v>
      </c>
      <c r="K20" s="2743"/>
      <c r="L20" s="2743"/>
      <c r="M20" s="2743"/>
      <c r="N20" s="2743"/>
      <c r="O20" s="2744"/>
      <c r="P20" s="2742" cm="1">
        <f t="array" ref="P20">SUMPRODUCT((Application!$B$728:$B$752 = 'CalHFA Addendum'!P$18)*(Application!$AC$728:$AC$752 = 'CalHFA Addendum'!$B20),Application!$G$728:$G$752)</f>
        <v>2</v>
      </c>
      <c r="Q20" s="2743"/>
      <c r="R20" s="2743"/>
      <c r="S20" s="2743"/>
      <c r="T20" s="2743"/>
      <c r="U20" s="2744"/>
      <c r="V20" s="2742" cm="1">
        <f t="array" ref="V20">SUMPRODUCT((Application!$B$728:$B$752 = 'CalHFA Addendum'!V$18)*(Application!$AC$728:$AC$752 = 'CalHFA Addendum'!$B20),Application!$G$728:$G$752)</f>
        <v>0</v>
      </c>
      <c r="W20" s="2743"/>
      <c r="X20" s="2743"/>
      <c r="Y20" s="2743"/>
      <c r="Z20" s="2743"/>
      <c r="AA20" s="2744"/>
      <c r="AB20" s="2742" cm="1">
        <f t="array" ref="AB20">SUMPRODUCT((Application!$B$728:$B$752 = 'CalHFA Addendum'!AB$18)*(Application!$AC$728:$AC$752 = 'CalHFA Addendum'!$B20),Application!$G$728:$G$752)</f>
        <v>4</v>
      </c>
      <c r="AC20" s="2743"/>
      <c r="AD20" s="2743"/>
      <c r="AE20" s="2743"/>
      <c r="AF20" s="2743"/>
      <c r="AG20" s="2744"/>
      <c r="AH20" s="2742" cm="1">
        <f t="array" ref="AH20">SUMPRODUCT((Application!$B$728:$B$752 = 'CalHFA Addendum'!AH$18)*(Application!$AC$728:$AC$752 = 'CalHFA Addendum'!$B20),Application!$G$728:$G$752)</f>
        <v>0</v>
      </c>
      <c r="AI20" s="2743"/>
      <c r="AJ20" s="2743"/>
      <c r="AK20" s="2743"/>
      <c r="AL20" s="2743"/>
      <c r="AM20" s="2744"/>
      <c r="AN20" s="2742" cm="1">
        <f t="array" ref="AN20">SUMPRODUCT((Application!$B$728:$B$752 = 'CalHFA Addendum'!AN$18)*(Application!$AC$728:$AC$752 = 'CalHFA Addendum'!$B20),Application!$G$728:$G$752)</f>
        <v>0</v>
      </c>
      <c r="AO20" s="2743"/>
      <c r="AP20" s="2743"/>
      <c r="AQ20" s="2743"/>
      <c r="AR20" s="2743"/>
      <c r="AS20" s="2744"/>
      <c r="AT20" s="2745">
        <f t="shared" si="0"/>
        <v>5.3571428571428568E-2</v>
      </c>
      <c r="AU20" s="2746"/>
      <c r="AV20" s="2746"/>
      <c r="AW20" s="2746"/>
      <c r="AX20" s="2746"/>
      <c r="AY20" s="2747"/>
      <c r="AZ20" s="1144"/>
      <c r="BA20" s="1144"/>
      <c r="BB20" s="1144"/>
      <c r="BC20" s="1144"/>
      <c r="BD20" s="1144"/>
      <c r="BE20" s="1150"/>
    </row>
    <row r="21" spans="1:58" ht="14.4">
      <c r="A21" s="1144"/>
      <c r="B21" s="2748">
        <v>0.4</v>
      </c>
      <c r="C21" s="2749"/>
      <c r="D21" s="2749"/>
      <c r="E21" s="2749"/>
      <c r="F21" s="2749"/>
      <c r="G21" s="2749"/>
      <c r="H21" s="2749"/>
      <c r="I21" s="2749"/>
      <c r="J21" s="2742">
        <f t="shared" si="1"/>
        <v>0</v>
      </c>
      <c r="K21" s="2743"/>
      <c r="L21" s="2743"/>
      <c r="M21" s="2743"/>
      <c r="N21" s="2743"/>
      <c r="O21" s="2744"/>
      <c r="P21" s="2742" cm="1">
        <f t="array" ref="P21">SUMPRODUCT((Application!$B$728:$B$752 = 'CalHFA Addendum'!P$18)*(Application!$AC$728:$AC$752 = 'CalHFA Addendum'!$B21),Application!$G$728:$G$752)</f>
        <v>0</v>
      </c>
      <c r="Q21" s="2743"/>
      <c r="R21" s="2743"/>
      <c r="S21" s="2743"/>
      <c r="T21" s="2743"/>
      <c r="U21" s="2744"/>
      <c r="V21" s="2742" cm="1">
        <f t="array" ref="V21">SUMPRODUCT((Application!$B$728:$B$752 = 'CalHFA Addendum'!V$18)*(Application!$AC$728:$AC$752 = 'CalHFA Addendum'!$B21),Application!$G$728:$G$752)</f>
        <v>0</v>
      </c>
      <c r="W21" s="2743"/>
      <c r="X21" s="2743"/>
      <c r="Y21" s="2743"/>
      <c r="Z21" s="2743"/>
      <c r="AA21" s="2744"/>
      <c r="AB21" s="2742" cm="1">
        <f t="array" ref="AB21">SUMPRODUCT((Application!$B$728:$B$752 = 'CalHFA Addendum'!AB$18)*(Application!$AC$728:$AC$752 = 'CalHFA Addendum'!$B21),Application!$G$728:$G$752)</f>
        <v>0</v>
      </c>
      <c r="AC21" s="2743"/>
      <c r="AD21" s="2743"/>
      <c r="AE21" s="2743"/>
      <c r="AF21" s="2743"/>
      <c r="AG21" s="2744"/>
      <c r="AH21" s="2742" cm="1">
        <f t="array" ref="AH21">SUMPRODUCT((Application!$B$728:$B$752 = 'CalHFA Addendum'!AH$18)*(Application!$AC$728:$AC$752 = 'CalHFA Addendum'!$B21),Application!$G$728:$G$752)</f>
        <v>0</v>
      </c>
      <c r="AI21" s="2743"/>
      <c r="AJ21" s="2743"/>
      <c r="AK21" s="2743"/>
      <c r="AL21" s="2743"/>
      <c r="AM21" s="2744"/>
      <c r="AN21" s="2742" cm="1">
        <f t="array" ref="AN21">SUMPRODUCT((Application!$B$728:$B$752 = 'CalHFA Addendum'!AN$18)*(Application!$AC$728:$AC$752 = 'CalHFA Addendum'!$B21),Application!$G$728:$G$752)</f>
        <v>0</v>
      </c>
      <c r="AO21" s="2743"/>
      <c r="AP21" s="2743"/>
      <c r="AQ21" s="2743"/>
      <c r="AR21" s="2743"/>
      <c r="AS21" s="2744"/>
      <c r="AT21" s="2745">
        <f t="shared" si="0"/>
        <v>0</v>
      </c>
      <c r="AU21" s="2746"/>
      <c r="AV21" s="2746"/>
      <c r="AW21" s="2746"/>
      <c r="AX21" s="2746"/>
      <c r="AY21" s="2747"/>
      <c r="AZ21" s="1144"/>
      <c r="BA21" s="1144"/>
      <c r="BB21" s="1144"/>
      <c r="BC21" s="1144"/>
      <c r="BD21" s="1144"/>
      <c r="BE21" s="1150"/>
    </row>
    <row r="22" spans="1:58" ht="14.4">
      <c r="A22" s="1144"/>
      <c r="B22" s="2748">
        <v>0.5</v>
      </c>
      <c r="C22" s="2749"/>
      <c r="D22" s="2749"/>
      <c r="E22" s="2749"/>
      <c r="F22" s="2749"/>
      <c r="G22" s="2749"/>
      <c r="H22" s="2749"/>
      <c r="I22" s="2749"/>
      <c r="J22" s="2742">
        <f t="shared" si="1"/>
        <v>24</v>
      </c>
      <c r="K22" s="2743"/>
      <c r="L22" s="2743"/>
      <c r="M22" s="2743"/>
      <c r="N22" s="2743"/>
      <c r="O22" s="2744"/>
      <c r="P22" s="2742" cm="1">
        <f t="array" ref="P22">SUMPRODUCT((Application!$B$728:$B$752 = 'CalHFA Addendum'!P$18)*(Application!$AC$728:$AC$752 = 'CalHFA Addendum'!$B22),Application!$G$728:$G$752)</f>
        <v>11</v>
      </c>
      <c r="Q22" s="2743"/>
      <c r="R22" s="2743"/>
      <c r="S22" s="2743"/>
      <c r="T22" s="2743"/>
      <c r="U22" s="2744"/>
      <c r="V22" s="2742" cm="1">
        <f t="array" ref="V22">SUMPRODUCT((Application!$B$728:$B$752 = 'CalHFA Addendum'!V$18)*(Application!$AC$728:$AC$752 = 'CalHFA Addendum'!$B22),Application!$G$728:$G$752)</f>
        <v>0</v>
      </c>
      <c r="W22" s="2743"/>
      <c r="X22" s="2743"/>
      <c r="Y22" s="2743"/>
      <c r="Z22" s="2743"/>
      <c r="AA22" s="2744"/>
      <c r="AB22" s="2742" cm="1">
        <f t="array" ref="AB22">SUMPRODUCT((Application!$B$728:$B$752 = 'CalHFA Addendum'!AB$18)*(Application!$AC$728:$AC$752 = 'CalHFA Addendum'!$B22),Application!$G$728:$G$752)</f>
        <v>13</v>
      </c>
      <c r="AC22" s="2743"/>
      <c r="AD22" s="2743"/>
      <c r="AE22" s="2743"/>
      <c r="AF22" s="2743"/>
      <c r="AG22" s="2744"/>
      <c r="AH22" s="2742" cm="1">
        <f t="array" ref="AH22">SUMPRODUCT((Application!$B$728:$B$752 = 'CalHFA Addendum'!AH$18)*(Application!$AC$728:$AC$752 = 'CalHFA Addendum'!$B22),Application!$G$728:$G$752)</f>
        <v>0</v>
      </c>
      <c r="AI22" s="2743"/>
      <c r="AJ22" s="2743"/>
      <c r="AK22" s="2743"/>
      <c r="AL22" s="2743"/>
      <c r="AM22" s="2744"/>
      <c r="AN22" s="2742" cm="1">
        <f t="array" ref="AN22">SUMPRODUCT((Application!$B$728:$B$752 = 'CalHFA Addendum'!AN$18)*(Application!$AC$728:$AC$752 = 'CalHFA Addendum'!$B22),Application!$G$728:$G$752)</f>
        <v>0</v>
      </c>
      <c r="AO22" s="2743"/>
      <c r="AP22" s="2743"/>
      <c r="AQ22" s="2743"/>
      <c r="AR22" s="2743"/>
      <c r="AS22" s="2744"/>
      <c r="AT22" s="2745">
        <f t="shared" si="0"/>
        <v>0.21428571428571427</v>
      </c>
      <c r="AU22" s="2746"/>
      <c r="AV22" s="2746"/>
      <c r="AW22" s="2746"/>
      <c r="AX22" s="2746"/>
      <c r="AY22" s="2747"/>
      <c r="AZ22" s="1144"/>
      <c r="BA22" s="1144"/>
      <c r="BB22" s="1144"/>
      <c r="BC22" s="1144"/>
      <c r="BD22" s="1144"/>
      <c r="BE22" s="1150"/>
    </row>
    <row r="23" spans="1:58" ht="14.4">
      <c r="A23" s="1144"/>
      <c r="B23" s="2748">
        <v>0.6</v>
      </c>
      <c r="C23" s="2749"/>
      <c r="D23" s="2749"/>
      <c r="E23" s="2749"/>
      <c r="F23" s="2749"/>
      <c r="G23" s="2749"/>
      <c r="H23" s="2749"/>
      <c r="I23" s="2749"/>
      <c r="J23" s="2742">
        <f t="shared" si="1"/>
        <v>56</v>
      </c>
      <c r="K23" s="2743"/>
      <c r="L23" s="2743"/>
      <c r="M23" s="2743"/>
      <c r="N23" s="2743"/>
      <c r="O23" s="2744"/>
      <c r="P23" s="2742" cm="1">
        <f t="array" ref="P23">SUMPRODUCT((Application!$B$728:$B$752 = 'CalHFA Addendum'!P$18)*(Application!$AC$728:$AC$752 = 'CalHFA Addendum'!$B23),Application!$G$728:$G$752)</f>
        <v>42</v>
      </c>
      <c r="Q23" s="2743"/>
      <c r="R23" s="2743"/>
      <c r="S23" s="2743"/>
      <c r="T23" s="2743"/>
      <c r="U23" s="2744"/>
      <c r="V23" s="2742" cm="1">
        <f t="array" ref="V23">SUMPRODUCT((Application!$B$728:$B$752 = 'CalHFA Addendum'!V$18)*(Application!$AC$728:$AC$752 = 'CalHFA Addendum'!$B23),Application!$G$728:$G$752)</f>
        <v>0</v>
      </c>
      <c r="W23" s="2743"/>
      <c r="X23" s="2743"/>
      <c r="Y23" s="2743"/>
      <c r="Z23" s="2743"/>
      <c r="AA23" s="2744"/>
      <c r="AB23" s="2742" cm="1">
        <f t="array" ref="AB23">SUMPRODUCT((Application!$B$728:$B$752 = 'CalHFA Addendum'!AB$18)*(Application!$AC$728:$AC$752 = 'CalHFA Addendum'!$B23),Application!$G$728:$G$752)</f>
        <v>14</v>
      </c>
      <c r="AC23" s="2743"/>
      <c r="AD23" s="2743"/>
      <c r="AE23" s="2743"/>
      <c r="AF23" s="2743"/>
      <c r="AG23" s="2744"/>
      <c r="AH23" s="2742" cm="1">
        <f t="array" ref="AH23">SUMPRODUCT((Application!$B$728:$B$752 = 'CalHFA Addendum'!AH$18)*(Application!$AC$728:$AC$752 = 'CalHFA Addendum'!$B23),Application!$G$728:$G$752)</f>
        <v>0</v>
      </c>
      <c r="AI23" s="2743"/>
      <c r="AJ23" s="2743"/>
      <c r="AK23" s="2743"/>
      <c r="AL23" s="2743"/>
      <c r="AM23" s="2744"/>
      <c r="AN23" s="2742" cm="1">
        <f t="array" ref="AN23">SUMPRODUCT((Application!$B$728:$B$752 = 'CalHFA Addendum'!AN$18)*(Application!$AC$728:$AC$752 = 'CalHFA Addendum'!$B23),Application!$G$728:$G$752)</f>
        <v>0</v>
      </c>
      <c r="AO23" s="2743"/>
      <c r="AP23" s="2743"/>
      <c r="AQ23" s="2743"/>
      <c r="AR23" s="2743"/>
      <c r="AS23" s="2744"/>
      <c r="AT23" s="2745">
        <f t="shared" si="0"/>
        <v>0.5</v>
      </c>
      <c r="AU23" s="2746"/>
      <c r="AV23" s="2746"/>
      <c r="AW23" s="2746"/>
      <c r="AX23" s="2746"/>
      <c r="AY23" s="2747"/>
      <c r="AZ23" s="1144"/>
      <c r="BA23" s="1144"/>
      <c r="BB23" s="1144"/>
      <c r="BC23" s="1144"/>
      <c r="BD23" s="1144"/>
      <c r="BE23" s="1150"/>
    </row>
    <row r="24" spans="1:58" ht="14.4">
      <c r="A24" s="1144"/>
      <c r="B24" s="2748">
        <v>0.7</v>
      </c>
      <c r="C24" s="2749"/>
      <c r="D24" s="2749"/>
      <c r="E24" s="2749"/>
      <c r="F24" s="2749"/>
      <c r="G24" s="2749"/>
      <c r="H24" s="2749"/>
      <c r="I24" s="2749"/>
      <c r="J24" s="2742">
        <f t="shared" si="1"/>
        <v>0</v>
      </c>
      <c r="K24" s="2743"/>
      <c r="L24" s="2743"/>
      <c r="M24" s="2743"/>
      <c r="N24" s="2743"/>
      <c r="O24" s="2744"/>
      <c r="P24" s="2742" cm="1">
        <f t="array" ref="P24">SUMPRODUCT((Application!$B$728:$B$752 = 'CalHFA Addendum'!P$18)*(Application!$AC$728:$AC$752 = 'CalHFA Addendum'!$B24),Application!$G$728:$G$752)</f>
        <v>0</v>
      </c>
      <c r="Q24" s="2743"/>
      <c r="R24" s="2743"/>
      <c r="S24" s="2743"/>
      <c r="T24" s="2743"/>
      <c r="U24" s="2744"/>
      <c r="V24" s="2742" cm="1">
        <f t="array" ref="V24">SUMPRODUCT((Application!$B$728:$B$752 = 'CalHFA Addendum'!V$18)*(Application!$AC$728:$AC$752 = 'CalHFA Addendum'!$B24),Application!$G$728:$G$752)</f>
        <v>0</v>
      </c>
      <c r="W24" s="2743"/>
      <c r="X24" s="2743"/>
      <c r="Y24" s="2743"/>
      <c r="Z24" s="2743"/>
      <c r="AA24" s="2744"/>
      <c r="AB24" s="2742" cm="1">
        <f t="array" ref="AB24">SUMPRODUCT((Application!$B$728:$B$752 = 'CalHFA Addendum'!AB$18)*(Application!$AC$728:$AC$752 = 'CalHFA Addendum'!$B24),Application!$G$728:$G$752)</f>
        <v>0</v>
      </c>
      <c r="AC24" s="2743"/>
      <c r="AD24" s="2743"/>
      <c r="AE24" s="2743"/>
      <c r="AF24" s="2743"/>
      <c r="AG24" s="2744"/>
      <c r="AH24" s="2742" cm="1">
        <f t="array" ref="AH24">SUMPRODUCT((Application!$B$728:$B$752 = 'CalHFA Addendum'!AH$18)*(Application!$AC$728:$AC$752 = 'CalHFA Addendum'!$B24),Application!$G$728:$G$752)</f>
        <v>0</v>
      </c>
      <c r="AI24" s="2743"/>
      <c r="AJ24" s="2743"/>
      <c r="AK24" s="2743"/>
      <c r="AL24" s="2743"/>
      <c r="AM24" s="2744"/>
      <c r="AN24" s="2742" cm="1">
        <f t="array" ref="AN24">SUMPRODUCT((Application!$B$728:$B$752 = 'CalHFA Addendum'!AN$18)*(Application!$AC$728:$AC$752 = 'CalHFA Addendum'!$B24),Application!$G$728:$G$752)</f>
        <v>0</v>
      </c>
      <c r="AO24" s="2743"/>
      <c r="AP24" s="2743"/>
      <c r="AQ24" s="2743"/>
      <c r="AR24" s="2743"/>
      <c r="AS24" s="2744"/>
      <c r="AT24" s="2745">
        <f t="shared" si="0"/>
        <v>0</v>
      </c>
      <c r="AU24" s="2746"/>
      <c r="AV24" s="2746"/>
      <c r="AW24" s="2746"/>
      <c r="AX24" s="2746"/>
      <c r="AY24" s="2747"/>
      <c r="AZ24" s="1144"/>
      <c r="BA24" s="1144"/>
      <c r="BB24" s="1144"/>
      <c r="BC24" s="1144"/>
      <c r="BD24" s="1144"/>
      <c r="BE24" s="1150"/>
    </row>
    <row r="25" spans="1:58" ht="14.4">
      <c r="A25" s="1144"/>
      <c r="B25" s="2748">
        <v>0.8</v>
      </c>
      <c r="C25" s="2749"/>
      <c r="D25" s="2749"/>
      <c r="E25" s="2749"/>
      <c r="F25" s="2749"/>
      <c r="G25" s="2749"/>
      <c r="H25" s="2749"/>
      <c r="I25" s="2749"/>
      <c r="J25" s="2742">
        <f t="shared" si="1"/>
        <v>0</v>
      </c>
      <c r="K25" s="2743"/>
      <c r="L25" s="2743"/>
      <c r="M25" s="2743"/>
      <c r="N25" s="2743"/>
      <c r="O25" s="2744"/>
      <c r="P25" s="2742" cm="1">
        <f t="array" ref="P25">SUMPRODUCT((Application!$B$728:$B$752 = 'CalHFA Addendum'!P$18)*(Application!$AC$728:$AC$752 = 'CalHFA Addendum'!$B25),Application!$G$728:$G$752)</f>
        <v>0</v>
      </c>
      <c r="Q25" s="2743"/>
      <c r="R25" s="2743"/>
      <c r="S25" s="2743"/>
      <c r="T25" s="2743"/>
      <c r="U25" s="2744"/>
      <c r="V25" s="2742" cm="1">
        <f t="array" ref="V25">SUMPRODUCT((Application!$B$728:$B$752 = 'CalHFA Addendum'!V$18)*(Application!$AC$728:$AC$752 = 'CalHFA Addendum'!$B25),Application!$G$728:$G$752)</f>
        <v>0</v>
      </c>
      <c r="W25" s="2743"/>
      <c r="X25" s="2743"/>
      <c r="Y25" s="2743"/>
      <c r="Z25" s="2743"/>
      <c r="AA25" s="2744"/>
      <c r="AB25" s="2742" cm="1">
        <f t="array" ref="AB25">SUMPRODUCT((Application!$B$728:$B$752 = 'CalHFA Addendum'!AB$18)*(Application!$AC$728:$AC$752 = 'CalHFA Addendum'!$B25),Application!$G$728:$G$752)</f>
        <v>0</v>
      </c>
      <c r="AC25" s="2743"/>
      <c r="AD25" s="2743"/>
      <c r="AE25" s="2743"/>
      <c r="AF25" s="2743"/>
      <c r="AG25" s="2744"/>
      <c r="AH25" s="2742" cm="1">
        <f t="array" ref="AH25">SUMPRODUCT((Application!$B$728:$B$752 = 'CalHFA Addendum'!AH$18)*(Application!$AC$728:$AC$752 = 'CalHFA Addendum'!$B25),Application!$G$728:$G$752)</f>
        <v>0</v>
      </c>
      <c r="AI25" s="2743"/>
      <c r="AJ25" s="2743"/>
      <c r="AK25" s="2743"/>
      <c r="AL25" s="2743"/>
      <c r="AM25" s="2744"/>
      <c r="AN25" s="2742" cm="1">
        <f t="array" ref="AN25">SUMPRODUCT((Application!$B$728:$B$752 = 'CalHFA Addendum'!AN$18)*(Application!$AC$728:$AC$752 = 'CalHFA Addendum'!$B25),Application!$G$728:$G$752)</f>
        <v>0</v>
      </c>
      <c r="AO25" s="2743"/>
      <c r="AP25" s="2743"/>
      <c r="AQ25" s="2743"/>
      <c r="AR25" s="2743"/>
      <c r="AS25" s="2744"/>
      <c r="AT25" s="2745">
        <f t="shared" si="0"/>
        <v>0</v>
      </c>
      <c r="AU25" s="2746"/>
      <c r="AV25" s="2746"/>
      <c r="AW25" s="2746"/>
      <c r="AX25" s="2746"/>
      <c r="AY25" s="2747"/>
      <c r="AZ25" s="1144"/>
      <c r="BA25" s="1144"/>
      <c r="BB25" s="1144"/>
      <c r="BC25" s="1144"/>
      <c r="BD25" s="1144"/>
      <c r="BE25" s="1150"/>
    </row>
    <row r="26" spans="1:58" ht="14.4">
      <c r="A26" s="1144"/>
      <c r="B26" s="2748">
        <v>0.9</v>
      </c>
      <c r="C26" s="2749"/>
      <c r="D26" s="2749"/>
      <c r="E26" s="2749"/>
      <c r="F26" s="2749"/>
      <c r="G26" s="2749"/>
      <c r="H26" s="2749"/>
      <c r="I26" s="2749"/>
      <c r="J26" s="2742">
        <f t="shared" si="1"/>
        <v>0</v>
      </c>
      <c r="K26" s="2743"/>
      <c r="L26" s="2743"/>
      <c r="M26" s="2743"/>
      <c r="N26" s="2743"/>
      <c r="O26" s="2744"/>
      <c r="P26" s="2742" cm="1">
        <f t="array" ref="P26">SUMPRODUCT((Application!$B$728:$B$752 = 'CalHFA Addendum'!P$18)*(Application!$AC$728:$AC$752 = 'CalHFA Addendum'!$B26),Application!$G$728:$G$752)</f>
        <v>0</v>
      </c>
      <c r="Q26" s="2743"/>
      <c r="R26" s="2743"/>
      <c r="S26" s="2743"/>
      <c r="T26" s="2743"/>
      <c r="U26" s="2744"/>
      <c r="V26" s="2742" cm="1">
        <f t="array" ref="V26">SUMPRODUCT((Application!$B$728:$B$752 = 'CalHFA Addendum'!V$18)*(Application!$AC$728:$AC$752 = 'CalHFA Addendum'!$B26),Application!$G$728:$G$752)</f>
        <v>0</v>
      </c>
      <c r="W26" s="2743"/>
      <c r="X26" s="2743"/>
      <c r="Y26" s="2743"/>
      <c r="Z26" s="2743"/>
      <c r="AA26" s="2744"/>
      <c r="AB26" s="2742" cm="1">
        <f t="array" ref="AB26">SUMPRODUCT((Application!$B$728:$B$752 = 'CalHFA Addendum'!AB$18)*(Application!$AC$728:$AC$752 = 'CalHFA Addendum'!$B26),Application!$G$728:$G$752)</f>
        <v>0</v>
      </c>
      <c r="AC26" s="2743"/>
      <c r="AD26" s="2743"/>
      <c r="AE26" s="2743"/>
      <c r="AF26" s="2743"/>
      <c r="AG26" s="2744"/>
      <c r="AH26" s="2742" cm="1">
        <f t="array" ref="AH26">SUMPRODUCT((Application!$B$728:$B$752 = 'CalHFA Addendum'!AH$18)*(Application!$AC$728:$AC$752 = 'CalHFA Addendum'!$B26),Application!$G$728:$G$752)</f>
        <v>0</v>
      </c>
      <c r="AI26" s="2743"/>
      <c r="AJ26" s="2743"/>
      <c r="AK26" s="2743"/>
      <c r="AL26" s="2743"/>
      <c r="AM26" s="2744"/>
      <c r="AN26" s="2742" cm="1">
        <f t="array" ref="AN26">SUMPRODUCT((Application!$B$728:$B$752 = 'CalHFA Addendum'!AN$18)*(Application!$AC$728:$AC$752 = 'CalHFA Addendum'!$B26),Application!$G$728:$G$752)</f>
        <v>0</v>
      </c>
      <c r="AO26" s="2743"/>
      <c r="AP26" s="2743"/>
      <c r="AQ26" s="2743"/>
      <c r="AR26" s="2743"/>
      <c r="AS26" s="2744"/>
      <c r="AT26" s="2745">
        <f t="shared" si="0"/>
        <v>0</v>
      </c>
      <c r="AU26" s="2746"/>
      <c r="AV26" s="2746"/>
      <c r="AW26" s="2746"/>
      <c r="AX26" s="2746"/>
      <c r="AY26" s="2747"/>
      <c r="AZ26" s="1144"/>
      <c r="BA26" s="1144"/>
      <c r="BB26" s="1144"/>
      <c r="BC26" s="1144"/>
      <c r="BD26" s="1144"/>
      <c r="BE26" s="1150"/>
    </row>
    <row r="27" spans="1:58" ht="14.4">
      <c r="A27" s="1144"/>
      <c r="B27" s="2748">
        <v>1</v>
      </c>
      <c r="C27" s="2749"/>
      <c r="D27" s="2749"/>
      <c r="E27" s="2749"/>
      <c r="F27" s="2749"/>
      <c r="G27" s="2749"/>
      <c r="H27" s="2749"/>
      <c r="I27" s="2749"/>
      <c r="J27" s="2742">
        <f t="shared" si="1"/>
        <v>0</v>
      </c>
      <c r="K27" s="2743"/>
      <c r="L27" s="2743"/>
      <c r="M27" s="2743"/>
      <c r="N27" s="2743"/>
      <c r="O27" s="2744"/>
      <c r="P27" s="2742" cm="1">
        <f t="array" ref="P27">SUMPRODUCT((Application!$B$728:$B$752 = 'CalHFA Addendum'!P$18)*(Application!$AC$728:$AC$752 = 'CalHFA Addendum'!$B27),Application!$G$728:$G$752)</f>
        <v>0</v>
      </c>
      <c r="Q27" s="2743"/>
      <c r="R27" s="2743"/>
      <c r="S27" s="2743"/>
      <c r="T27" s="2743"/>
      <c r="U27" s="2744"/>
      <c r="V27" s="2742" cm="1">
        <f t="array" ref="V27">SUMPRODUCT((Application!$B$728:$B$752 = 'CalHFA Addendum'!V$18)*(Application!$AC$728:$AC$752 = 'CalHFA Addendum'!$B27),Application!$G$728:$G$752)</f>
        <v>0</v>
      </c>
      <c r="W27" s="2743"/>
      <c r="X27" s="2743"/>
      <c r="Y27" s="2743"/>
      <c r="Z27" s="2743"/>
      <c r="AA27" s="2744"/>
      <c r="AB27" s="2742" cm="1">
        <f t="array" ref="AB27">SUMPRODUCT((Application!$B$728:$B$752 = 'CalHFA Addendum'!AB$18)*(Application!$AC$728:$AC$752 = 'CalHFA Addendum'!$B27),Application!$G$728:$G$752)</f>
        <v>0</v>
      </c>
      <c r="AC27" s="2743"/>
      <c r="AD27" s="2743"/>
      <c r="AE27" s="2743"/>
      <c r="AF27" s="2743"/>
      <c r="AG27" s="2744"/>
      <c r="AH27" s="2742" cm="1">
        <f t="array" ref="AH27">SUMPRODUCT((Application!$B$728:$B$752 = 'CalHFA Addendum'!AH$18)*(Application!$AC$728:$AC$752 = 'CalHFA Addendum'!$B27),Application!$G$728:$G$752)</f>
        <v>0</v>
      </c>
      <c r="AI27" s="2743"/>
      <c r="AJ27" s="2743"/>
      <c r="AK27" s="2743"/>
      <c r="AL27" s="2743"/>
      <c r="AM27" s="2744"/>
      <c r="AN27" s="2742" cm="1">
        <f t="array" ref="AN27">SUMPRODUCT((Application!$B$728:$B$752 = 'CalHFA Addendum'!AN$18)*(Application!$AC$728:$AC$752 = 'CalHFA Addendum'!$B27),Application!$G$728:$G$752)</f>
        <v>0</v>
      </c>
      <c r="AO27" s="2743"/>
      <c r="AP27" s="2743"/>
      <c r="AQ27" s="2743"/>
      <c r="AR27" s="2743"/>
      <c r="AS27" s="2744"/>
      <c r="AT27" s="2745">
        <f t="shared" si="0"/>
        <v>0</v>
      </c>
      <c r="AU27" s="2746"/>
      <c r="AV27" s="2746"/>
      <c r="AW27" s="2746"/>
      <c r="AX27" s="2746"/>
      <c r="AY27" s="2747"/>
      <c r="AZ27" s="1144"/>
      <c r="BA27" s="1144"/>
      <c r="BB27" s="1144"/>
      <c r="BC27" s="1144"/>
      <c r="BD27" s="1144"/>
      <c r="BE27" s="1150"/>
    </row>
    <row r="28" spans="1:58" ht="15" thickBot="1">
      <c r="A28" s="1144"/>
      <c r="B28" s="2750" t="s">
        <v>1896</v>
      </c>
      <c r="C28" s="2751"/>
      <c r="D28" s="2751"/>
      <c r="E28" s="2751"/>
      <c r="F28" s="2751"/>
      <c r="G28" s="2751"/>
      <c r="H28" s="2751"/>
      <c r="I28" s="2752"/>
      <c r="J28" s="2742">
        <f t="shared" si="1"/>
        <v>2</v>
      </c>
      <c r="K28" s="2743"/>
      <c r="L28" s="2743"/>
      <c r="M28" s="2743"/>
      <c r="N28" s="2743"/>
      <c r="O28" s="2744"/>
      <c r="P28" s="2742">
        <f>_xlfn.IFNA(VLOOKUP(P$18,Application!$J$772:$S$775,6,FALSE), 0)</f>
        <v>1</v>
      </c>
      <c r="Q28" s="2743"/>
      <c r="R28" s="2743"/>
      <c r="S28" s="2743"/>
      <c r="T28" s="2743"/>
      <c r="U28" s="2744"/>
      <c r="V28" s="2742">
        <f>_xlfn.IFNA(VLOOKUP(V$18,Application!$J$772:$S$775,6,FALSE), 0)</f>
        <v>0</v>
      </c>
      <c r="W28" s="2743"/>
      <c r="X28" s="2743"/>
      <c r="Y28" s="2743"/>
      <c r="Z28" s="2743"/>
      <c r="AA28" s="2744"/>
      <c r="AB28" s="2742">
        <f>_xlfn.IFNA(VLOOKUP(AB$18,Application!$J$772:$S$775,6,FALSE), 0)</f>
        <v>1</v>
      </c>
      <c r="AC28" s="2743"/>
      <c r="AD28" s="2743"/>
      <c r="AE28" s="2743"/>
      <c r="AF28" s="2743"/>
      <c r="AG28" s="2744"/>
      <c r="AH28" s="2742">
        <f>_xlfn.IFNA(VLOOKUP(AH$18,Application!$J$772:$S$775,6,FALSE), 0)</f>
        <v>0</v>
      </c>
      <c r="AI28" s="2743"/>
      <c r="AJ28" s="2743"/>
      <c r="AK28" s="2743"/>
      <c r="AL28" s="2743"/>
      <c r="AM28" s="2744"/>
      <c r="AN28" s="2742">
        <f>_xlfn.IFNA(VLOOKUP(AN$18,Application!$J$772:$S$775,6,FALSE), 0)</f>
        <v>0</v>
      </c>
      <c r="AO28" s="2743"/>
      <c r="AP28" s="2743"/>
      <c r="AQ28" s="2743"/>
      <c r="AR28" s="2743"/>
      <c r="AS28" s="2744"/>
      <c r="AT28" s="2745">
        <f t="shared" si="0"/>
        <v>1.7857142857142856E-2</v>
      </c>
      <c r="AU28" s="2746"/>
      <c r="AV28" s="2746"/>
      <c r="AW28" s="2746"/>
      <c r="AX28" s="2746"/>
      <c r="AY28" s="2747"/>
      <c r="AZ28" s="1144"/>
      <c r="BA28" s="1144"/>
      <c r="BB28" s="1144"/>
      <c r="BC28" s="1144"/>
      <c r="BD28" s="1144"/>
      <c r="BE28" s="1150"/>
    </row>
    <row r="29" spans="1:58" ht="15" thickBot="1">
      <c r="A29" s="1144"/>
      <c r="B29" s="2782" t="s">
        <v>1786</v>
      </c>
      <c r="C29" s="2757"/>
      <c r="D29" s="2757"/>
      <c r="E29" s="2757"/>
      <c r="F29" s="2757"/>
      <c r="G29" s="2757"/>
      <c r="H29" s="2757"/>
      <c r="I29" s="2758"/>
      <c r="J29" s="2756">
        <f>SUM(J19:O28)</f>
        <v>112</v>
      </c>
      <c r="K29" s="2757"/>
      <c r="L29" s="2757"/>
      <c r="M29" s="2757"/>
      <c r="N29" s="2757"/>
      <c r="O29" s="2758"/>
      <c r="P29" s="2756">
        <f>SUM(P19:U28)</f>
        <v>80</v>
      </c>
      <c r="Q29" s="2757"/>
      <c r="R29" s="2757"/>
      <c r="S29" s="2757"/>
      <c r="T29" s="2757"/>
      <c r="U29" s="2758"/>
      <c r="V29" s="2756">
        <f>SUM(V19:AA28)</f>
        <v>0</v>
      </c>
      <c r="W29" s="2757"/>
      <c r="X29" s="2757"/>
      <c r="Y29" s="2757"/>
      <c r="Z29" s="2757"/>
      <c r="AA29" s="2758"/>
      <c r="AB29" s="2756">
        <f>SUM(AB19:AG28)</f>
        <v>32</v>
      </c>
      <c r="AC29" s="2757"/>
      <c r="AD29" s="2757"/>
      <c r="AE29" s="2757"/>
      <c r="AF29" s="2757"/>
      <c r="AG29" s="2758"/>
      <c r="AH29" s="2756">
        <f>SUM(AH19:AM28)</f>
        <v>0</v>
      </c>
      <c r="AI29" s="2757"/>
      <c r="AJ29" s="2757"/>
      <c r="AK29" s="2757"/>
      <c r="AL29" s="2757"/>
      <c r="AM29" s="2758"/>
      <c r="AN29" s="2756">
        <f>SUM(AN19:AS28)</f>
        <v>0</v>
      </c>
      <c r="AO29" s="2757"/>
      <c r="AP29" s="2757"/>
      <c r="AQ29" s="2757"/>
      <c r="AR29" s="2757"/>
      <c r="AS29" s="2758"/>
      <c r="AT29" s="2759">
        <f>J29/$J$29</f>
        <v>1</v>
      </c>
      <c r="AU29" s="2760"/>
      <c r="AV29" s="2760"/>
      <c r="AW29" s="2760"/>
      <c r="AX29" s="2760"/>
      <c r="AY29" s="2761"/>
      <c r="AZ29" s="1144"/>
      <c r="BA29" s="1144"/>
      <c r="BB29" s="1144"/>
      <c r="BC29" s="1144"/>
      <c r="BD29" s="1144"/>
      <c r="BE29" s="1150"/>
    </row>
    <row r="30" spans="1:58" ht="15" thickBot="1">
      <c r="A30" s="1143"/>
      <c r="B30" s="1144"/>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1144"/>
      <c r="BE30" s="1150"/>
    </row>
    <row r="31" spans="1:58" ht="15" thickBot="1">
      <c r="A31" s="1144"/>
      <c r="B31" s="2762" t="s">
        <v>1897</v>
      </c>
      <c r="C31" s="2763"/>
      <c r="D31" s="2763"/>
      <c r="E31" s="2763"/>
      <c r="F31" s="2763"/>
      <c r="G31" s="2763"/>
      <c r="H31" s="2763"/>
      <c r="I31" s="2763"/>
      <c r="J31" s="2763"/>
      <c r="K31" s="2763"/>
      <c r="L31" s="2763"/>
      <c r="M31" s="2763"/>
      <c r="N31" s="2763"/>
      <c r="O31" s="2763"/>
      <c r="P31" s="2763"/>
      <c r="Q31" s="2763"/>
      <c r="R31" s="2763"/>
      <c r="S31" s="2763"/>
      <c r="T31" s="2763"/>
      <c r="U31" s="2763"/>
      <c r="V31" s="2763"/>
      <c r="W31" s="2763"/>
      <c r="X31" s="2763"/>
      <c r="Y31" s="2763"/>
      <c r="Z31" s="2763"/>
      <c r="AA31" s="2763"/>
      <c r="AB31" s="2763"/>
      <c r="AC31" s="2763"/>
      <c r="AD31" s="2763"/>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4"/>
      <c r="BA31" s="1144"/>
      <c r="BB31" s="1144"/>
      <c r="BC31" s="1144"/>
      <c r="BD31" s="1144"/>
      <c r="BE31" s="1150"/>
    </row>
    <row r="32" spans="1:58" ht="15" thickBot="1">
      <c r="A32" s="1144"/>
      <c r="B32" s="2765" t="s">
        <v>1898</v>
      </c>
      <c r="C32" s="2766"/>
      <c r="D32" s="2766"/>
      <c r="E32" s="2766"/>
      <c r="F32" s="2766"/>
      <c r="G32" s="2766"/>
      <c r="H32" s="2766"/>
      <c r="I32" s="2767"/>
      <c r="J32" s="2769" t="s">
        <v>1899</v>
      </c>
      <c r="K32" s="2770"/>
      <c r="L32" s="2770"/>
      <c r="M32" s="2771"/>
      <c r="N32" s="2769" t="s">
        <v>1900</v>
      </c>
      <c r="O32" s="2770"/>
      <c r="P32" s="2770"/>
      <c r="Q32" s="2770"/>
      <c r="R32" s="2773" t="s">
        <v>1901</v>
      </c>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5"/>
      <c r="BA32" s="1144"/>
      <c r="BB32" s="1144"/>
      <c r="BC32" s="1144"/>
      <c r="BD32" s="1144"/>
      <c r="BE32" s="1150"/>
    </row>
    <row r="33" spans="1:58" ht="15" customHeight="1">
      <c r="A33" s="1144"/>
      <c r="B33" s="2768"/>
      <c r="C33" s="2766"/>
      <c r="D33" s="2766"/>
      <c r="E33" s="2766"/>
      <c r="F33" s="2766"/>
      <c r="G33" s="2766"/>
      <c r="H33" s="2766"/>
      <c r="I33" s="2767"/>
      <c r="J33" s="2772"/>
      <c r="K33" s="2770"/>
      <c r="L33" s="2770"/>
      <c r="M33" s="2771"/>
      <c r="N33" s="2772"/>
      <c r="O33" s="2770"/>
      <c r="P33" s="2770"/>
      <c r="Q33" s="2770"/>
      <c r="R33" s="2776" t="s">
        <v>1902</v>
      </c>
      <c r="S33" s="2777"/>
      <c r="T33" s="2777"/>
      <c r="U33" s="2777"/>
      <c r="V33" s="2777"/>
      <c r="W33" s="2777"/>
      <c r="X33" s="2777"/>
      <c r="Y33" s="2777"/>
      <c r="Z33" s="2777"/>
      <c r="AA33" s="2777"/>
      <c r="AB33" s="2777"/>
      <c r="AC33" s="2777"/>
      <c r="AD33" s="2777"/>
      <c r="AE33" s="2777"/>
      <c r="AF33" s="2777"/>
      <c r="AG33" s="2777"/>
      <c r="AH33" s="2777"/>
      <c r="AI33" s="2777"/>
      <c r="AJ33" s="2777"/>
      <c r="AK33" s="2777"/>
      <c r="AL33" s="2777"/>
      <c r="AM33" s="2777"/>
      <c r="AN33" s="2777"/>
      <c r="AO33" s="2777"/>
      <c r="AP33" s="2777"/>
      <c r="AQ33" s="2777"/>
      <c r="AR33" s="2777"/>
      <c r="AS33" s="2777"/>
      <c r="AT33" s="2777"/>
      <c r="AU33" s="2777"/>
      <c r="AV33" s="2777"/>
      <c r="AW33" s="2777"/>
      <c r="AX33" s="2777"/>
      <c r="AY33" s="2777"/>
      <c r="AZ33" s="2778"/>
      <c r="BA33" s="1151"/>
      <c r="BB33" s="1144"/>
      <c r="BC33" s="1144"/>
      <c r="BD33" s="1144"/>
      <c r="BE33" s="1150"/>
    </row>
    <row r="34" spans="1:58" ht="15.75" customHeight="1" thickBot="1">
      <c r="A34" s="1144"/>
      <c r="B34" s="2768"/>
      <c r="C34" s="2766"/>
      <c r="D34" s="2766"/>
      <c r="E34" s="2766"/>
      <c r="F34" s="2766"/>
      <c r="G34" s="2766"/>
      <c r="H34" s="2766"/>
      <c r="I34" s="2767"/>
      <c r="J34" s="2772"/>
      <c r="K34" s="2770"/>
      <c r="L34" s="2770"/>
      <c r="M34" s="2771"/>
      <c r="N34" s="2772"/>
      <c r="O34" s="2770"/>
      <c r="P34" s="2770"/>
      <c r="Q34" s="2770"/>
      <c r="R34" s="2779"/>
      <c r="S34" s="2780"/>
      <c r="T34" s="2780"/>
      <c r="U34" s="2780"/>
      <c r="V34" s="2780"/>
      <c r="W34" s="2780"/>
      <c r="X34" s="2780"/>
      <c r="Y34" s="2780"/>
      <c r="Z34" s="2780"/>
      <c r="AA34" s="2780"/>
      <c r="AB34" s="2780"/>
      <c r="AC34" s="2780"/>
      <c r="AD34" s="2780"/>
      <c r="AE34" s="2780"/>
      <c r="AF34" s="2780"/>
      <c r="AG34" s="2780"/>
      <c r="AH34" s="2780"/>
      <c r="AI34" s="2780"/>
      <c r="AJ34" s="2780"/>
      <c r="AK34" s="2780"/>
      <c r="AL34" s="2780"/>
      <c r="AM34" s="2780"/>
      <c r="AN34" s="2780"/>
      <c r="AO34" s="2780"/>
      <c r="AP34" s="2780"/>
      <c r="AQ34" s="2780"/>
      <c r="AR34" s="2780"/>
      <c r="AS34" s="2780"/>
      <c r="AT34" s="2780"/>
      <c r="AU34" s="2780"/>
      <c r="AV34" s="2780"/>
      <c r="AW34" s="2780"/>
      <c r="AX34" s="2780"/>
      <c r="AY34" s="2780"/>
      <c r="AZ34" s="2781"/>
      <c r="BA34" s="1151"/>
      <c r="BB34" s="1144"/>
      <c r="BC34" s="1144"/>
      <c r="BD34" s="1144"/>
      <c r="BE34" s="1150"/>
    </row>
    <row r="35" spans="1:58" ht="15.75" customHeight="1" thickBot="1">
      <c r="A35" s="1144"/>
      <c r="B35" s="2768"/>
      <c r="C35" s="2766"/>
      <c r="D35" s="2766"/>
      <c r="E35" s="2766"/>
      <c r="F35" s="2766"/>
      <c r="G35" s="2766"/>
      <c r="H35" s="2766"/>
      <c r="I35" s="2767"/>
      <c r="J35" s="2772"/>
      <c r="K35" s="2770"/>
      <c r="L35" s="2770"/>
      <c r="M35" s="2771"/>
      <c r="N35" s="2772"/>
      <c r="O35" s="2770"/>
      <c r="P35" s="2770"/>
      <c r="Q35" s="2770"/>
      <c r="R35" s="2753">
        <v>0.3</v>
      </c>
      <c r="S35" s="2754"/>
      <c r="T35" s="2754"/>
      <c r="U35" s="2755"/>
      <c r="V35" s="2753">
        <v>0.4</v>
      </c>
      <c r="W35" s="2754"/>
      <c r="X35" s="2754"/>
      <c r="Y35" s="2755"/>
      <c r="Z35" s="2753">
        <v>0.5</v>
      </c>
      <c r="AA35" s="2754"/>
      <c r="AB35" s="2754"/>
      <c r="AC35" s="2755"/>
      <c r="AD35" s="2753">
        <v>0.6</v>
      </c>
      <c r="AE35" s="2754"/>
      <c r="AF35" s="2754"/>
      <c r="AG35" s="2755"/>
      <c r="AH35" s="2753">
        <v>0.8</v>
      </c>
      <c r="AI35" s="2754"/>
      <c r="AJ35" s="2754"/>
      <c r="AK35" s="2755"/>
      <c r="AL35" s="2753" t="s">
        <v>2296</v>
      </c>
      <c r="AM35" s="2754"/>
      <c r="AN35" s="2755"/>
      <c r="AO35" s="2695" t="s">
        <v>1903</v>
      </c>
      <c r="AP35" s="2696"/>
      <c r="AQ35" s="2696"/>
      <c r="AR35" s="2696"/>
      <c r="AS35" s="2696"/>
      <c r="AT35" s="2697"/>
      <c r="AU35" s="2695" t="s">
        <v>1904</v>
      </c>
      <c r="AV35" s="2696"/>
      <c r="AW35" s="2696"/>
      <c r="AX35" s="2696"/>
      <c r="AY35" s="2696"/>
      <c r="AZ35" s="2697"/>
      <c r="BA35" s="1151"/>
      <c r="BB35" s="1144"/>
      <c r="BC35" s="1144"/>
      <c r="BD35" s="1144"/>
      <c r="BE35" s="1150"/>
      <c r="BF35" s="1142"/>
    </row>
    <row r="36" spans="1:58" ht="15.75" customHeight="1">
      <c r="A36" s="1144"/>
      <c r="B36" s="2792" t="s">
        <v>1905</v>
      </c>
      <c r="C36" s="2793"/>
      <c r="D36" s="2793"/>
      <c r="E36" s="2793"/>
      <c r="F36" s="2793"/>
      <c r="G36" s="2793"/>
      <c r="H36" s="2793"/>
      <c r="I36" s="2794"/>
      <c r="J36" s="2795" t="s">
        <v>1906</v>
      </c>
      <c r="K36" s="2796"/>
      <c r="L36" s="2796"/>
      <c r="M36" s="2797"/>
      <c r="N36" s="2798">
        <v>55</v>
      </c>
      <c r="O36" s="2799"/>
      <c r="P36" s="2799"/>
      <c r="Q36" s="2800"/>
      <c r="R36" s="2801">
        <v>10</v>
      </c>
      <c r="S36" s="2801"/>
      <c r="T36" s="2801"/>
      <c r="U36" s="2801"/>
      <c r="V36" s="2801">
        <v>30</v>
      </c>
      <c r="W36" s="2801"/>
      <c r="X36" s="2801"/>
      <c r="Y36" s="2801"/>
      <c r="Z36" s="2801"/>
      <c r="AA36" s="2801"/>
      <c r="AB36" s="2801"/>
      <c r="AC36" s="2801"/>
      <c r="AD36" s="2801"/>
      <c r="AE36" s="2801"/>
      <c r="AF36" s="2801"/>
      <c r="AG36" s="2801"/>
      <c r="AH36" s="2804"/>
      <c r="AI36" s="2804"/>
      <c r="AJ36" s="2804"/>
      <c r="AK36" s="2804"/>
      <c r="AL36" s="2804"/>
      <c r="AM36" s="2804"/>
      <c r="AN36" s="2804"/>
      <c r="AO36" s="2802">
        <f>SUM(R36:AN36)</f>
        <v>40</v>
      </c>
      <c r="AP36" s="2802"/>
      <c r="AQ36" s="2802"/>
      <c r="AR36" s="2802"/>
      <c r="AS36" s="2802"/>
      <c r="AT36" s="2802"/>
      <c r="AU36" s="2803">
        <f>AO36/$J$29</f>
        <v>0.35714285714285715</v>
      </c>
      <c r="AV36" s="2803"/>
      <c r="AW36" s="2803"/>
      <c r="AX36" s="2803"/>
      <c r="AY36" s="2803"/>
      <c r="AZ36" s="2803"/>
      <c r="BA36" s="1144"/>
      <c r="BB36" s="1144"/>
      <c r="BC36" s="1144"/>
      <c r="BD36" s="1144"/>
      <c r="BE36" s="1150"/>
      <c r="BF36" s="1142"/>
    </row>
    <row r="37" spans="1:58" ht="15.75" customHeight="1">
      <c r="A37" s="1144"/>
      <c r="B37" s="2783" t="s">
        <v>1907</v>
      </c>
      <c r="C37" s="2784"/>
      <c r="D37" s="2784"/>
      <c r="E37" s="2784"/>
      <c r="F37" s="2784"/>
      <c r="G37" s="2784"/>
      <c r="H37" s="2784"/>
      <c r="I37" s="2785"/>
      <c r="J37" s="2786" t="s">
        <v>1908</v>
      </c>
      <c r="K37" s="2787"/>
      <c r="L37" s="2787"/>
      <c r="M37" s="2788"/>
      <c r="N37" s="2789">
        <v>55</v>
      </c>
      <c r="O37" s="2787"/>
      <c r="P37" s="2787"/>
      <c r="Q37" s="2790"/>
      <c r="R37" s="2791"/>
      <c r="S37" s="2791"/>
      <c r="T37" s="2791"/>
      <c r="U37" s="2791"/>
      <c r="V37" s="2791"/>
      <c r="W37" s="2791"/>
      <c r="X37" s="2791"/>
      <c r="Y37" s="2791"/>
      <c r="Z37" s="2791"/>
      <c r="AA37" s="2791"/>
      <c r="AB37" s="2791"/>
      <c r="AC37" s="2791"/>
      <c r="AD37" s="2791"/>
      <c r="AE37" s="2791"/>
      <c r="AF37" s="2791"/>
      <c r="AG37" s="2791"/>
      <c r="AH37" s="2791"/>
      <c r="AI37" s="2791"/>
      <c r="AJ37" s="2791"/>
      <c r="AK37" s="2791"/>
      <c r="AL37" s="2791"/>
      <c r="AM37" s="2791"/>
      <c r="AN37" s="2791"/>
      <c r="AO37" s="2802">
        <f t="shared" ref="AO37:AO47" si="2">SUM(R37:AN37)</f>
        <v>0</v>
      </c>
      <c r="AP37" s="2802"/>
      <c r="AQ37" s="2802"/>
      <c r="AR37" s="2802"/>
      <c r="AS37" s="2802"/>
      <c r="AT37" s="2802"/>
      <c r="AU37" s="2803">
        <f t="shared" ref="AU37:AU47" si="3">AO37/$J$29</f>
        <v>0</v>
      </c>
      <c r="AV37" s="2803"/>
      <c r="AW37" s="2803"/>
      <c r="AX37" s="2803"/>
      <c r="AY37" s="2803"/>
      <c r="AZ37" s="2803"/>
      <c r="BA37" s="1144"/>
      <c r="BB37" s="1144"/>
      <c r="BC37" s="1144"/>
      <c r="BD37" s="1144"/>
      <c r="BE37" s="1150"/>
      <c r="BF37" s="1142"/>
    </row>
    <row r="38" spans="1:58" ht="15.75" customHeight="1">
      <c r="A38" s="1144"/>
      <c r="B38" s="2783" t="s">
        <v>2730</v>
      </c>
      <c r="C38" s="2784"/>
      <c r="D38" s="2784"/>
      <c r="E38" s="2784"/>
      <c r="F38" s="2784"/>
      <c r="G38" s="2784"/>
      <c r="H38" s="2784"/>
      <c r="I38" s="2785"/>
      <c r="J38" s="2786" t="s">
        <v>1909</v>
      </c>
      <c r="K38" s="2787"/>
      <c r="L38" s="2787"/>
      <c r="M38" s="2788"/>
      <c r="N38" s="2789">
        <v>55</v>
      </c>
      <c r="O38" s="2787"/>
      <c r="P38" s="2787"/>
      <c r="Q38" s="2790"/>
      <c r="R38" s="2791"/>
      <c r="S38" s="2791"/>
      <c r="T38" s="2791"/>
      <c r="U38" s="2791"/>
      <c r="V38" s="2791"/>
      <c r="W38" s="2791"/>
      <c r="X38" s="2791"/>
      <c r="Y38" s="2791"/>
      <c r="Z38" s="2791"/>
      <c r="AA38" s="2791"/>
      <c r="AB38" s="2791"/>
      <c r="AC38" s="2791"/>
      <c r="AD38" s="2791"/>
      <c r="AE38" s="2791"/>
      <c r="AF38" s="2791"/>
      <c r="AG38" s="2791"/>
      <c r="AH38" s="2791"/>
      <c r="AI38" s="2791"/>
      <c r="AJ38" s="2791"/>
      <c r="AK38" s="2791"/>
      <c r="AL38" s="2791"/>
      <c r="AM38" s="2791"/>
      <c r="AN38" s="2791"/>
      <c r="AO38" s="2802">
        <f t="shared" si="2"/>
        <v>0</v>
      </c>
      <c r="AP38" s="2802"/>
      <c r="AQ38" s="2802"/>
      <c r="AR38" s="2802"/>
      <c r="AS38" s="2802"/>
      <c r="AT38" s="2802"/>
      <c r="AU38" s="2803">
        <f t="shared" si="3"/>
        <v>0</v>
      </c>
      <c r="AV38" s="2803"/>
      <c r="AW38" s="2803"/>
      <c r="AX38" s="2803"/>
      <c r="AY38" s="2803"/>
      <c r="AZ38" s="2803"/>
      <c r="BA38" s="1144"/>
      <c r="BB38" s="1144"/>
      <c r="BC38" s="1144"/>
      <c r="BD38" s="1144"/>
      <c r="BE38" s="1150"/>
      <c r="BF38" s="1142"/>
    </row>
    <row r="39" spans="1:58" ht="15.75" customHeight="1">
      <c r="A39" s="1144"/>
      <c r="B39" s="2783" t="s">
        <v>1910</v>
      </c>
      <c r="C39" s="2784"/>
      <c r="D39" s="2784"/>
      <c r="E39" s="2784"/>
      <c r="F39" s="2784"/>
      <c r="G39" s="2784"/>
      <c r="H39" s="2784"/>
      <c r="I39" s="2785"/>
      <c r="J39" s="2805"/>
      <c r="K39" s="2806"/>
      <c r="L39" s="2806"/>
      <c r="M39" s="2807"/>
      <c r="N39" s="2808"/>
      <c r="O39" s="2806"/>
      <c r="P39" s="2806"/>
      <c r="Q39" s="2809"/>
      <c r="R39" s="2791"/>
      <c r="S39" s="2791"/>
      <c r="T39" s="2791"/>
      <c r="U39" s="2791"/>
      <c r="V39" s="2791"/>
      <c r="W39" s="2791"/>
      <c r="X39" s="2791"/>
      <c r="Y39" s="2791"/>
      <c r="Z39" s="2791"/>
      <c r="AA39" s="2791"/>
      <c r="AB39" s="2791"/>
      <c r="AC39" s="2791"/>
      <c r="AD39" s="2791"/>
      <c r="AE39" s="2791"/>
      <c r="AF39" s="2791"/>
      <c r="AG39" s="2791"/>
      <c r="AH39" s="2791"/>
      <c r="AI39" s="2791"/>
      <c r="AJ39" s="2791"/>
      <c r="AK39" s="2791"/>
      <c r="AL39" s="2791"/>
      <c r="AM39" s="2791"/>
      <c r="AN39" s="2791"/>
      <c r="AO39" s="2802">
        <f t="shared" si="2"/>
        <v>0</v>
      </c>
      <c r="AP39" s="2802"/>
      <c r="AQ39" s="2802"/>
      <c r="AR39" s="2802"/>
      <c r="AS39" s="2802"/>
      <c r="AT39" s="2802"/>
      <c r="AU39" s="2803">
        <f t="shared" si="3"/>
        <v>0</v>
      </c>
      <c r="AV39" s="2803"/>
      <c r="AW39" s="2803"/>
      <c r="AX39" s="2803"/>
      <c r="AY39" s="2803"/>
      <c r="AZ39" s="2803"/>
      <c r="BA39" s="1144"/>
      <c r="BB39" s="1144"/>
      <c r="BC39" s="1144"/>
      <c r="BD39" s="1144"/>
      <c r="BE39" s="1150"/>
    </row>
    <row r="40" spans="1:58" ht="15.75" customHeight="1">
      <c r="A40" s="1144"/>
      <c r="B40" s="2783" t="s">
        <v>1910</v>
      </c>
      <c r="C40" s="2784"/>
      <c r="D40" s="2784"/>
      <c r="E40" s="2784"/>
      <c r="F40" s="2784"/>
      <c r="G40" s="2784"/>
      <c r="H40" s="2784"/>
      <c r="I40" s="2785"/>
      <c r="J40" s="2805"/>
      <c r="K40" s="2806"/>
      <c r="L40" s="2806"/>
      <c r="M40" s="2807"/>
      <c r="N40" s="2808"/>
      <c r="O40" s="2806"/>
      <c r="P40" s="2806"/>
      <c r="Q40" s="2809"/>
      <c r="R40" s="2791"/>
      <c r="S40" s="2791"/>
      <c r="T40" s="2791"/>
      <c r="U40" s="2791"/>
      <c r="V40" s="2791"/>
      <c r="W40" s="2791"/>
      <c r="X40" s="2791"/>
      <c r="Y40" s="2791"/>
      <c r="Z40" s="2791"/>
      <c r="AA40" s="2791"/>
      <c r="AB40" s="2791"/>
      <c r="AC40" s="2791"/>
      <c r="AD40" s="2791"/>
      <c r="AE40" s="2791"/>
      <c r="AF40" s="2791"/>
      <c r="AG40" s="2791"/>
      <c r="AH40" s="2791"/>
      <c r="AI40" s="2791"/>
      <c r="AJ40" s="2791"/>
      <c r="AK40" s="2791"/>
      <c r="AL40" s="2791"/>
      <c r="AM40" s="2791"/>
      <c r="AN40" s="2791"/>
      <c r="AO40" s="2802">
        <f t="shared" si="2"/>
        <v>0</v>
      </c>
      <c r="AP40" s="2802"/>
      <c r="AQ40" s="2802"/>
      <c r="AR40" s="2802"/>
      <c r="AS40" s="2802"/>
      <c r="AT40" s="2802"/>
      <c r="AU40" s="2803">
        <f t="shared" si="3"/>
        <v>0</v>
      </c>
      <c r="AV40" s="2803"/>
      <c r="AW40" s="2803"/>
      <c r="AX40" s="2803"/>
      <c r="AY40" s="2803"/>
      <c r="AZ40" s="2803"/>
      <c r="BA40" s="1144"/>
      <c r="BB40" s="1144"/>
      <c r="BC40" s="1144"/>
      <c r="BD40" s="1144"/>
      <c r="BE40" s="1150"/>
    </row>
    <row r="41" spans="1:58" ht="15.75" customHeight="1">
      <c r="A41" s="1144"/>
      <c r="B41" s="2810" t="s">
        <v>1911</v>
      </c>
      <c r="C41" s="2811"/>
      <c r="D41" s="2811"/>
      <c r="E41" s="2811"/>
      <c r="F41" s="2811"/>
      <c r="G41" s="2811"/>
      <c r="H41" s="2811"/>
      <c r="I41" s="2812"/>
      <c r="J41" s="2805"/>
      <c r="K41" s="2806"/>
      <c r="L41" s="2806"/>
      <c r="M41" s="2807"/>
      <c r="N41" s="2808"/>
      <c r="O41" s="2806"/>
      <c r="P41" s="2806"/>
      <c r="Q41" s="2809"/>
      <c r="R41" s="2791"/>
      <c r="S41" s="2791"/>
      <c r="T41" s="2791"/>
      <c r="U41" s="2791"/>
      <c r="V41" s="2791"/>
      <c r="W41" s="2791"/>
      <c r="X41" s="2791"/>
      <c r="Y41" s="2791"/>
      <c r="Z41" s="2791"/>
      <c r="AA41" s="2791"/>
      <c r="AB41" s="2791"/>
      <c r="AC41" s="2791"/>
      <c r="AD41" s="2791"/>
      <c r="AE41" s="2791"/>
      <c r="AF41" s="2791"/>
      <c r="AG41" s="2791"/>
      <c r="AH41" s="2791"/>
      <c r="AI41" s="2791"/>
      <c r="AJ41" s="2791"/>
      <c r="AK41" s="2791"/>
      <c r="AL41" s="2791"/>
      <c r="AM41" s="2791"/>
      <c r="AN41" s="2791"/>
      <c r="AO41" s="2802">
        <f t="shared" si="2"/>
        <v>0</v>
      </c>
      <c r="AP41" s="2802"/>
      <c r="AQ41" s="2802"/>
      <c r="AR41" s="2802"/>
      <c r="AS41" s="2802"/>
      <c r="AT41" s="2802"/>
      <c r="AU41" s="2803">
        <f t="shared" si="3"/>
        <v>0</v>
      </c>
      <c r="AV41" s="2803"/>
      <c r="AW41" s="2803"/>
      <c r="AX41" s="2803"/>
      <c r="AY41" s="2803"/>
      <c r="AZ41" s="2803"/>
      <c r="BA41" s="1144"/>
      <c r="BB41" s="1144"/>
      <c r="BC41" s="1144"/>
      <c r="BD41" s="1144"/>
      <c r="BE41" s="1150"/>
    </row>
    <row r="42" spans="1:58" ht="15.75" customHeight="1">
      <c r="A42" s="1144"/>
      <c r="B42" s="2810" t="s">
        <v>1911</v>
      </c>
      <c r="C42" s="2811"/>
      <c r="D42" s="2811"/>
      <c r="E42" s="2811"/>
      <c r="F42" s="2811"/>
      <c r="G42" s="2811"/>
      <c r="H42" s="2811"/>
      <c r="I42" s="2812"/>
      <c r="J42" s="2805"/>
      <c r="K42" s="2806"/>
      <c r="L42" s="2806"/>
      <c r="M42" s="2807"/>
      <c r="N42" s="2808"/>
      <c r="O42" s="2806"/>
      <c r="P42" s="2806"/>
      <c r="Q42" s="2809"/>
      <c r="R42" s="2791"/>
      <c r="S42" s="2791"/>
      <c r="T42" s="2791"/>
      <c r="U42" s="2791"/>
      <c r="V42" s="2791"/>
      <c r="W42" s="2791"/>
      <c r="X42" s="2791"/>
      <c r="Y42" s="2791"/>
      <c r="Z42" s="2791"/>
      <c r="AA42" s="2791"/>
      <c r="AB42" s="2791"/>
      <c r="AC42" s="2791"/>
      <c r="AD42" s="2791"/>
      <c r="AE42" s="2791"/>
      <c r="AF42" s="2791"/>
      <c r="AG42" s="2791"/>
      <c r="AH42" s="2791"/>
      <c r="AI42" s="2791"/>
      <c r="AJ42" s="2791"/>
      <c r="AK42" s="2791"/>
      <c r="AL42" s="2791"/>
      <c r="AM42" s="2791"/>
      <c r="AN42" s="2791"/>
      <c r="AO42" s="2802">
        <f t="shared" si="2"/>
        <v>0</v>
      </c>
      <c r="AP42" s="2802"/>
      <c r="AQ42" s="2802"/>
      <c r="AR42" s="2802"/>
      <c r="AS42" s="2802"/>
      <c r="AT42" s="2802"/>
      <c r="AU42" s="2803">
        <f t="shared" si="3"/>
        <v>0</v>
      </c>
      <c r="AV42" s="2803"/>
      <c r="AW42" s="2803"/>
      <c r="AX42" s="2803"/>
      <c r="AY42" s="2803"/>
      <c r="AZ42" s="2803"/>
      <c r="BA42" s="1144"/>
      <c r="BB42" s="1144"/>
      <c r="BC42" s="1144"/>
      <c r="BD42" s="1144"/>
      <c r="BE42" s="1150"/>
    </row>
    <row r="43" spans="1:58" ht="15.75" customHeight="1">
      <c r="A43" s="1144"/>
      <c r="B43" s="2813" t="s">
        <v>1912</v>
      </c>
      <c r="C43" s="2814"/>
      <c r="D43" s="2814"/>
      <c r="E43" s="2814"/>
      <c r="F43" s="2814"/>
      <c r="G43" s="2814"/>
      <c r="H43" s="2814"/>
      <c r="I43" s="2815"/>
      <c r="J43" s="2805"/>
      <c r="K43" s="2806"/>
      <c r="L43" s="2806"/>
      <c r="M43" s="2807"/>
      <c r="N43" s="2808"/>
      <c r="O43" s="2806"/>
      <c r="P43" s="2806"/>
      <c r="Q43" s="2809"/>
      <c r="R43" s="2791"/>
      <c r="S43" s="2791"/>
      <c r="T43" s="2791"/>
      <c r="U43" s="2791"/>
      <c r="V43" s="2791"/>
      <c r="W43" s="2791"/>
      <c r="X43" s="2791"/>
      <c r="Y43" s="2791"/>
      <c r="Z43" s="2791"/>
      <c r="AA43" s="2791"/>
      <c r="AB43" s="2791"/>
      <c r="AC43" s="2791"/>
      <c r="AD43" s="2791"/>
      <c r="AE43" s="2791"/>
      <c r="AF43" s="2791"/>
      <c r="AG43" s="2791"/>
      <c r="AH43" s="2791"/>
      <c r="AI43" s="2791"/>
      <c r="AJ43" s="2791"/>
      <c r="AK43" s="2791"/>
      <c r="AL43" s="2791"/>
      <c r="AM43" s="2791"/>
      <c r="AN43" s="2791"/>
      <c r="AO43" s="2802">
        <f t="shared" si="2"/>
        <v>0</v>
      </c>
      <c r="AP43" s="2802"/>
      <c r="AQ43" s="2802"/>
      <c r="AR43" s="2802"/>
      <c r="AS43" s="2802"/>
      <c r="AT43" s="2802"/>
      <c r="AU43" s="2803">
        <f t="shared" si="3"/>
        <v>0</v>
      </c>
      <c r="AV43" s="2803"/>
      <c r="AW43" s="2803"/>
      <c r="AX43" s="2803"/>
      <c r="AY43" s="2803"/>
      <c r="AZ43" s="2803"/>
      <c r="BA43" s="1144"/>
      <c r="BB43" s="1144"/>
      <c r="BC43" s="1144"/>
      <c r="BD43" s="1144"/>
      <c r="BE43" s="1150"/>
    </row>
    <row r="44" spans="1:58" ht="15.75" customHeight="1">
      <c r="A44" s="1144"/>
      <c r="B44" s="2813" t="s">
        <v>1913</v>
      </c>
      <c r="C44" s="2814"/>
      <c r="D44" s="2814"/>
      <c r="E44" s="2814"/>
      <c r="F44" s="2814"/>
      <c r="G44" s="2814"/>
      <c r="H44" s="2814"/>
      <c r="I44" s="2815"/>
      <c r="J44" s="2805"/>
      <c r="K44" s="2806"/>
      <c r="L44" s="2806"/>
      <c r="M44" s="2807"/>
      <c r="N44" s="2808"/>
      <c r="O44" s="2806"/>
      <c r="P44" s="2806"/>
      <c r="Q44" s="2809"/>
      <c r="R44" s="2791"/>
      <c r="S44" s="2791"/>
      <c r="T44" s="2791"/>
      <c r="U44" s="2791"/>
      <c r="V44" s="2791"/>
      <c r="W44" s="2791"/>
      <c r="X44" s="2791"/>
      <c r="Y44" s="2791"/>
      <c r="Z44" s="2791"/>
      <c r="AA44" s="2791"/>
      <c r="AB44" s="2791"/>
      <c r="AC44" s="2791"/>
      <c r="AD44" s="2791"/>
      <c r="AE44" s="2791"/>
      <c r="AF44" s="2791"/>
      <c r="AG44" s="2791"/>
      <c r="AH44" s="2791"/>
      <c r="AI44" s="2791"/>
      <c r="AJ44" s="2791"/>
      <c r="AK44" s="2791"/>
      <c r="AL44" s="2791"/>
      <c r="AM44" s="2791"/>
      <c r="AN44" s="2791"/>
      <c r="AO44" s="2802">
        <f t="shared" si="2"/>
        <v>0</v>
      </c>
      <c r="AP44" s="2802"/>
      <c r="AQ44" s="2802"/>
      <c r="AR44" s="2802"/>
      <c r="AS44" s="2802"/>
      <c r="AT44" s="2802"/>
      <c r="AU44" s="2803">
        <f t="shared" si="3"/>
        <v>0</v>
      </c>
      <c r="AV44" s="2803"/>
      <c r="AW44" s="2803"/>
      <c r="AX44" s="2803"/>
      <c r="AY44" s="2803"/>
      <c r="AZ44" s="2803"/>
      <c r="BA44" s="1144"/>
      <c r="BB44" s="1144"/>
      <c r="BC44" s="1144"/>
      <c r="BD44" s="1144"/>
      <c r="BE44" s="1150"/>
    </row>
    <row r="45" spans="1:58" ht="15.75" customHeight="1">
      <c r="A45" s="1144"/>
      <c r="B45" s="2816" t="s">
        <v>1914</v>
      </c>
      <c r="C45" s="2817"/>
      <c r="D45" s="2817"/>
      <c r="E45" s="2817"/>
      <c r="F45" s="2817"/>
      <c r="G45" s="2817"/>
      <c r="H45" s="2817"/>
      <c r="I45" s="2818"/>
      <c r="J45" s="2805"/>
      <c r="K45" s="2806"/>
      <c r="L45" s="2806"/>
      <c r="M45" s="2807"/>
      <c r="N45" s="2808"/>
      <c r="O45" s="2806"/>
      <c r="P45" s="2806"/>
      <c r="Q45" s="2809"/>
      <c r="R45" s="2791"/>
      <c r="S45" s="2791"/>
      <c r="T45" s="2791"/>
      <c r="U45" s="2791"/>
      <c r="V45" s="2791"/>
      <c r="W45" s="2791"/>
      <c r="X45" s="2791"/>
      <c r="Y45" s="2791"/>
      <c r="Z45" s="2791"/>
      <c r="AA45" s="2791"/>
      <c r="AB45" s="2791"/>
      <c r="AC45" s="2791"/>
      <c r="AD45" s="2791"/>
      <c r="AE45" s="2791"/>
      <c r="AF45" s="2791"/>
      <c r="AG45" s="2791"/>
      <c r="AH45" s="2791"/>
      <c r="AI45" s="2791"/>
      <c r="AJ45" s="2791"/>
      <c r="AK45" s="2791"/>
      <c r="AL45" s="2791"/>
      <c r="AM45" s="2791"/>
      <c r="AN45" s="2791"/>
      <c r="AO45" s="2802">
        <f t="shared" si="2"/>
        <v>0</v>
      </c>
      <c r="AP45" s="2802"/>
      <c r="AQ45" s="2802"/>
      <c r="AR45" s="2802"/>
      <c r="AS45" s="2802"/>
      <c r="AT45" s="2802"/>
      <c r="AU45" s="2803">
        <f t="shared" si="3"/>
        <v>0</v>
      </c>
      <c r="AV45" s="2803"/>
      <c r="AW45" s="2803"/>
      <c r="AX45" s="2803"/>
      <c r="AY45" s="2803"/>
      <c r="AZ45" s="2803"/>
      <c r="BA45" s="1144"/>
      <c r="BB45" s="1144"/>
      <c r="BC45" s="1144"/>
      <c r="BD45" s="1144"/>
      <c r="BE45" s="1150"/>
    </row>
    <row r="46" spans="1:58" ht="15.75" customHeight="1">
      <c r="A46" s="1144"/>
      <c r="B46" s="2816" t="s">
        <v>1915</v>
      </c>
      <c r="C46" s="2817"/>
      <c r="D46" s="2817"/>
      <c r="E46" s="2817"/>
      <c r="F46" s="2817"/>
      <c r="G46" s="2817"/>
      <c r="H46" s="2817"/>
      <c r="I46" s="2818"/>
      <c r="J46" s="2805"/>
      <c r="K46" s="2806"/>
      <c r="L46" s="2806"/>
      <c r="M46" s="2807"/>
      <c r="N46" s="2789">
        <v>99</v>
      </c>
      <c r="O46" s="2787"/>
      <c r="P46" s="2787"/>
      <c r="Q46" s="2790"/>
      <c r="R46" s="2791"/>
      <c r="S46" s="2791"/>
      <c r="T46" s="2791"/>
      <c r="U46" s="2791"/>
      <c r="V46" s="2791"/>
      <c r="W46" s="2791"/>
      <c r="X46" s="2791"/>
      <c r="Y46" s="2791"/>
      <c r="Z46" s="2791"/>
      <c r="AA46" s="2791"/>
      <c r="AB46" s="2791"/>
      <c r="AC46" s="2791"/>
      <c r="AD46" s="2791"/>
      <c r="AE46" s="2791"/>
      <c r="AF46" s="2791"/>
      <c r="AG46" s="2791"/>
      <c r="AH46" s="2791"/>
      <c r="AI46" s="2791"/>
      <c r="AJ46" s="2791"/>
      <c r="AK46" s="2791"/>
      <c r="AL46" s="2791"/>
      <c r="AM46" s="2791"/>
      <c r="AN46" s="2791"/>
      <c r="AO46" s="2802">
        <f t="shared" si="2"/>
        <v>0</v>
      </c>
      <c r="AP46" s="2802"/>
      <c r="AQ46" s="2802"/>
      <c r="AR46" s="2802"/>
      <c r="AS46" s="2802"/>
      <c r="AT46" s="2802"/>
      <c r="AU46" s="2803">
        <f t="shared" si="3"/>
        <v>0</v>
      </c>
      <c r="AV46" s="2803"/>
      <c r="AW46" s="2803"/>
      <c r="AX46" s="2803"/>
      <c r="AY46" s="2803"/>
      <c r="AZ46" s="2803"/>
      <c r="BA46" s="1144"/>
      <c r="BB46" s="1144"/>
      <c r="BC46" s="1144"/>
      <c r="BD46" s="1144"/>
      <c r="BE46" s="1150"/>
    </row>
    <row r="47" spans="1:58" ht="15.75" customHeight="1" thickBot="1">
      <c r="A47" s="1144"/>
      <c r="B47" s="2819" t="s">
        <v>305</v>
      </c>
      <c r="C47" s="2820"/>
      <c r="D47" s="2820"/>
      <c r="E47" s="2820"/>
      <c r="F47" s="2820"/>
      <c r="G47" s="2820"/>
      <c r="H47" s="2820"/>
      <c r="I47" s="2821"/>
      <c r="J47" s="2822"/>
      <c r="K47" s="2823"/>
      <c r="L47" s="2823"/>
      <c r="M47" s="2824"/>
      <c r="N47" s="2825"/>
      <c r="O47" s="2823"/>
      <c r="P47" s="2823"/>
      <c r="Q47" s="2826"/>
      <c r="R47" s="2791"/>
      <c r="S47" s="2791"/>
      <c r="T47" s="2791"/>
      <c r="U47" s="2791"/>
      <c r="V47" s="2791"/>
      <c r="W47" s="2791"/>
      <c r="X47" s="2791"/>
      <c r="Y47" s="2791"/>
      <c r="Z47" s="2791"/>
      <c r="AA47" s="2791"/>
      <c r="AB47" s="2791"/>
      <c r="AC47" s="2791"/>
      <c r="AD47" s="2791"/>
      <c r="AE47" s="2791"/>
      <c r="AF47" s="2791"/>
      <c r="AG47" s="2791"/>
      <c r="AH47" s="2791"/>
      <c r="AI47" s="2791"/>
      <c r="AJ47" s="2791"/>
      <c r="AK47" s="2791"/>
      <c r="AL47" s="2791"/>
      <c r="AM47" s="2791"/>
      <c r="AN47" s="2791"/>
      <c r="AO47" s="2802">
        <f t="shared" si="2"/>
        <v>0</v>
      </c>
      <c r="AP47" s="2802"/>
      <c r="AQ47" s="2802"/>
      <c r="AR47" s="2802"/>
      <c r="AS47" s="2802"/>
      <c r="AT47" s="2802"/>
      <c r="AU47" s="2803">
        <f t="shared" si="3"/>
        <v>0</v>
      </c>
      <c r="AV47" s="2803"/>
      <c r="AW47" s="2803"/>
      <c r="AX47" s="2803"/>
      <c r="AY47" s="2803"/>
      <c r="AZ47" s="2803"/>
      <c r="BA47" s="1144"/>
      <c r="BB47" s="1144"/>
      <c r="BC47" s="1144"/>
      <c r="BD47" s="1144"/>
      <c r="BE47" s="1150"/>
    </row>
    <row r="48" spans="1:58" ht="15.75" customHeight="1">
      <c r="A48" s="1144"/>
      <c r="B48" s="1152" t="s">
        <v>1916</v>
      </c>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50"/>
      <c r="BF48" s="1142"/>
    </row>
    <row r="49" spans="1:58" ht="15.75" customHeight="1" thickBot="1">
      <c r="A49" s="1144"/>
      <c r="B49" s="1152" t="s">
        <v>2313</v>
      </c>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6"/>
      <c r="AQ49" s="1146"/>
      <c r="AR49" s="1146"/>
      <c r="AS49" s="1146"/>
      <c r="AT49" s="1146"/>
      <c r="AU49" s="1146"/>
      <c r="AV49" s="1146"/>
      <c r="AW49" s="1146"/>
      <c r="AX49" s="1144"/>
      <c r="AY49" s="1144"/>
      <c r="AZ49" s="1144"/>
      <c r="BA49" s="1144"/>
      <c r="BB49" s="1144"/>
      <c r="BC49" s="1144"/>
      <c r="BD49" s="1144"/>
      <c r="BE49" s="1150"/>
      <c r="BF49" s="1142"/>
    </row>
    <row r="50" spans="1:58" ht="15.75" customHeight="1" thickBot="1">
      <c r="A50" s="1144"/>
      <c r="B50" s="2827" t="s">
        <v>1917</v>
      </c>
      <c r="C50" s="2828"/>
      <c r="D50" s="2828"/>
      <c r="E50" s="2828"/>
      <c r="F50" s="2828"/>
      <c r="G50" s="2828"/>
      <c r="H50" s="2828"/>
      <c r="I50" s="2828"/>
      <c r="J50" s="2828"/>
      <c r="K50" s="2828"/>
      <c r="L50" s="2828"/>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9"/>
      <c r="AP50" s="1146"/>
      <c r="AQ50" s="1146"/>
      <c r="AR50" s="1146"/>
      <c r="AS50" s="1146"/>
      <c r="AT50" s="1146"/>
      <c r="AU50" s="1146"/>
      <c r="AV50" s="1146"/>
      <c r="AW50" s="1146"/>
      <c r="AX50" s="1144"/>
      <c r="AY50" s="1144"/>
      <c r="AZ50" s="1144"/>
      <c r="BA50" s="1144"/>
      <c r="BB50" s="1144"/>
      <c r="BC50" s="1144"/>
      <c r="BD50" s="1144"/>
      <c r="BE50" s="1150"/>
    </row>
    <row r="51" spans="1:58" ht="33.75" customHeight="1">
      <c r="A51" s="1144"/>
      <c r="B51" s="2830" t="s">
        <v>1918</v>
      </c>
      <c r="C51" s="2831"/>
      <c r="D51" s="2831"/>
      <c r="E51" s="2831"/>
      <c r="F51" s="2831"/>
      <c r="G51" s="2831"/>
      <c r="H51" s="2831"/>
      <c r="I51" s="2832"/>
      <c r="J51" s="2830" t="s">
        <v>1919</v>
      </c>
      <c r="K51" s="2831"/>
      <c r="L51" s="2831"/>
      <c r="M51" s="2831"/>
      <c r="N51" s="2831"/>
      <c r="O51" s="2831"/>
      <c r="P51" s="2831"/>
      <c r="Q51" s="2832"/>
      <c r="R51" s="2776" t="s">
        <v>1920</v>
      </c>
      <c r="S51" s="2833"/>
      <c r="T51" s="2833"/>
      <c r="U51" s="2833"/>
      <c r="V51" s="2833"/>
      <c r="W51" s="2833"/>
      <c r="X51" s="2833"/>
      <c r="Y51" s="2834"/>
      <c r="Z51" s="2835" t="s">
        <v>1921</v>
      </c>
      <c r="AA51" s="2836"/>
      <c r="AB51" s="2836"/>
      <c r="AC51" s="2836"/>
      <c r="AD51" s="2836"/>
      <c r="AE51" s="2836"/>
      <c r="AF51" s="2836"/>
      <c r="AG51" s="2837"/>
      <c r="AH51" s="2835" t="s">
        <v>1922</v>
      </c>
      <c r="AI51" s="2836"/>
      <c r="AJ51" s="2836"/>
      <c r="AK51" s="2836"/>
      <c r="AL51" s="2836"/>
      <c r="AM51" s="2836"/>
      <c r="AN51" s="2836"/>
      <c r="AO51" s="2837"/>
      <c r="AP51" s="1146"/>
      <c r="AQ51" s="1146"/>
      <c r="AR51" s="1146"/>
      <c r="AS51" s="1146"/>
      <c r="AT51" s="1146"/>
      <c r="AU51" s="1146"/>
      <c r="AV51" s="1146"/>
      <c r="AW51" s="1146"/>
      <c r="AX51" s="1151"/>
      <c r="AY51" s="1144"/>
      <c r="AZ51" s="1144"/>
      <c r="BA51" s="1144"/>
      <c r="BB51" s="1144"/>
      <c r="BC51" s="1144"/>
      <c r="BD51" s="1144"/>
      <c r="BE51" s="1150"/>
    </row>
    <row r="52" spans="1:58" ht="15.75" customHeight="1">
      <c r="A52" s="1144"/>
      <c r="B52" s="2838" t="s">
        <v>2314</v>
      </c>
      <c r="C52" s="2839"/>
      <c r="D52" s="2839"/>
      <c r="E52" s="2839"/>
      <c r="F52" s="2839"/>
      <c r="G52" s="2839"/>
      <c r="H52" s="2839"/>
      <c r="I52" s="2839"/>
      <c r="J52" s="2839">
        <v>0</v>
      </c>
      <c r="K52" s="2839"/>
      <c r="L52" s="2839"/>
      <c r="M52" s="2839"/>
      <c r="N52" s="2839"/>
      <c r="O52" s="2839"/>
      <c r="P52" s="2839"/>
      <c r="Q52" s="2839"/>
      <c r="R52" s="2840">
        <v>0</v>
      </c>
      <c r="S52" s="2840"/>
      <c r="T52" s="2840"/>
      <c r="U52" s="2840"/>
      <c r="V52" s="2840"/>
      <c r="W52" s="2840"/>
      <c r="X52" s="2840"/>
      <c r="Y52" s="2840"/>
      <c r="Z52" s="2841"/>
      <c r="AA52" s="2841"/>
      <c r="AB52" s="2841"/>
      <c r="AC52" s="2841"/>
      <c r="AD52" s="2841"/>
      <c r="AE52" s="2841"/>
      <c r="AF52" s="2841"/>
      <c r="AG52" s="2841"/>
      <c r="AH52" s="2842">
        <v>0</v>
      </c>
      <c r="AI52" s="2842"/>
      <c r="AJ52" s="2842"/>
      <c r="AK52" s="2842"/>
      <c r="AL52" s="2842"/>
      <c r="AM52" s="2842"/>
      <c r="AN52" s="2842"/>
      <c r="AO52" s="2843"/>
      <c r="AP52" s="1146"/>
      <c r="AQ52" s="1146"/>
      <c r="AR52" s="1146"/>
      <c r="AS52" s="1146"/>
      <c r="AT52" s="1146"/>
      <c r="AU52" s="1146"/>
      <c r="AV52" s="1146"/>
      <c r="AW52" s="1146"/>
      <c r="AX52" s="1151"/>
      <c r="AY52" s="1144"/>
      <c r="AZ52" s="1144"/>
      <c r="BA52" s="1144"/>
      <c r="BB52" s="1144"/>
      <c r="BC52" s="1144"/>
      <c r="BD52" s="1144"/>
      <c r="BE52" s="1150"/>
    </row>
    <row r="53" spans="1:58" ht="15.75" customHeight="1">
      <c r="A53" s="1144"/>
      <c r="B53" s="2838" t="s">
        <v>2315</v>
      </c>
      <c r="C53" s="2839"/>
      <c r="D53" s="2839"/>
      <c r="E53" s="2839"/>
      <c r="F53" s="2839"/>
      <c r="G53" s="2839"/>
      <c r="H53" s="2839"/>
      <c r="I53" s="2839"/>
      <c r="J53" s="2839"/>
      <c r="K53" s="2839"/>
      <c r="L53" s="2839"/>
      <c r="M53" s="2839"/>
      <c r="N53" s="2839"/>
      <c r="O53" s="2839"/>
      <c r="P53" s="2839"/>
      <c r="Q53" s="2839"/>
      <c r="R53" s="2840">
        <v>0</v>
      </c>
      <c r="S53" s="2840"/>
      <c r="T53" s="2840"/>
      <c r="U53" s="2840"/>
      <c r="V53" s="2840"/>
      <c r="W53" s="2840"/>
      <c r="X53" s="2840"/>
      <c r="Y53" s="2840"/>
      <c r="Z53" s="2841"/>
      <c r="AA53" s="2841"/>
      <c r="AB53" s="2841"/>
      <c r="AC53" s="2841"/>
      <c r="AD53" s="2841"/>
      <c r="AE53" s="2841"/>
      <c r="AF53" s="2841"/>
      <c r="AG53" s="2841"/>
      <c r="AH53" s="2842">
        <v>0</v>
      </c>
      <c r="AI53" s="2842"/>
      <c r="AJ53" s="2842"/>
      <c r="AK53" s="2842"/>
      <c r="AL53" s="2842"/>
      <c r="AM53" s="2842"/>
      <c r="AN53" s="2842"/>
      <c r="AO53" s="2843"/>
      <c r="AP53" s="1146"/>
      <c r="AQ53" s="1146"/>
      <c r="AR53" s="1146"/>
      <c r="AS53" s="1146"/>
      <c r="AT53" s="1146"/>
      <c r="AU53" s="1146"/>
      <c r="AV53" s="1146"/>
      <c r="AW53" s="1146"/>
      <c r="AX53" s="1144"/>
      <c r="AY53" s="1144"/>
      <c r="AZ53" s="1144"/>
      <c r="BA53" s="1144"/>
      <c r="BB53" s="1144"/>
      <c r="BC53" s="1144"/>
      <c r="BD53" s="1144"/>
      <c r="BE53" s="1150"/>
    </row>
    <row r="54" spans="1:58" ht="15.75" customHeight="1">
      <c r="A54" s="1144"/>
      <c r="B54" s="2838"/>
      <c r="C54" s="2839"/>
      <c r="D54" s="2839"/>
      <c r="E54" s="2839"/>
      <c r="F54" s="2839"/>
      <c r="G54" s="2839"/>
      <c r="H54" s="2839"/>
      <c r="I54" s="2839"/>
      <c r="J54" s="2839"/>
      <c r="K54" s="2839"/>
      <c r="L54" s="2839"/>
      <c r="M54" s="2839"/>
      <c r="N54" s="2839"/>
      <c r="O54" s="2839"/>
      <c r="P54" s="2839"/>
      <c r="Q54" s="2839"/>
      <c r="R54" s="2840">
        <v>0</v>
      </c>
      <c r="S54" s="2840"/>
      <c r="T54" s="2840"/>
      <c r="U54" s="2840"/>
      <c r="V54" s="2840"/>
      <c r="W54" s="2840"/>
      <c r="X54" s="2840"/>
      <c r="Y54" s="2840"/>
      <c r="Z54" s="2841"/>
      <c r="AA54" s="2841"/>
      <c r="AB54" s="2841"/>
      <c r="AC54" s="2841"/>
      <c r="AD54" s="2841"/>
      <c r="AE54" s="2841"/>
      <c r="AF54" s="2841"/>
      <c r="AG54" s="2841"/>
      <c r="AH54" s="2842">
        <v>0</v>
      </c>
      <c r="AI54" s="2842"/>
      <c r="AJ54" s="2842"/>
      <c r="AK54" s="2842"/>
      <c r="AL54" s="2842"/>
      <c r="AM54" s="2842"/>
      <c r="AN54" s="2842"/>
      <c r="AO54" s="2843"/>
      <c r="AP54" s="1146"/>
      <c r="AQ54" s="1146"/>
      <c r="AR54" s="1146"/>
      <c r="AS54" s="1146"/>
      <c r="AT54" s="1146"/>
      <c r="AU54" s="1146"/>
      <c r="AV54" s="1146"/>
      <c r="AW54" s="1146"/>
      <c r="AX54" s="1144"/>
      <c r="AY54" s="1144"/>
      <c r="AZ54" s="1144"/>
      <c r="BA54" s="1144"/>
      <c r="BB54" s="1144"/>
      <c r="BC54" s="1144"/>
      <c r="BD54" s="1144"/>
      <c r="BE54" s="1150"/>
    </row>
    <row r="55" spans="1:58" ht="15.75" customHeight="1">
      <c r="A55" s="1144"/>
      <c r="B55" s="2838"/>
      <c r="C55" s="2839"/>
      <c r="D55" s="2839"/>
      <c r="E55" s="2839"/>
      <c r="F55" s="2839"/>
      <c r="G55" s="2839"/>
      <c r="H55" s="2839"/>
      <c r="I55" s="2839"/>
      <c r="J55" s="2839"/>
      <c r="K55" s="2839"/>
      <c r="L55" s="2839"/>
      <c r="M55" s="2839"/>
      <c r="N55" s="2839"/>
      <c r="O55" s="2839"/>
      <c r="P55" s="2839"/>
      <c r="Q55" s="2839"/>
      <c r="R55" s="2840">
        <v>0</v>
      </c>
      <c r="S55" s="2840"/>
      <c r="T55" s="2840"/>
      <c r="U55" s="2840"/>
      <c r="V55" s="2840"/>
      <c r="W55" s="2840"/>
      <c r="X55" s="2840"/>
      <c r="Y55" s="2840"/>
      <c r="Z55" s="2841"/>
      <c r="AA55" s="2841"/>
      <c r="AB55" s="2841"/>
      <c r="AC55" s="2841"/>
      <c r="AD55" s="2841"/>
      <c r="AE55" s="2841"/>
      <c r="AF55" s="2841"/>
      <c r="AG55" s="2841"/>
      <c r="AH55" s="2842">
        <v>0</v>
      </c>
      <c r="AI55" s="2842"/>
      <c r="AJ55" s="2842"/>
      <c r="AK55" s="2842"/>
      <c r="AL55" s="2842"/>
      <c r="AM55" s="2842"/>
      <c r="AN55" s="2842"/>
      <c r="AO55" s="2843"/>
      <c r="AP55" s="1146"/>
      <c r="AQ55" s="1146"/>
      <c r="AR55" s="1146"/>
      <c r="AS55" s="1146"/>
      <c r="AT55" s="1146" t="s">
        <v>255</v>
      </c>
      <c r="AU55" s="1146"/>
      <c r="AV55" s="1146"/>
      <c r="AW55" s="1146"/>
      <c r="AX55" s="1144"/>
      <c r="AY55" s="1144"/>
      <c r="AZ55" s="1144"/>
      <c r="BA55" s="1144"/>
      <c r="BB55" s="1144"/>
      <c r="BC55" s="1144"/>
      <c r="BD55" s="1144"/>
      <c r="BE55" s="1150"/>
    </row>
    <row r="56" spans="1:58" ht="15.75" customHeight="1" thickBot="1">
      <c r="A56" s="1144"/>
      <c r="B56" s="2851"/>
      <c r="C56" s="2852"/>
      <c r="D56" s="2852"/>
      <c r="E56" s="2852"/>
      <c r="F56" s="2852"/>
      <c r="G56" s="2852"/>
      <c r="H56" s="2852"/>
      <c r="I56" s="2852"/>
      <c r="J56" s="2852"/>
      <c r="K56" s="2852"/>
      <c r="L56" s="2852"/>
      <c r="M56" s="2852"/>
      <c r="N56" s="2852"/>
      <c r="O56" s="2852"/>
      <c r="P56" s="2852"/>
      <c r="Q56" s="2852"/>
      <c r="R56" s="2853">
        <v>0</v>
      </c>
      <c r="S56" s="2853"/>
      <c r="T56" s="2853"/>
      <c r="U56" s="2853"/>
      <c r="V56" s="2853"/>
      <c r="W56" s="2853"/>
      <c r="X56" s="2853"/>
      <c r="Y56" s="2853"/>
      <c r="Z56" s="2854"/>
      <c r="AA56" s="2854"/>
      <c r="AB56" s="2854"/>
      <c r="AC56" s="2854"/>
      <c r="AD56" s="2854"/>
      <c r="AE56" s="2854"/>
      <c r="AF56" s="2854"/>
      <c r="AG56" s="2854"/>
      <c r="AH56" s="2855"/>
      <c r="AI56" s="2855"/>
      <c r="AJ56" s="2855"/>
      <c r="AK56" s="2855"/>
      <c r="AL56" s="2855"/>
      <c r="AM56" s="2855"/>
      <c r="AN56" s="2855"/>
      <c r="AO56" s="2856"/>
      <c r="AP56" s="1146"/>
      <c r="AQ56" s="1146"/>
      <c r="AR56" s="1146"/>
      <c r="AS56" s="1146"/>
      <c r="AT56" s="1146"/>
      <c r="AU56" s="1146"/>
      <c r="AV56" s="1146"/>
      <c r="AW56" s="1146"/>
      <c r="AX56" s="1144"/>
      <c r="AY56" s="1144"/>
      <c r="AZ56" s="1144"/>
      <c r="BA56" s="1144"/>
      <c r="BB56" s="1144"/>
      <c r="BC56" s="1144"/>
      <c r="BD56" s="1144"/>
      <c r="BE56" s="1150"/>
    </row>
    <row r="57" spans="1:58" s="1154" customFormat="1" ht="15.75" customHeight="1" thickBot="1">
      <c r="A57" s="1146"/>
      <c r="B57" s="2857" t="s">
        <v>1786</v>
      </c>
      <c r="C57" s="2858"/>
      <c r="D57" s="2858"/>
      <c r="E57" s="2858"/>
      <c r="F57" s="2858"/>
      <c r="G57" s="2858"/>
      <c r="H57" s="2858"/>
      <c r="I57" s="2858"/>
      <c r="J57" s="2858"/>
      <c r="K57" s="2858"/>
      <c r="L57" s="2858"/>
      <c r="M57" s="2858"/>
      <c r="N57" s="2858"/>
      <c r="O57" s="2858"/>
      <c r="P57" s="2858"/>
      <c r="Q57" s="2858"/>
      <c r="R57" s="2859">
        <f>SUM(R52:Y56)</f>
        <v>0</v>
      </c>
      <c r="S57" s="2859"/>
      <c r="T57" s="2859"/>
      <c r="U57" s="2859"/>
      <c r="V57" s="2859"/>
      <c r="W57" s="2859"/>
      <c r="X57" s="2859"/>
      <c r="Y57" s="2859"/>
      <c r="Z57" s="2860">
        <f t="shared" ref="Z57" si="4">SUM(Z52:AG56)</f>
        <v>0</v>
      </c>
      <c r="AA57" s="2860"/>
      <c r="AB57" s="2860"/>
      <c r="AC57" s="2860"/>
      <c r="AD57" s="2860"/>
      <c r="AE57" s="2860"/>
      <c r="AF57" s="2860"/>
      <c r="AG57" s="2860"/>
      <c r="AH57" s="2861">
        <f>SUM(AH52:AO56)</f>
        <v>0</v>
      </c>
      <c r="AI57" s="2861"/>
      <c r="AJ57" s="2861"/>
      <c r="AK57" s="2861"/>
      <c r="AL57" s="2861"/>
      <c r="AM57" s="2861"/>
      <c r="AN57" s="2861"/>
      <c r="AO57" s="2861"/>
      <c r="AP57" s="1146"/>
      <c r="AQ57" s="1146"/>
      <c r="AR57" s="1146"/>
      <c r="AS57" s="1146"/>
      <c r="AT57" s="1146"/>
      <c r="AU57" s="1146"/>
      <c r="AV57" s="1146"/>
      <c r="AW57" s="1146"/>
      <c r="AX57" s="1146"/>
      <c r="AY57" s="1146"/>
      <c r="AZ57" s="1146"/>
      <c r="BA57" s="1146"/>
      <c r="BB57" s="1146"/>
      <c r="BC57" s="1146"/>
      <c r="BD57" s="1146"/>
      <c r="BE57" s="1153"/>
    </row>
    <row r="58" spans="1:58" ht="15.75" customHeight="1" thickBot="1">
      <c r="A58" s="1144"/>
      <c r="B58" s="1144"/>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c r="AL58" s="1144"/>
      <c r="AM58" s="1144"/>
      <c r="AN58" s="1144"/>
      <c r="AO58" s="1144"/>
      <c r="AP58" s="1144"/>
      <c r="AQ58" s="1144"/>
      <c r="AR58" s="1144"/>
      <c r="AS58" s="1144"/>
      <c r="AT58" s="1144"/>
      <c r="AU58" s="1144"/>
      <c r="AV58" s="1144"/>
      <c r="AW58" s="1144"/>
      <c r="AX58" s="1144"/>
      <c r="AY58" s="1144"/>
      <c r="AZ58" s="1144"/>
      <c r="BA58" s="1144"/>
      <c r="BB58" s="1144"/>
      <c r="BC58" s="1144"/>
      <c r="BD58" s="1144"/>
      <c r="BE58" s="1150"/>
    </row>
    <row r="59" spans="1:58" ht="15.75" customHeight="1">
      <c r="A59" s="1144"/>
      <c r="B59" s="2844" t="s">
        <v>1918</v>
      </c>
      <c r="C59" s="2845"/>
      <c r="D59" s="2845"/>
      <c r="E59" s="2845"/>
      <c r="F59" s="2845"/>
      <c r="G59" s="2845"/>
      <c r="H59" s="2845"/>
      <c r="I59" s="2846"/>
      <c r="J59" s="2847" t="s">
        <v>1923</v>
      </c>
      <c r="K59" s="2847"/>
      <c r="L59" s="2847"/>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c r="AS59" s="2847"/>
      <c r="AT59" s="2847"/>
      <c r="AU59" s="2847"/>
      <c r="AV59" s="2847"/>
      <c r="AW59" s="2848"/>
      <c r="AX59" s="1144"/>
      <c r="AY59" s="1144"/>
      <c r="AZ59" s="1144"/>
      <c r="BA59" s="1144"/>
      <c r="BB59" s="1144"/>
      <c r="BC59" s="1144"/>
      <c r="BD59" s="1144"/>
      <c r="BE59" s="1150"/>
    </row>
    <row r="60" spans="1:58" ht="15.75" customHeight="1">
      <c r="A60" s="1144"/>
      <c r="B60" s="2838" t="str">
        <f>IF(B52="", "", B52)</f>
        <v>Services Company 1</v>
      </c>
      <c r="C60" s="2839"/>
      <c r="D60" s="2839"/>
      <c r="E60" s="2839"/>
      <c r="F60" s="2839"/>
      <c r="G60" s="2839"/>
      <c r="H60" s="2839"/>
      <c r="I60" s="2849"/>
      <c r="J60" s="2850"/>
      <c r="K60" s="2839"/>
      <c r="L60" s="2839"/>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c r="AS60" s="2839"/>
      <c r="AT60" s="2839"/>
      <c r="AU60" s="2839"/>
      <c r="AV60" s="2839"/>
      <c r="AW60" s="2849"/>
      <c r="AX60" s="1144"/>
      <c r="AY60" s="1144"/>
      <c r="AZ60" s="1144"/>
      <c r="BA60" s="1144"/>
      <c r="BB60" s="1144"/>
      <c r="BC60" s="1144"/>
      <c r="BD60" s="1144"/>
      <c r="BE60" s="1150"/>
    </row>
    <row r="61" spans="1:58" ht="15.75" customHeight="1">
      <c r="A61" s="1144"/>
      <c r="B61" s="2838" t="str">
        <f t="shared" ref="B61:B64" si="5">IF(B53="", "", B53)</f>
        <v>Services Company 2</v>
      </c>
      <c r="C61" s="2839"/>
      <c r="D61" s="2839"/>
      <c r="E61" s="2839"/>
      <c r="F61" s="2839"/>
      <c r="G61" s="2839"/>
      <c r="H61" s="2839"/>
      <c r="I61" s="2849"/>
      <c r="J61" s="2850"/>
      <c r="K61" s="2839"/>
      <c r="L61" s="2839"/>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c r="AS61" s="2839"/>
      <c r="AT61" s="2839"/>
      <c r="AU61" s="2839"/>
      <c r="AV61" s="2839"/>
      <c r="AW61" s="2849"/>
      <c r="AX61" s="1144"/>
      <c r="AY61" s="1144"/>
      <c r="AZ61" s="1144"/>
      <c r="BA61" s="1144"/>
      <c r="BB61" s="1144"/>
      <c r="BC61" s="1144"/>
      <c r="BD61" s="1144"/>
      <c r="BE61" s="1150"/>
    </row>
    <row r="62" spans="1:58" ht="15.75" customHeight="1">
      <c r="A62" s="1144"/>
      <c r="B62" s="2838" t="str">
        <f t="shared" si="5"/>
        <v/>
      </c>
      <c r="C62" s="2839"/>
      <c r="D62" s="2839"/>
      <c r="E62" s="2839"/>
      <c r="F62" s="2839"/>
      <c r="G62" s="2839"/>
      <c r="H62" s="2839"/>
      <c r="I62" s="2849"/>
      <c r="J62" s="2850"/>
      <c r="K62" s="2839"/>
      <c r="L62" s="2839"/>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c r="AS62" s="2839"/>
      <c r="AT62" s="2839"/>
      <c r="AU62" s="2839"/>
      <c r="AV62" s="2839"/>
      <c r="AW62" s="2849"/>
      <c r="AX62" s="1144"/>
      <c r="AY62" s="1144"/>
      <c r="AZ62" s="1144"/>
      <c r="BA62" s="1144"/>
      <c r="BB62" s="1144"/>
      <c r="BC62" s="1144"/>
      <c r="BD62" s="1144"/>
      <c r="BE62" s="1150"/>
    </row>
    <row r="63" spans="1:58" ht="15.75" customHeight="1">
      <c r="A63" s="1144"/>
      <c r="B63" s="2838" t="str">
        <f t="shared" si="5"/>
        <v/>
      </c>
      <c r="C63" s="2839"/>
      <c r="D63" s="2839"/>
      <c r="E63" s="2839"/>
      <c r="F63" s="2839"/>
      <c r="G63" s="2839"/>
      <c r="H63" s="2839"/>
      <c r="I63" s="2849"/>
      <c r="J63" s="2850"/>
      <c r="K63" s="2839"/>
      <c r="L63" s="2839"/>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c r="AS63" s="2839"/>
      <c r="AT63" s="2839"/>
      <c r="AU63" s="2839"/>
      <c r="AV63" s="2839"/>
      <c r="AW63" s="2849"/>
      <c r="AX63" s="1144"/>
      <c r="AY63" s="1144"/>
      <c r="AZ63" s="1144"/>
      <c r="BA63" s="1144"/>
      <c r="BB63" s="1144"/>
      <c r="BC63" s="1144"/>
      <c r="BD63" s="1144"/>
      <c r="BE63" s="1150"/>
    </row>
    <row r="64" spans="1:58" ht="15.75" customHeight="1" thickBot="1">
      <c r="A64" s="1144"/>
      <c r="B64" s="2851" t="str">
        <f t="shared" si="5"/>
        <v/>
      </c>
      <c r="C64" s="2852"/>
      <c r="D64" s="2852"/>
      <c r="E64" s="2852"/>
      <c r="F64" s="2852"/>
      <c r="G64" s="2852"/>
      <c r="H64" s="2852"/>
      <c r="I64" s="2874"/>
      <c r="J64" s="2875"/>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c r="AI64" s="2852"/>
      <c r="AJ64" s="2852"/>
      <c r="AK64" s="2852"/>
      <c r="AL64" s="2852"/>
      <c r="AM64" s="2852"/>
      <c r="AN64" s="2852"/>
      <c r="AO64" s="2852"/>
      <c r="AP64" s="2852"/>
      <c r="AQ64" s="2852"/>
      <c r="AR64" s="2852"/>
      <c r="AS64" s="2852"/>
      <c r="AT64" s="2852"/>
      <c r="AU64" s="2852"/>
      <c r="AV64" s="2852"/>
      <c r="AW64" s="2874"/>
      <c r="AX64" s="1144"/>
      <c r="AY64" s="1144"/>
      <c r="AZ64" s="1144"/>
      <c r="BA64" s="1144"/>
      <c r="BB64" s="1144"/>
      <c r="BC64" s="1144"/>
      <c r="BD64" s="1144"/>
      <c r="BE64" s="1150"/>
    </row>
    <row r="65" spans="1:57" ht="15.75" customHeight="1">
      <c r="A65" s="1144"/>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c r="AL65" s="1144"/>
      <c r="AM65" s="1144"/>
      <c r="AN65" s="1144"/>
      <c r="AO65" s="1144"/>
      <c r="AP65" s="1144"/>
      <c r="AQ65" s="1144"/>
      <c r="AR65" s="1144"/>
      <c r="AS65" s="1144"/>
      <c r="AT65" s="1144"/>
      <c r="AU65" s="1144"/>
      <c r="AV65" s="1144"/>
      <c r="AW65" s="1144"/>
      <c r="AX65" s="1144"/>
      <c r="AY65" s="1144"/>
      <c r="AZ65" s="1144"/>
      <c r="BA65" s="1144"/>
      <c r="BB65" s="1144"/>
      <c r="BC65" s="1144"/>
      <c r="BD65" s="1144"/>
      <c r="BE65" s="1150"/>
    </row>
    <row r="66" spans="1:57" ht="15.75" customHeight="1">
      <c r="B66" s="1154" t="s">
        <v>1924</v>
      </c>
      <c r="C66" s="1154"/>
      <c r="D66" s="1154"/>
      <c r="E66" s="1154"/>
      <c r="F66" s="1154"/>
      <c r="G66" s="1154"/>
      <c r="H66" s="1154"/>
      <c r="I66" s="1154"/>
      <c r="J66" s="1154"/>
      <c r="K66" s="115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c r="AM66" s="1144"/>
      <c r="AN66" s="1144"/>
      <c r="AO66" s="1144"/>
      <c r="AP66" s="1144"/>
      <c r="AQ66" s="1144"/>
      <c r="AR66" s="1144"/>
      <c r="AS66" s="1144"/>
      <c r="AT66" s="1144"/>
      <c r="AU66" s="1144"/>
      <c r="AV66" s="1144"/>
      <c r="AW66" s="1144"/>
      <c r="AX66" s="1144"/>
      <c r="AY66" s="1144"/>
      <c r="AZ66" s="1144"/>
      <c r="BA66" s="1144"/>
      <c r="BB66" s="1144"/>
      <c r="BC66" s="1144"/>
      <c r="BD66" s="1144"/>
      <c r="BE66" s="1150"/>
    </row>
    <row r="67" spans="1:57" ht="15.75" customHeight="1" thickBot="1">
      <c r="A67" s="1144"/>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c r="AL67" s="1144"/>
      <c r="AM67" s="1144"/>
      <c r="AN67" s="1144"/>
      <c r="AO67" s="1144"/>
      <c r="AP67" s="1144"/>
      <c r="AQ67" s="1144"/>
      <c r="AR67" s="1144"/>
      <c r="AS67" s="1144"/>
      <c r="AT67" s="1144"/>
      <c r="AU67" s="1144"/>
      <c r="AV67" s="1144"/>
      <c r="AW67" s="1144"/>
      <c r="AX67" s="1144"/>
      <c r="AY67" s="1144"/>
      <c r="AZ67" s="1144"/>
      <c r="BA67" s="1144"/>
      <c r="BB67" s="1144"/>
      <c r="BC67" s="1144"/>
      <c r="BD67" s="1144"/>
      <c r="BE67" s="1150"/>
    </row>
    <row r="68" spans="1:57" ht="15.75" customHeight="1">
      <c r="A68" s="1144"/>
      <c r="B68" s="2732" t="s">
        <v>1925</v>
      </c>
      <c r="C68" s="2733"/>
      <c r="D68" s="2733"/>
      <c r="E68" s="2733"/>
      <c r="F68" s="2733"/>
      <c r="G68" s="2733"/>
      <c r="H68" s="2733"/>
      <c r="I68" s="2733"/>
      <c r="J68" s="2733"/>
      <c r="K68" s="2733"/>
      <c r="L68" s="2733"/>
      <c r="M68" s="2733"/>
      <c r="N68" s="2733"/>
      <c r="O68" s="2733"/>
      <c r="P68" s="2733"/>
      <c r="Q68" s="2733"/>
      <c r="R68" s="2733"/>
      <c r="S68" s="2733"/>
      <c r="T68" s="2733"/>
      <c r="U68" s="2733"/>
      <c r="V68" s="2733"/>
      <c r="W68" s="2733"/>
      <c r="X68" s="2733"/>
      <c r="Y68" s="2733"/>
      <c r="Z68" s="2733"/>
      <c r="AA68" s="2734"/>
      <c r="AB68" s="1144"/>
      <c r="AC68" s="2886" t="s">
        <v>1926</v>
      </c>
      <c r="AD68" s="2887"/>
      <c r="AE68" s="2887"/>
      <c r="AF68" s="2887"/>
      <c r="AG68" s="2887"/>
      <c r="AH68" s="2887"/>
      <c r="AI68" s="2887"/>
      <c r="AJ68" s="2887"/>
      <c r="AK68" s="2887"/>
      <c r="AL68" s="2887"/>
      <c r="AM68" s="2887"/>
      <c r="AN68" s="2887"/>
      <c r="AO68" s="2887"/>
      <c r="AP68" s="2887"/>
      <c r="AQ68" s="2887"/>
      <c r="AR68" s="2887"/>
      <c r="AS68" s="2887"/>
      <c r="AT68" s="2887"/>
      <c r="AU68" s="2887"/>
      <c r="AV68" s="2862" t="s">
        <v>1885</v>
      </c>
      <c r="AW68" s="2862"/>
      <c r="AX68" s="2862"/>
      <c r="AY68" s="2862"/>
      <c r="AZ68" s="2862"/>
      <c r="BA68" s="2862"/>
      <c r="BB68" s="2862"/>
      <c r="BC68" s="2863"/>
      <c r="BD68" s="1144"/>
      <c r="BE68" s="1150"/>
    </row>
    <row r="69" spans="1:57" ht="15.75" customHeight="1" thickBot="1">
      <c r="A69" s="1144"/>
      <c r="B69" s="2864" t="s">
        <v>1927</v>
      </c>
      <c r="C69" s="2865"/>
      <c r="D69" s="2865"/>
      <c r="E69" s="2865"/>
      <c r="F69" s="2865"/>
      <c r="G69" s="2865"/>
      <c r="H69" s="2865"/>
      <c r="I69" s="2865"/>
      <c r="J69" s="2865"/>
      <c r="K69" s="2865"/>
      <c r="L69" s="2865"/>
      <c r="M69" s="2865"/>
      <c r="N69" s="2865"/>
      <c r="O69" s="2866" t="s">
        <v>1928</v>
      </c>
      <c r="P69" s="2867"/>
      <c r="Q69" s="2867"/>
      <c r="R69" s="2867"/>
      <c r="S69" s="2867"/>
      <c r="T69" s="2867"/>
      <c r="U69" s="2867"/>
      <c r="V69" s="2867"/>
      <c r="W69" s="2867"/>
      <c r="X69" s="2867"/>
      <c r="Y69" s="2867"/>
      <c r="Z69" s="2867"/>
      <c r="AA69" s="2868"/>
      <c r="AB69" s="1144"/>
      <c r="AC69" s="2869" t="s">
        <v>1929</v>
      </c>
      <c r="AD69" s="2870"/>
      <c r="AE69" s="2870"/>
      <c r="AF69" s="2870"/>
      <c r="AG69" s="2870"/>
      <c r="AH69" s="2870"/>
      <c r="AI69" s="2870"/>
      <c r="AJ69" s="2870"/>
      <c r="AK69" s="2870"/>
      <c r="AL69" s="2870"/>
      <c r="AM69" s="2870"/>
      <c r="AN69" s="2870"/>
      <c r="AO69" s="2870"/>
      <c r="AP69" s="2870"/>
      <c r="AQ69" s="2870"/>
      <c r="AR69" s="2870"/>
      <c r="AS69" s="2870"/>
      <c r="AT69" s="2870"/>
      <c r="AU69" s="2870"/>
      <c r="AV69" s="2871">
        <v>44563</v>
      </c>
      <c r="AW69" s="2872"/>
      <c r="AX69" s="2872"/>
      <c r="AY69" s="2872"/>
      <c r="AZ69" s="2872"/>
      <c r="BA69" s="2872"/>
      <c r="BB69" s="2872"/>
      <c r="BC69" s="2873"/>
      <c r="BD69" s="1144"/>
      <c r="BE69" s="1150"/>
    </row>
    <row r="70" spans="1:57" ht="15.75" customHeight="1">
      <c r="A70" s="1144"/>
      <c r="B70" s="2876"/>
      <c r="C70" s="2877"/>
      <c r="D70" s="2877"/>
      <c r="E70" s="2877"/>
      <c r="F70" s="2877"/>
      <c r="G70" s="2877"/>
      <c r="H70" s="2877"/>
      <c r="I70" s="2877"/>
      <c r="J70" s="2877"/>
      <c r="K70" s="2877"/>
      <c r="L70" s="2877"/>
      <c r="M70" s="2877"/>
      <c r="N70" s="2877"/>
      <c r="O70" s="2878">
        <v>1</v>
      </c>
      <c r="P70" s="2878"/>
      <c r="Q70" s="2878"/>
      <c r="R70" s="2878"/>
      <c r="S70" s="2878"/>
      <c r="T70" s="2878"/>
      <c r="U70" s="2878"/>
      <c r="V70" s="2878"/>
      <c r="W70" s="2878"/>
      <c r="X70" s="2878"/>
      <c r="Y70" s="2878"/>
      <c r="Z70" s="2878"/>
      <c r="AA70" s="2879"/>
      <c r="AB70" s="1144"/>
      <c r="AC70" s="2880" t="s">
        <v>1930</v>
      </c>
      <c r="AD70" s="2881"/>
      <c r="AE70" s="2881"/>
      <c r="AF70" s="2882"/>
      <c r="AG70" s="2882"/>
      <c r="AH70" s="2882"/>
      <c r="AI70" s="2882"/>
      <c r="AJ70" s="2882"/>
      <c r="AK70" s="2882"/>
      <c r="AL70" s="2882"/>
      <c r="AM70" s="2882"/>
      <c r="AN70" s="2882"/>
      <c r="AO70" s="2882"/>
      <c r="AP70" s="2882"/>
      <c r="AQ70" s="2882"/>
      <c r="AR70" s="2882"/>
      <c r="AS70" s="2882"/>
      <c r="AT70" s="2882"/>
      <c r="AU70" s="2883"/>
      <c r="AV70" s="1144"/>
      <c r="AW70" s="1144"/>
      <c r="AX70" s="1144"/>
      <c r="AY70" s="1144"/>
      <c r="AZ70" s="1144"/>
      <c r="BA70" s="1144"/>
      <c r="BB70" s="1144"/>
      <c r="BC70" s="1144"/>
      <c r="BD70" s="1144"/>
      <c r="BE70" s="1150"/>
    </row>
    <row r="71" spans="1:57" ht="15.75" customHeight="1" thickBot="1">
      <c r="A71" s="1144"/>
      <c r="B71" s="2808"/>
      <c r="C71" s="2806"/>
      <c r="D71" s="2806"/>
      <c r="E71" s="2806"/>
      <c r="F71" s="2806"/>
      <c r="G71" s="2806"/>
      <c r="H71" s="2806"/>
      <c r="I71" s="2806"/>
      <c r="J71" s="2806"/>
      <c r="K71" s="2806"/>
      <c r="L71" s="2806"/>
      <c r="M71" s="2806"/>
      <c r="N71" s="2806"/>
      <c r="O71" s="2878"/>
      <c r="P71" s="2878"/>
      <c r="Q71" s="2878"/>
      <c r="R71" s="2878"/>
      <c r="S71" s="2878"/>
      <c r="T71" s="2878"/>
      <c r="U71" s="2878"/>
      <c r="V71" s="2878"/>
      <c r="W71" s="2878"/>
      <c r="X71" s="2878"/>
      <c r="Y71" s="2878"/>
      <c r="Z71" s="2878"/>
      <c r="AA71" s="2879"/>
      <c r="AB71" s="1144"/>
      <c r="AC71" s="2884" t="s">
        <v>1931</v>
      </c>
      <c r="AD71" s="2885"/>
      <c r="AE71" s="2885"/>
      <c r="AF71" s="2823"/>
      <c r="AG71" s="2823"/>
      <c r="AH71" s="2823"/>
      <c r="AI71" s="2823"/>
      <c r="AJ71" s="2823"/>
      <c r="AK71" s="2823"/>
      <c r="AL71" s="2823"/>
      <c r="AM71" s="2823"/>
      <c r="AN71" s="2823"/>
      <c r="AO71" s="2823"/>
      <c r="AP71" s="2823"/>
      <c r="AQ71" s="2823"/>
      <c r="AR71" s="2823"/>
      <c r="AS71" s="2823"/>
      <c r="AT71" s="2823"/>
      <c r="AU71" s="2824"/>
      <c r="AV71" s="1144"/>
      <c r="AW71" s="1144"/>
      <c r="AX71" s="1144"/>
      <c r="AY71" s="1144"/>
      <c r="AZ71" s="1144"/>
      <c r="BA71" s="1144"/>
      <c r="BB71" s="1144"/>
      <c r="BC71" s="1144"/>
      <c r="BD71" s="1144"/>
      <c r="BE71" s="1150"/>
    </row>
    <row r="72" spans="1:57" ht="15.75" customHeight="1">
      <c r="A72" s="1144"/>
      <c r="B72" s="2808"/>
      <c r="C72" s="2806"/>
      <c r="D72" s="2806"/>
      <c r="E72" s="2806"/>
      <c r="F72" s="2806"/>
      <c r="G72" s="2806"/>
      <c r="H72" s="2806"/>
      <c r="I72" s="2806"/>
      <c r="J72" s="2806"/>
      <c r="K72" s="2806"/>
      <c r="L72" s="2806"/>
      <c r="M72" s="2806"/>
      <c r="N72" s="2806"/>
      <c r="O72" s="2878"/>
      <c r="P72" s="2878"/>
      <c r="Q72" s="2878"/>
      <c r="R72" s="2878"/>
      <c r="S72" s="2878"/>
      <c r="T72" s="2878"/>
      <c r="U72" s="2878"/>
      <c r="V72" s="2878"/>
      <c r="W72" s="2878"/>
      <c r="X72" s="2878"/>
      <c r="Y72" s="2878"/>
      <c r="Z72" s="2878"/>
      <c r="AA72" s="2879"/>
      <c r="AB72" s="1144"/>
      <c r="AC72" s="2888" t="s">
        <v>1932</v>
      </c>
      <c r="AD72" s="2889"/>
      <c r="AE72" s="2889"/>
      <c r="AF72" s="2889"/>
      <c r="AG72" s="2889"/>
      <c r="AH72" s="2889"/>
      <c r="AI72" s="2889"/>
      <c r="AJ72" s="2889"/>
      <c r="AK72" s="2889"/>
      <c r="AL72" s="2889"/>
      <c r="AM72" s="2889"/>
      <c r="AN72" s="2889"/>
      <c r="AO72" s="2889"/>
      <c r="AP72" s="2889"/>
      <c r="AQ72" s="2889"/>
      <c r="AR72" s="2889"/>
      <c r="AS72" s="2889"/>
      <c r="AT72" s="2889"/>
      <c r="AU72" s="2889"/>
      <c r="AV72" s="2889"/>
      <c r="AW72" s="2889"/>
      <c r="AX72" s="2889"/>
      <c r="AY72" s="2889"/>
      <c r="AZ72" s="2889"/>
      <c r="BA72" s="2889"/>
      <c r="BB72" s="2889"/>
      <c r="BC72" s="2890"/>
      <c r="BD72" s="1144"/>
      <c r="BE72" s="1150"/>
    </row>
    <row r="73" spans="1:57" ht="15.75" customHeight="1">
      <c r="A73" s="1144"/>
      <c r="B73" s="2808"/>
      <c r="C73" s="2806"/>
      <c r="D73" s="2806"/>
      <c r="E73" s="2806"/>
      <c r="F73" s="2806"/>
      <c r="G73" s="2806"/>
      <c r="H73" s="2806"/>
      <c r="I73" s="2806"/>
      <c r="J73" s="2806"/>
      <c r="K73" s="2806"/>
      <c r="L73" s="2806"/>
      <c r="M73" s="2806"/>
      <c r="N73" s="2806"/>
      <c r="O73" s="2878"/>
      <c r="P73" s="2878"/>
      <c r="Q73" s="2878"/>
      <c r="R73" s="2878"/>
      <c r="S73" s="2878"/>
      <c r="T73" s="2878"/>
      <c r="U73" s="2878"/>
      <c r="V73" s="2878"/>
      <c r="W73" s="2878"/>
      <c r="X73" s="2878"/>
      <c r="Y73" s="2878"/>
      <c r="Z73" s="2878"/>
      <c r="AA73" s="2879"/>
      <c r="AB73" s="1144"/>
      <c r="AC73" s="2891" t="s">
        <v>2316</v>
      </c>
      <c r="AD73" s="2892"/>
      <c r="AE73" s="2892"/>
      <c r="AF73" s="2892"/>
      <c r="AG73" s="2892"/>
      <c r="AH73" s="2892"/>
      <c r="AI73" s="2892"/>
      <c r="AJ73" s="2892"/>
      <c r="AK73" s="2892"/>
      <c r="AL73" s="2892"/>
      <c r="AM73" s="2892"/>
      <c r="AN73" s="2892"/>
      <c r="AO73" s="2892"/>
      <c r="AP73" s="2892"/>
      <c r="AQ73" s="2892"/>
      <c r="AR73" s="2892"/>
      <c r="AS73" s="2892"/>
      <c r="AT73" s="2892"/>
      <c r="AU73" s="2892"/>
      <c r="AV73" s="2892"/>
      <c r="AW73" s="2892"/>
      <c r="AX73" s="2892"/>
      <c r="AY73" s="2892"/>
      <c r="AZ73" s="2892"/>
      <c r="BA73" s="2892"/>
      <c r="BB73" s="2892"/>
      <c r="BC73" s="2893"/>
      <c r="BD73" s="1144"/>
      <c r="BE73" s="1150"/>
    </row>
    <row r="74" spans="1:57" ht="15.75" customHeight="1" thickBot="1">
      <c r="A74" s="1144"/>
      <c r="B74" s="2808"/>
      <c r="C74" s="2806"/>
      <c r="D74" s="2806"/>
      <c r="E74" s="2806"/>
      <c r="F74" s="2806"/>
      <c r="G74" s="2806"/>
      <c r="H74" s="2806"/>
      <c r="I74" s="2806"/>
      <c r="J74" s="2806"/>
      <c r="K74" s="2806"/>
      <c r="L74" s="2806"/>
      <c r="M74" s="2806"/>
      <c r="N74" s="2806"/>
      <c r="O74" s="2897"/>
      <c r="P74" s="2897"/>
      <c r="Q74" s="2897"/>
      <c r="R74" s="2897"/>
      <c r="S74" s="2897"/>
      <c r="T74" s="2897"/>
      <c r="U74" s="2897"/>
      <c r="V74" s="2897"/>
      <c r="W74" s="2897"/>
      <c r="X74" s="2897"/>
      <c r="Y74" s="2897"/>
      <c r="Z74" s="2897"/>
      <c r="AA74" s="2898"/>
      <c r="AB74" s="1144"/>
      <c r="AC74" s="2891"/>
      <c r="AD74" s="2892"/>
      <c r="AE74" s="2892"/>
      <c r="AF74" s="2892"/>
      <c r="AG74" s="2892"/>
      <c r="AH74" s="2892"/>
      <c r="AI74" s="2892"/>
      <c r="AJ74" s="2892"/>
      <c r="AK74" s="2892"/>
      <c r="AL74" s="2892"/>
      <c r="AM74" s="2892"/>
      <c r="AN74" s="2892"/>
      <c r="AO74" s="2892"/>
      <c r="AP74" s="2892"/>
      <c r="AQ74" s="2892"/>
      <c r="AR74" s="2892"/>
      <c r="AS74" s="2892"/>
      <c r="AT74" s="2892"/>
      <c r="AU74" s="2892"/>
      <c r="AV74" s="2892"/>
      <c r="AW74" s="2892"/>
      <c r="AX74" s="2892"/>
      <c r="AY74" s="2892"/>
      <c r="AZ74" s="2892"/>
      <c r="BA74" s="2892"/>
      <c r="BB74" s="2892"/>
      <c r="BC74" s="2893"/>
      <c r="BD74" s="1144"/>
      <c r="BE74" s="1150"/>
    </row>
    <row r="75" spans="1:57" ht="15.75" customHeight="1" thickTop="1" thickBot="1">
      <c r="A75" s="1144"/>
      <c r="B75" s="2899" t="s">
        <v>129</v>
      </c>
      <c r="C75" s="2900"/>
      <c r="D75" s="2900"/>
      <c r="E75" s="2900"/>
      <c r="F75" s="2900"/>
      <c r="G75" s="2900"/>
      <c r="H75" s="2900"/>
      <c r="I75" s="2900"/>
      <c r="J75" s="2900"/>
      <c r="K75" s="2900"/>
      <c r="L75" s="2900"/>
      <c r="M75" s="2900"/>
      <c r="N75" s="2900"/>
      <c r="O75" s="2901">
        <f>SUM(O70:AA74)</f>
        <v>1</v>
      </c>
      <c r="P75" s="2902"/>
      <c r="Q75" s="2902"/>
      <c r="R75" s="2902"/>
      <c r="S75" s="2902"/>
      <c r="T75" s="2902"/>
      <c r="U75" s="2902"/>
      <c r="V75" s="2902"/>
      <c r="W75" s="2902"/>
      <c r="X75" s="2902"/>
      <c r="Y75" s="2902"/>
      <c r="Z75" s="2902"/>
      <c r="AA75" s="2903"/>
      <c r="AB75" s="1144"/>
      <c r="AC75" s="2891"/>
      <c r="AD75" s="2892"/>
      <c r="AE75" s="2892"/>
      <c r="AF75" s="2892"/>
      <c r="AG75" s="2892"/>
      <c r="AH75" s="2892"/>
      <c r="AI75" s="2892"/>
      <c r="AJ75" s="2892"/>
      <c r="AK75" s="2892"/>
      <c r="AL75" s="2892"/>
      <c r="AM75" s="2892"/>
      <c r="AN75" s="2892"/>
      <c r="AO75" s="2892"/>
      <c r="AP75" s="2892"/>
      <c r="AQ75" s="2892"/>
      <c r="AR75" s="2892"/>
      <c r="AS75" s="2892"/>
      <c r="AT75" s="2892"/>
      <c r="AU75" s="2892"/>
      <c r="AV75" s="2892"/>
      <c r="AW75" s="2892"/>
      <c r="AX75" s="2892"/>
      <c r="AY75" s="2892"/>
      <c r="AZ75" s="2892"/>
      <c r="BA75" s="2892"/>
      <c r="BB75" s="2892"/>
      <c r="BC75" s="2893"/>
      <c r="BD75" s="1144"/>
      <c r="BE75" s="1150"/>
    </row>
    <row r="76" spans="1:57" ht="15.75" customHeight="1">
      <c r="A76" s="1144"/>
      <c r="B76" s="1144"/>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2891"/>
      <c r="AD76" s="2892"/>
      <c r="AE76" s="2892"/>
      <c r="AF76" s="2892"/>
      <c r="AG76" s="2892"/>
      <c r="AH76" s="2892"/>
      <c r="AI76" s="2892"/>
      <c r="AJ76" s="2892"/>
      <c r="AK76" s="2892"/>
      <c r="AL76" s="2892"/>
      <c r="AM76" s="2892"/>
      <c r="AN76" s="2892"/>
      <c r="AO76" s="2892"/>
      <c r="AP76" s="2892"/>
      <c r="AQ76" s="2892"/>
      <c r="AR76" s="2892"/>
      <c r="AS76" s="2892"/>
      <c r="AT76" s="2892"/>
      <c r="AU76" s="2892"/>
      <c r="AV76" s="2892"/>
      <c r="AW76" s="2892"/>
      <c r="AX76" s="2892"/>
      <c r="AY76" s="2892"/>
      <c r="AZ76" s="2892"/>
      <c r="BA76" s="2892"/>
      <c r="BB76" s="2892"/>
      <c r="BC76" s="2893"/>
      <c r="BD76" s="1144"/>
      <c r="BE76" s="1150"/>
    </row>
    <row r="77" spans="1:57" ht="15.75" customHeight="1" thickBot="1">
      <c r="A77" s="1144"/>
      <c r="B77" s="1155" t="s">
        <v>1933</v>
      </c>
      <c r="C77" s="1156"/>
      <c r="D77" s="1156"/>
      <c r="E77" s="1156"/>
      <c r="F77" s="1156"/>
      <c r="G77" s="1156"/>
      <c r="H77" s="1156"/>
      <c r="I77" s="1156"/>
      <c r="J77" s="1156"/>
      <c r="K77" s="1156"/>
      <c r="L77" s="1156"/>
      <c r="M77" s="1156"/>
      <c r="N77" s="1156"/>
      <c r="O77" s="1156"/>
      <c r="P77" s="1156"/>
      <c r="Q77" s="1144"/>
      <c r="R77" s="1144"/>
      <c r="S77" s="1144"/>
      <c r="T77" s="1144"/>
      <c r="U77" s="1144"/>
      <c r="V77" s="1144"/>
      <c r="W77" s="1144"/>
      <c r="X77" s="1144"/>
      <c r="Y77" s="1144"/>
      <c r="Z77" s="1144"/>
      <c r="AA77" s="1144"/>
      <c r="AB77" s="1144"/>
      <c r="AC77" s="2894"/>
      <c r="AD77" s="2895"/>
      <c r="AE77" s="2895"/>
      <c r="AF77" s="2895"/>
      <c r="AG77" s="2895"/>
      <c r="AH77" s="2895"/>
      <c r="AI77" s="2895"/>
      <c r="AJ77" s="2895"/>
      <c r="AK77" s="2895"/>
      <c r="AL77" s="2895"/>
      <c r="AM77" s="2895"/>
      <c r="AN77" s="2895"/>
      <c r="AO77" s="2895"/>
      <c r="AP77" s="2895"/>
      <c r="AQ77" s="2895"/>
      <c r="AR77" s="2895"/>
      <c r="AS77" s="2895"/>
      <c r="AT77" s="2895"/>
      <c r="AU77" s="2895"/>
      <c r="AV77" s="2895"/>
      <c r="AW77" s="2895"/>
      <c r="AX77" s="2895"/>
      <c r="AY77" s="2895"/>
      <c r="AZ77" s="2895"/>
      <c r="BA77" s="2895"/>
      <c r="BB77" s="2895"/>
      <c r="BC77" s="2896"/>
      <c r="BD77" s="1144"/>
      <c r="BE77" s="1150"/>
    </row>
    <row r="78" spans="1:57" ht="15.75" customHeight="1" thickBot="1">
      <c r="A78" s="1144"/>
      <c r="B78" s="1144"/>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1144"/>
      <c r="AH78" s="1144"/>
      <c r="AI78" s="1144"/>
      <c r="AJ78" s="1144"/>
      <c r="AK78" s="1144"/>
      <c r="AL78" s="1144"/>
      <c r="AM78" s="1144"/>
      <c r="AN78" s="1144"/>
      <c r="AO78" s="1144"/>
      <c r="AP78" s="1144"/>
      <c r="AQ78" s="1144"/>
      <c r="AR78" s="1144"/>
      <c r="AS78" s="1144"/>
      <c r="AT78" s="1144"/>
      <c r="AU78" s="1144"/>
      <c r="AV78" s="1144"/>
      <c r="AW78" s="1144"/>
      <c r="AX78" s="1144"/>
      <c r="AY78" s="1144"/>
      <c r="AZ78" s="1144"/>
      <c r="BA78" s="1144"/>
      <c r="BB78" s="1144"/>
      <c r="BC78" s="1144"/>
      <c r="BD78" s="1144"/>
      <c r="BE78" s="1150"/>
    </row>
    <row r="79" spans="1:57" ht="15.75" customHeight="1" thickBot="1">
      <c r="A79" s="1144"/>
      <c r="B79" s="2904" t="s">
        <v>2297</v>
      </c>
      <c r="C79" s="2905"/>
      <c r="D79" s="2905"/>
      <c r="E79" s="2905"/>
      <c r="F79" s="2905"/>
      <c r="G79" s="2905"/>
      <c r="H79" s="2905"/>
      <c r="I79" s="2905"/>
      <c r="J79" s="2905"/>
      <c r="K79" s="2905"/>
      <c r="L79" s="2905"/>
      <c r="M79" s="2905"/>
      <c r="N79" s="2905"/>
      <c r="O79" s="2905"/>
      <c r="P79" s="2905"/>
      <c r="Q79" s="2905"/>
      <c r="R79" s="2905"/>
      <c r="S79" s="2905"/>
      <c r="T79" s="2905"/>
      <c r="U79" s="2905"/>
      <c r="V79" s="2905"/>
      <c r="W79" s="2905"/>
      <c r="X79" s="2905"/>
      <c r="Y79" s="2905"/>
      <c r="Z79" s="2905"/>
      <c r="AA79" s="2905"/>
      <c r="AB79" s="2905"/>
      <c r="AC79" s="2905"/>
      <c r="AD79" s="2905"/>
      <c r="AE79" s="2905"/>
      <c r="AF79" s="2905"/>
      <c r="AG79" s="2905"/>
      <c r="AH79" s="2906"/>
      <c r="AI79" s="1144"/>
      <c r="AJ79" s="2907" t="s">
        <v>2317</v>
      </c>
      <c r="AK79" s="2908"/>
      <c r="AL79" s="2908"/>
      <c r="AM79" s="2908"/>
      <c r="AN79" s="2908"/>
      <c r="AO79" s="2908"/>
      <c r="AP79" s="2908"/>
      <c r="AQ79" s="2908"/>
      <c r="AR79" s="2908"/>
      <c r="AS79" s="2908"/>
      <c r="AT79" s="2908"/>
      <c r="AU79" s="2908"/>
      <c r="AV79" s="2908"/>
      <c r="AW79" s="2908"/>
      <c r="AX79" s="2908"/>
      <c r="AY79" s="2913" t="s">
        <v>1885</v>
      </c>
      <c r="AZ79" s="2913"/>
      <c r="BA79" s="2913"/>
      <c r="BB79" s="2914"/>
      <c r="BC79" s="1144"/>
      <c r="BD79" s="1144"/>
      <c r="BE79" s="1150"/>
    </row>
    <row r="80" spans="1:57" ht="15.75" customHeight="1">
      <c r="A80" s="1144"/>
      <c r="B80" s="2919"/>
      <c r="C80" s="2920"/>
      <c r="D80" s="2920"/>
      <c r="E80" s="2920"/>
      <c r="F80" s="2920"/>
      <c r="G80" s="2920"/>
      <c r="H80" s="2921"/>
      <c r="I80" s="2886" t="s">
        <v>1934</v>
      </c>
      <c r="J80" s="2887"/>
      <c r="K80" s="2887"/>
      <c r="L80" s="2887"/>
      <c r="M80" s="2887"/>
      <c r="N80" s="2887"/>
      <c r="O80" s="2887" t="s">
        <v>1935</v>
      </c>
      <c r="P80" s="2887"/>
      <c r="Q80" s="2887"/>
      <c r="R80" s="2887"/>
      <c r="S80" s="2887"/>
      <c r="T80" s="2887"/>
      <c r="U80" s="2887"/>
      <c r="V80" s="2927" t="s">
        <v>2318</v>
      </c>
      <c r="W80" s="2927"/>
      <c r="X80" s="2927"/>
      <c r="Y80" s="2927"/>
      <c r="Z80" s="2927"/>
      <c r="AA80" s="2927"/>
      <c r="AB80" s="2889" t="s">
        <v>1936</v>
      </c>
      <c r="AC80" s="2889"/>
      <c r="AD80" s="2889"/>
      <c r="AE80" s="2889"/>
      <c r="AF80" s="2889"/>
      <c r="AG80" s="2889"/>
      <c r="AH80" s="2890"/>
      <c r="AI80" s="1144"/>
      <c r="AJ80" s="2909"/>
      <c r="AK80" s="2910"/>
      <c r="AL80" s="2910"/>
      <c r="AM80" s="2910"/>
      <c r="AN80" s="2910"/>
      <c r="AO80" s="2910"/>
      <c r="AP80" s="2910"/>
      <c r="AQ80" s="2910"/>
      <c r="AR80" s="2910"/>
      <c r="AS80" s="2910"/>
      <c r="AT80" s="2910"/>
      <c r="AU80" s="2910"/>
      <c r="AV80" s="2910"/>
      <c r="AW80" s="2910"/>
      <c r="AX80" s="2910"/>
      <c r="AY80" s="2915"/>
      <c r="AZ80" s="2915"/>
      <c r="BA80" s="2915"/>
      <c r="BB80" s="2916"/>
      <c r="BC80" s="1144"/>
      <c r="BD80" s="1144"/>
      <c r="BE80" s="1150"/>
    </row>
    <row r="81" spans="1:57" ht="15.75" customHeight="1" thickBot="1">
      <c r="A81" s="1144"/>
      <c r="B81" s="2922"/>
      <c r="C81" s="2923"/>
      <c r="D81" s="2923"/>
      <c r="E81" s="2923"/>
      <c r="F81" s="2923"/>
      <c r="G81" s="2923"/>
      <c r="H81" s="2924"/>
      <c r="I81" s="2925"/>
      <c r="J81" s="2926"/>
      <c r="K81" s="2926"/>
      <c r="L81" s="2926"/>
      <c r="M81" s="2926"/>
      <c r="N81" s="2926"/>
      <c r="O81" s="2926"/>
      <c r="P81" s="2926"/>
      <c r="Q81" s="2926"/>
      <c r="R81" s="2926"/>
      <c r="S81" s="2926"/>
      <c r="T81" s="2926"/>
      <c r="U81" s="2926"/>
      <c r="V81" s="2928"/>
      <c r="W81" s="2928"/>
      <c r="X81" s="2928"/>
      <c r="Y81" s="2928"/>
      <c r="Z81" s="2928"/>
      <c r="AA81" s="2928"/>
      <c r="AB81" s="2865"/>
      <c r="AC81" s="2865"/>
      <c r="AD81" s="2865"/>
      <c r="AE81" s="2865"/>
      <c r="AF81" s="2865"/>
      <c r="AG81" s="2865"/>
      <c r="AH81" s="2929"/>
      <c r="AI81" s="1144"/>
      <c r="AJ81" s="2909"/>
      <c r="AK81" s="2910"/>
      <c r="AL81" s="2910"/>
      <c r="AM81" s="2910"/>
      <c r="AN81" s="2910"/>
      <c r="AO81" s="2910"/>
      <c r="AP81" s="2910"/>
      <c r="AQ81" s="2910"/>
      <c r="AR81" s="2910"/>
      <c r="AS81" s="2910"/>
      <c r="AT81" s="2910"/>
      <c r="AU81" s="2910"/>
      <c r="AV81" s="2910"/>
      <c r="AW81" s="2910"/>
      <c r="AX81" s="2910"/>
      <c r="AY81" s="2915"/>
      <c r="AZ81" s="2915"/>
      <c r="BA81" s="2915"/>
      <c r="BB81" s="2916"/>
      <c r="BC81" s="1144"/>
      <c r="BD81" s="1144"/>
      <c r="BE81" s="1150"/>
    </row>
    <row r="82" spans="1:57" ht="15.75" customHeight="1" thickBot="1">
      <c r="A82" s="1144"/>
      <c r="B82" s="2705" t="s">
        <v>2298</v>
      </c>
      <c r="C82" s="2706"/>
      <c r="D82" s="2706"/>
      <c r="E82" s="2706"/>
      <c r="F82" s="2706"/>
      <c r="G82" s="2706"/>
      <c r="H82" s="2707"/>
      <c r="I82" s="2930"/>
      <c r="J82" s="2931"/>
      <c r="K82" s="2931"/>
      <c r="L82" s="2931"/>
      <c r="M82" s="2931"/>
      <c r="N82" s="2931"/>
      <c r="O82" s="2931"/>
      <c r="P82" s="2931"/>
      <c r="Q82" s="2931"/>
      <c r="R82" s="2931"/>
      <c r="S82" s="2931"/>
      <c r="T82" s="2931"/>
      <c r="U82" s="2931"/>
      <c r="V82" s="2931"/>
      <c r="W82" s="2931"/>
      <c r="X82" s="2931"/>
      <c r="Y82" s="2931"/>
      <c r="Z82" s="2931"/>
      <c r="AA82" s="2945"/>
      <c r="AB82" s="2946"/>
      <c r="AC82" s="2946"/>
      <c r="AD82" s="2946"/>
      <c r="AE82" s="2946"/>
      <c r="AF82" s="2946"/>
      <c r="AG82" s="2946"/>
      <c r="AH82" s="2947"/>
      <c r="AI82" s="1144"/>
      <c r="AJ82" s="2911"/>
      <c r="AK82" s="2912"/>
      <c r="AL82" s="2912"/>
      <c r="AM82" s="2912"/>
      <c r="AN82" s="2912"/>
      <c r="AO82" s="2912"/>
      <c r="AP82" s="2912"/>
      <c r="AQ82" s="2912"/>
      <c r="AR82" s="2912"/>
      <c r="AS82" s="2912"/>
      <c r="AT82" s="2912"/>
      <c r="AU82" s="2912"/>
      <c r="AV82" s="2912"/>
      <c r="AW82" s="2912"/>
      <c r="AX82" s="2912"/>
      <c r="AY82" s="2917"/>
      <c r="AZ82" s="2917"/>
      <c r="BA82" s="2917"/>
      <c r="BB82" s="2918"/>
      <c r="BC82" s="1144"/>
      <c r="BD82" s="1144"/>
      <c r="BE82" s="1150"/>
    </row>
    <row r="83" spans="1:57" ht="15.75" customHeight="1" thickBot="1">
      <c r="A83" s="1144"/>
      <c r="B83" s="2705" t="s">
        <v>2299</v>
      </c>
      <c r="C83" s="2706"/>
      <c r="D83" s="2706"/>
      <c r="E83" s="2706"/>
      <c r="F83" s="2706"/>
      <c r="G83" s="2706"/>
      <c r="H83" s="2707"/>
      <c r="I83" s="2930"/>
      <c r="J83" s="2931"/>
      <c r="K83" s="2931"/>
      <c r="L83" s="2931"/>
      <c r="M83" s="2931"/>
      <c r="N83" s="2931"/>
      <c r="O83" s="2931"/>
      <c r="P83" s="2931"/>
      <c r="Q83" s="2931"/>
      <c r="R83" s="2931"/>
      <c r="S83" s="2931"/>
      <c r="T83" s="2931"/>
      <c r="U83" s="2931"/>
      <c r="V83" s="2931"/>
      <c r="W83" s="2931"/>
      <c r="X83" s="2931"/>
      <c r="Y83" s="2931"/>
      <c r="Z83" s="2931"/>
      <c r="AA83" s="2945"/>
      <c r="AB83" s="2946"/>
      <c r="AC83" s="2946"/>
      <c r="AD83" s="2946"/>
      <c r="AE83" s="2946"/>
      <c r="AF83" s="2946"/>
      <c r="AG83" s="2946"/>
      <c r="AH83" s="2947"/>
      <c r="AI83" s="1144"/>
      <c r="AJ83" s="2932" t="s">
        <v>2319</v>
      </c>
      <c r="AK83" s="2933"/>
      <c r="AL83" s="2933"/>
      <c r="AM83" s="2933"/>
      <c r="AN83" s="2933"/>
      <c r="AO83" s="2933"/>
      <c r="AP83" s="2933"/>
      <c r="AQ83" s="2933"/>
      <c r="AR83" s="2933"/>
      <c r="AS83" s="2933"/>
      <c r="AT83" s="2933"/>
      <c r="AU83" s="2933"/>
      <c r="AV83" s="2933"/>
      <c r="AW83" s="2933"/>
      <c r="AX83" s="2933"/>
      <c r="AY83" s="2933"/>
      <c r="AZ83" s="2933"/>
      <c r="BA83" s="2933"/>
      <c r="BB83" s="2934"/>
      <c r="BC83" s="1144"/>
      <c r="BD83" s="1144"/>
      <c r="BE83" s="1150"/>
    </row>
    <row r="84" spans="1:57" ht="15.75" customHeight="1" thickBot="1">
      <c r="A84" s="1144"/>
      <c r="B84" s="2938" t="s">
        <v>1937</v>
      </c>
      <c r="C84" s="2939"/>
      <c r="D84" s="2939"/>
      <c r="E84" s="2939"/>
      <c r="F84" s="2939"/>
      <c r="G84" s="2939"/>
      <c r="H84" s="2940"/>
      <c r="I84" s="2941"/>
      <c r="J84" s="2942"/>
      <c r="K84" s="2942"/>
      <c r="L84" s="2942"/>
      <c r="M84" s="2942"/>
      <c r="N84" s="2942"/>
      <c r="O84" s="2942"/>
      <c r="P84" s="2942"/>
      <c r="Q84" s="2942"/>
      <c r="R84" s="2942"/>
      <c r="S84" s="2942"/>
      <c r="T84" s="2942"/>
      <c r="U84" s="2942"/>
      <c r="V84" s="2942"/>
      <c r="W84" s="2942"/>
      <c r="X84" s="2942"/>
      <c r="Y84" s="2942"/>
      <c r="Z84" s="2942"/>
      <c r="AA84" s="2943"/>
      <c r="AB84" s="2942"/>
      <c r="AC84" s="2942"/>
      <c r="AD84" s="2942"/>
      <c r="AE84" s="2942"/>
      <c r="AF84" s="2942"/>
      <c r="AG84" s="2942"/>
      <c r="AH84" s="2944"/>
      <c r="AI84" s="1144"/>
      <c r="AJ84" s="2935"/>
      <c r="AK84" s="2936"/>
      <c r="AL84" s="2936"/>
      <c r="AM84" s="2936"/>
      <c r="AN84" s="2936"/>
      <c r="AO84" s="2936"/>
      <c r="AP84" s="2936"/>
      <c r="AQ84" s="2936"/>
      <c r="AR84" s="2936"/>
      <c r="AS84" s="2936"/>
      <c r="AT84" s="2936"/>
      <c r="AU84" s="2936"/>
      <c r="AV84" s="2936"/>
      <c r="AW84" s="2936"/>
      <c r="AX84" s="2936"/>
      <c r="AY84" s="2936"/>
      <c r="AZ84" s="2936"/>
      <c r="BA84" s="2936"/>
      <c r="BB84" s="2937"/>
      <c r="BC84" s="1144"/>
      <c r="BD84" s="1144"/>
      <c r="BE84" s="1150"/>
    </row>
    <row r="85" spans="1:57" ht="15.75" customHeight="1">
      <c r="A85" s="1144"/>
      <c r="B85" s="1144"/>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c r="AE85" s="1144"/>
      <c r="AF85" s="1144"/>
      <c r="AG85" s="1144"/>
      <c r="AH85" s="1144"/>
      <c r="AI85" s="1144"/>
      <c r="AJ85" s="1144"/>
      <c r="AK85" s="1144"/>
      <c r="AL85" s="1144"/>
      <c r="AM85" s="1144"/>
      <c r="AN85" s="1144"/>
      <c r="AO85" s="1144"/>
      <c r="AP85" s="1144"/>
      <c r="AQ85" s="1144"/>
      <c r="AR85" s="1144"/>
      <c r="AS85" s="1144"/>
      <c r="AT85" s="1144"/>
      <c r="AU85" s="1144"/>
      <c r="AV85" s="1144"/>
      <c r="AW85" s="1144"/>
      <c r="AX85" s="1144"/>
      <c r="AY85" s="1144"/>
      <c r="AZ85" s="1144"/>
      <c r="BA85" s="1144"/>
      <c r="BB85" s="1144"/>
      <c r="BC85" s="1144"/>
      <c r="BD85" s="1144"/>
      <c r="BE85" s="1150"/>
    </row>
    <row r="86" spans="1:57" ht="15.75" customHeight="1">
      <c r="A86" s="1144"/>
      <c r="B86" s="1154" t="s">
        <v>1938</v>
      </c>
      <c r="P86" s="1144"/>
      <c r="Q86" s="1144"/>
      <c r="R86" s="1144"/>
      <c r="S86" s="1144"/>
      <c r="T86" s="1144"/>
      <c r="U86" s="1144"/>
      <c r="V86" s="1144"/>
      <c r="W86" s="1144"/>
      <c r="X86" s="1144"/>
      <c r="Y86" s="1144"/>
      <c r="Z86" s="1144"/>
      <c r="AA86" s="1144"/>
      <c r="AB86" s="1144"/>
      <c r="AC86" s="1144"/>
      <c r="AD86" s="1144"/>
      <c r="AE86" s="1144"/>
      <c r="AF86" s="1144"/>
      <c r="AG86" s="1144"/>
      <c r="AH86" s="1144"/>
      <c r="AI86" s="1144"/>
      <c r="AJ86" s="1144"/>
      <c r="AK86" s="1144"/>
      <c r="AL86" s="1144"/>
      <c r="AM86" s="1144"/>
      <c r="AN86" s="1144"/>
      <c r="AO86" s="1144"/>
      <c r="AP86" s="1144"/>
      <c r="AQ86" s="1144"/>
      <c r="AR86" s="1144"/>
      <c r="AS86" s="1144"/>
      <c r="AT86" s="1144"/>
      <c r="AU86" s="1144"/>
      <c r="AV86" s="1144"/>
      <c r="AW86" s="1144"/>
      <c r="AX86" s="1144"/>
      <c r="AY86" s="1144"/>
      <c r="AZ86" s="1144"/>
      <c r="BA86" s="1144"/>
      <c r="BB86" s="1144"/>
      <c r="BC86" s="1144"/>
      <c r="BD86" s="1144"/>
      <c r="BE86" s="1150"/>
    </row>
    <row r="87" spans="1:57" ht="15.75" customHeight="1" thickBot="1">
      <c r="A87" s="1144"/>
      <c r="B87" s="1144"/>
      <c r="C87" s="1144"/>
      <c r="D87" s="1144"/>
      <c r="E87" s="1144"/>
      <c r="F87" s="1144"/>
      <c r="G87" s="1144"/>
      <c r="H87" s="1144"/>
      <c r="I87" s="1144"/>
      <c r="J87" s="1144"/>
      <c r="K87" s="1144"/>
      <c r="L87" s="1144"/>
      <c r="M87" s="1144"/>
      <c r="N87" s="1144"/>
      <c r="O87" s="1144"/>
      <c r="P87" s="1157"/>
      <c r="Q87" s="1144"/>
      <c r="R87" s="1144"/>
      <c r="S87" s="1144"/>
      <c r="T87" s="1144"/>
      <c r="U87" s="1144"/>
      <c r="V87" s="1144"/>
      <c r="W87" s="1144"/>
      <c r="X87" s="1144"/>
      <c r="Y87" s="1144"/>
      <c r="Z87" s="1144"/>
      <c r="AA87" s="1144"/>
      <c r="AB87" s="1144"/>
      <c r="AC87" s="1144"/>
      <c r="AD87" s="1144"/>
      <c r="AE87" s="1144"/>
      <c r="AF87" s="1144"/>
      <c r="AG87" s="1144"/>
      <c r="AH87" s="1144"/>
      <c r="AI87" s="1144"/>
      <c r="AJ87" s="1144"/>
      <c r="AK87" s="1144"/>
      <c r="AL87" s="1144"/>
      <c r="AM87" s="1144"/>
      <c r="AN87" s="1144"/>
      <c r="AO87" s="1144"/>
      <c r="AP87" s="1144"/>
      <c r="AQ87" s="1144"/>
      <c r="AR87" s="1144"/>
      <c r="AS87" s="1144"/>
      <c r="AT87" s="1144"/>
      <c r="AU87" s="1144"/>
      <c r="AV87" s="1144"/>
      <c r="AW87" s="1144"/>
      <c r="AX87" s="1144"/>
      <c r="AY87" s="1144"/>
      <c r="AZ87" s="1144"/>
      <c r="BA87" s="1144"/>
      <c r="BB87" s="1144"/>
      <c r="BC87" s="1144"/>
      <c r="BD87" s="1144"/>
      <c r="BE87" s="1150"/>
    </row>
    <row r="88" spans="1:57" ht="15.75" customHeight="1" thickBot="1">
      <c r="A88" s="1144"/>
      <c r="B88" s="2919" t="s">
        <v>1939</v>
      </c>
      <c r="C88" s="2920"/>
      <c r="D88" s="2920"/>
      <c r="E88" s="2920"/>
      <c r="F88" s="2920"/>
      <c r="G88" s="2920"/>
      <c r="H88" s="2920"/>
      <c r="I88" s="2920"/>
      <c r="J88" s="2920"/>
      <c r="K88" s="2920"/>
      <c r="L88" s="2920"/>
      <c r="M88" s="2920"/>
      <c r="N88" s="2920"/>
      <c r="O88" s="2920"/>
      <c r="P88" s="2920"/>
      <c r="Q88" s="2920"/>
      <c r="R88" s="2920"/>
      <c r="S88" s="2920"/>
      <c r="T88" s="2920"/>
      <c r="U88" s="2920"/>
      <c r="V88" s="2920"/>
      <c r="W88" s="2920"/>
      <c r="X88" s="2920"/>
      <c r="Y88" s="2920"/>
      <c r="Z88" s="2920"/>
      <c r="AA88" s="2920"/>
      <c r="AB88" s="2920"/>
      <c r="AC88" s="2920"/>
      <c r="AD88" s="2920"/>
      <c r="AE88" s="2920"/>
      <c r="AF88" s="2920"/>
      <c r="AG88" s="2920"/>
      <c r="AH88" s="2921"/>
      <c r="AI88" s="1144"/>
      <c r="AJ88" s="2907" t="s">
        <v>2320</v>
      </c>
      <c r="AK88" s="2908"/>
      <c r="AL88" s="2908"/>
      <c r="AM88" s="2908"/>
      <c r="AN88" s="2908"/>
      <c r="AO88" s="2908"/>
      <c r="AP88" s="2908"/>
      <c r="AQ88" s="2908"/>
      <c r="AR88" s="2908"/>
      <c r="AS88" s="2908"/>
      <c r="AT88" s="2908"/>
      <c r="AU88" s="2908"/>
      <c r="AV88" s="2908"/>
      <c r="AW88" s="2908"/>
      <c r="AX88" s="2908"/>
      <c r="AY88" s="2913" t="s">
        <v>1885</v>
      </c>
      <c r="AZ88" s="2913"/>
      <c r="BA88" s="2913"/>
      <c r="BB88" s="2914"/>
      <c r="BC88" s="1144"/>
      <c r="BD88" s="1144"/>
      <c r="BE88" s="1150"/>
    </row>
    <row r="89" spans="1:57" ht="16.5" customHeight="1">
      <c r="A89" s="1144"/>
      <c r="B89" s="2919"/>
      <c r="C89" s="2920"/>
      <c r="D89" s="2920"/>
      <c r="E89" s="2920"/>
      <c r="F89" s="2920"/>
      <c r="G89" s="2920"/>
      <c r="H89" s="2920"/>
      <c r="I89" s="2886" t="s">
        <v>1934</v>
      </c>
      <c r="J89" s="2887"/>
      <c r="K89" s="2887"/>
      <c r="L89" s="2887"/>
      <c r="M89" s="2887"/>
      <c r="N89" s="2887"/>
      <c r="O89" s="2887" t="s">
        <v>1935</v>
      </c>
      <c r="P89" s="2887"/>
      <c r="Q89" s="2887"/>
      <c r="R89" s="2887"/>
      <c r="S89" s="2887"/>
      <c r="T89" s="2887"/>
      <c r="U89" s="2887"/>
      <c r="V89" s="2927" t="s">
        <v>2318</v>
      </c>
      <c r="W89" s="2927"/>
      <c r="X89" s="2927"/>
      <c r="Y89" s="2927"/>
      <c r="Z89" s="2927"/>
      <c r="AA89" s="2927"/>
      <c r="AB89" s="2889" t="s">
        <v>1936</v>
      </c>
      <c r="AC89" s="2889"/>
      <c r="AD89" s="2889"/>
      <c r="AE89" s="2889"/>
      <c r="AF89" s="2889"/>
      <c r="AG89" s="2889"/>
      <c r="AH89" s="2890"/>
      <c r="AI89" s="1144"/>
      <c r="AJ89" s="2909"/>
      <c r="AK89" s="2910"/>
      <c r="AL89" s="2910"/>
      <c r="AM89" s="2910"/>
      <c r="AN89" s="2910"/>
      <c r="AO89" s="2910"/>
      <c r="AP89" s="2910"/>
      <c r="AQ89" s="2910"/>
      <c r="AR89" s="2910"/>
      <c r="AS89" s="2910"/>
      <c r="AT89" s="2910"/>
      <c r="AU89" s="2910"/>
      <c r="AV89" s="2910"/>
      <c r="AW89" s="2910"/>
      <c r="AX89" s="2910"/>
      <c r="AY89" s="2915"/>
      <c r="AZ89" s="2915"/>
      <c r="BA89" s="2915"/>
      <c r="BB89" s="2916"/>
      <c r="BC89" s="1144"/>
      <c r="BD89" s="1144"/>
      <c r="BE89" s="1150"/>
    </row>
    <row r="90" spans="1:57" ht="16.5" customHeight="1" thickBot="1">
      <c r="A90" s="1144"/>
      <c r="B90" s="2922"/>
      <c r="C90" s="2923"/>
      <c r="D90" s="2923"/>
      <c r="E90" s="2923"/>
      <c r="F90" s="2923"/>
      <c r="G90" s="2923"/>
      <c r="H90" s="2923"/>
      <c r="I90" s="2925"/>
      <c r="J90" s="2926"/>
      <c r="K90" s="2926"/>
      <c r="L90" s="2926"/>
      <c r="M90" s="2926"/>
      <c r="N90" s="2926"/>
      <c r="O90" s="2926"/>
      <c r="P90" s="2926"/>
      <c r="Q90" s="2926"/>
      <c r="R90" s="2926"/>
      <c r="S90" s="2926"/>
      <c r="T90" s="2926"/>
      <c r="U90" s="2926"/>
      <c r="V90" s="2928"/>
      <c r="W90" s="2928"/>
      <c r="X90" s="2928"/>
      <c r="Y90" s="2928"/>
      <c r="Z90" s="2928"/>
      <c r="AA90" s="2928"/>
      <c r="AB90" s="2865"/>
      <c r="AC90" s="2865"/>
      <c r="AD90" s="2865"/>
      <c r="AE90" s="2865"/>
      <c r="AF90" s="2865"/>
      <c r="AG90" s="2865"/>
      <c r="AH90" s="2929"/>
      <c r="AI90" s="1144"/>
      <c r="AJ90" s="2909"/>
      <c r="AK90" s="2910"/>
      <c r="AL90" s="2910"/>
      <c r="AM90" s="2910"/>
      <c r="AN90" s="2910"/>
      <c r="AO90" s="2910"/>
      <c r="AP90" s="2910"/>
      <c r="AQ90" s="2910"/>
      <c r="AR90" s="2910"/>
      <c r="AS90" s="2910"/>
      <c r="AT90" s="2910"/>
      <c r="AU90" s="2910"/>
      <c r="AV90" s="2910"/>
      <c r="AW90" s="2910"/>
      <c r="AX90" s="2910"/>
      <c r="AY90" s="2915"/>
      <c r="AZ90" s="2915"/>
      <c r="BA90" s="2915"/>
      <c r="BB90" s="2916"/>
      <c r="BC90" s="1144"/>
      <c r="BD90" s="1144"/>
      <c r="BE90" s="1150"/>
    </row>
    <row r="91" spans="1:57" ht="15.75" customHeight="1" thickBot="1">
      <c r="A91" s="1144"/>
      <c r="B91" s="2705" t="s">
        <v>2298</v>
      </c>
      <c r="C91" s="2706"/>
      <c r="D91" s="2706"/>
      <c r="E91" s="2706"/>
      <c r="F91" s="2706"/>
      <c r="G91" s="2706"/>
      <c r="H91" s="2706"/>
      <c r="I91" s="2930"/>
      <c r="J91" s="2931"/>
      <c r="K91" s="2931"/>
      <c r="L91" s="2931"/>
      <c r="M91" s="2931"/>
      <c r="N91" s="2931"/>
      <c r="O91" s="2931"/>
      <c r="P91" s="2931"/>
      <c r="Q91" s="2931"/>
      <c r="R91" s="2931"/>
      <c r="S91" s="2931"/>
      <c r="T91" s="2931"/>
      <c r="U91" s="2931"/>
      <c r="V91" s="2931"/>
      <c r="W91" s="2931"/>
      <c r="X91" s="2931"/>
      <c r="Y91" s="2931"/>
      <c r="Z91" s="2931"/>
      <c r="AA91" s="2945"/>
      <c r="AB91" s="2882"/>
      <c r="AC91" s="2882"/>
      <c r="AD91" s="2882"/>
      <c r="AE91" s="2882"/>
      <c r="AF91" s="2882"/>
      <c r="AG91" s="2882"/>
      <c r="AH91" s="2883"/>
      <c r="AI91" s="1144"/>
      <c r="AJ91" s="2911"/>
      <c r="AK91" s="2912"/>
      <c r="AL91" s="2912"/>
      <c r="AM91" s="2912"/>
      <c r="AN91" s="2912"/>
      <c r="AO91" s="2912"/>
      <c r="AP91" s="2912"/>
      <c r="AQ91" s="2912"/>
      <c r="AR91" s="2912"/>
      <c r="AS91" s="2912"/>
      <c r="AT91" s="2912"/>
      <c r="AU91" s="2912"/>
      <c r="AV91" s="2912"/>
      <c r="AW91" s="2912"/>
      <c r="AX91" s="2912"/>
      <c r="AY91" s="2917"/>
      <c r="AZ91" s="2917"/>
      <c r="BA91" s="2917"/>
      <c r="BB91" s="2918"/>
      <c r="BC91" s="1144"/>
      <c r="BD91" s="1144"/>
      <c r="BE91" s="1150"/>
    </row>
    <row r="92" spans="1:57" ht="15.75" customHeight="1" thickBot="1">
      <c r="A92" s="1144"/>
      <c r="B92" s="2705" t="s">
        <v>2299</v>
      </c>
      <c r="C92" s="2706"/>
      <c r="D92" s="2706"/>
      <c r="E92" s="2706"/>
      <c r="F92" s="2706"/>
      <c r="G92" s="2706"/>
      <c r="H92" s="2706"/>
      <c r="I92" s="2930"/>
      <c r="J92" s="2931"/>
      <c r="K92" s="2931"/>
      <c r="L92" s="2931"/>
      <c r="M92" s="2931"/>
      <c r="N92" s="2931"/>
      <c r="O92" s="2931"/>
      <c r="P92" s="2931"/>
      <c r="Q92" s="2931"/>
      <c r="R92" s="2931"/>
      <c r="S92" s="2931"/>
      <c r="T92" s="2931"/>
      <c r="U92" s="2931"/>
      <c r="V92" s="2931"/>
      <c r="W92" s="2931"/>
      <c r="X92" s="2931"/>
      <c r="Y92" s="2931"/>
      <c r="Z92" s="2931"/>
      <c r="AA92" s="2945"/>
      <c r="AB92" s="2882"/>
      <c r="AC92" s="2882"/>
      <c r="AD92" s="2882"/>
      <c r="AE92" s="2882"/>
      <c r="AF92" s="2882"/>
      <c r="AG92" s="2882"/>
      <c r="AH92" s="2883"/>
      <c r="AI92" s="1144"/>
      <c r="AJ92" s="2932" t="s">
        <v>2319</v>
      </c>
      <c r="AK92" s="2933"/>
      <c r="AL92" s="2933"/>
      <c r="AM92" s="2933"/>
      <c r="AN92" s="2933"/>
      <c r="AO92" s="2933"/>
      <c r="AP92" s="2933"/>
      <c r="AQ92" s="2933"/>
      <c r="AR92" s="2933"/>
      <c r="AS92" s="2933"/>
      <c r="AT92" s="2933"/>
      <c r="AU92" s="2933"/>
      <c r="AV92" s="2933"/>
      <c r="AW92" s="2933"/>
      <c r="AX92" s="2933"/>
      <c r="AY92" s="2933"/>
      <c r="AZ92" s="2933"/>
      <c r="BA92" s="2933"/>
      <c r="BB92" s="2934"/>
      <c r="BC92" s="1144"/>
      <c r="BD92" s="1144"/>
      <c r="BE92" s="1150"/>
    </row>
    <row r="93" spans="1:57" ht="15.75" customHeight="1" thickBot="1">
      <c r="A93" s="1144"/>
      <c r="B93" s="2938" t="s">
        <v>1937</v>
      </c>
      <c r="C93" s="2939"/>
      <c r="D93" s="2939"/>
      <c r="E93" s="2939"/>
      <c r="F93" s="2939"/>
      <c r="G93" s="2939"/>
      <c r="H93" s="2948"/>
      <c r="I93" s="2941"/>
      <c r="J93" s="2942"/>
      <c r="K93" s="2942"/>
      <c r="L93" s="2942"/>
      <c r="M93" s="2942"/>
      <c r="N93" s="2942"/>
      <c r="O93" s="2942"/>
      <c r="P93" s="2942"/>
      <c r="Q93" s="2942"/>
      <c r="R93" s="2942"/>
      <c r="S93" s="2942"/>
      <c r="T93" s="2942"/>
      <c r="U93" s="2942"/>
      <c r="V93" s="2942"/>
      <c r="W93" s="2942"/>
      <c r="X93" s="2942"/>
      <c r="Y93" s="2942"/>
      <c r="Z93" s="2942"/>
      <c r="AA93" s="2943"/>
      <c r="AB93" s="2823"/>
      <c r="AC93" s="2823"/>
      <c r="AD93" s="2823"/>
      <c r="AE93" s="2823"/>
      <c r="AF93" s="2823"/>
      <c r="AG93" s="2823"/>
      <c r="AH93" s="2824"/>
      <c r="AI93" s="1144"/>
      <c r="AJ93" s="2935"/>
      <c r="AK93" s="2936"/>
      <c r="AL93" s="2936"/>
      <c r="AM93" s="2936"/>
      <c r="AN93" s="2936"/>
      <c r="AO93" s="2936"/>
      <c r="AP93" s="2936"/>
      <c r="AQ93" s="2936"/>
      <c r="AR93" s="2936"/>
      <c r="AS93" s="2936"/>
      <c r="AT93" s="2936"/>
      <c r="AU93" s="2936"/>
      <c r="AV93" s="2936"/>
      <c r="AW93" s="2936"/>
      <c r="AX93" s="2936"/>
      <c r="AY93" s="2936"/>
      <c r="AZ93" s="2936"/>
      <c r="BA93" s="2936"/>
      <c r="BB93" s="2937"/>
      <c r="BC93" s="1144"/>
      <c r="BD93" s="1144"/>
      <c r="BE93" s="1150"/>
    </row>
    <row r="94" spans="1:57" ht="15.75" customHeight="1">
      <c r="A94" s="1144"/>
      <c r="B94" s="1144"/>
      <c r="C94" s="1144"/>
      <c r="D94" s="1144"/>
      <c r="E94" s="1144"/>
      <c r="F94" s="1144"/>
      <c r="G94" s="1144"/>
      <c r="H94" s="1144"/>
      <c r="I94" s="1144"/>
      <c r="J94" s="1144"/>
      <c r="K94" s="1144"/>
      <c r="L94" s="1144"/>
      <c r="M94" s="1144"/>
      <c r="N94" s="1144"/>
      <c r="O94" s="1144"/>
      <c r="P94" s="1144"/>
      <c r="Q94" s="1144"/>
      <c r="R94" s="1144"/>
      <c r="S94" s="1144"/>
      <c r="T94" s="1144"/>
      <c r="U94" s="1144" t="s">
        <v>255</v>
      </c>
      <c r="V94" s="1144"/>
      <c r="W94" s="1144"/>
      <c r="X94" s="1144"/>
      <c r="Y94" s="1144"/>
      <c r="Z94" s="1144"/>
      <c r="AA94" s="1144"/>
      <c r="AB94" s="1144"/>
      <c r="AC94" s="1144"/>
      <c r="AD94" s="1144"/>
      <c r="AE94" s="1144"/>
      <c r="AF94" s="1144"/>
      <c r="AG94" s="1144"/>
      <c r="AH94" s="1144"/>
      <c r="AI94" s="1144"/>
      <c r="AJ94" s="1144"/>
      <c r="AK94" s="1144"/>
      <c r="AL94" s="1144"/>
      <c r="AM94" s="1144"/>
      <c r="AN94" s="1144"/>
      <c r="AO94" s="1144"/>
      <c r="AP94" s="1144"/>
      <c r="AQ94" s="1144"/>
      <c r="AR94" s="1144"/>
      <c r="AS94" s="1144"/>
      <c r="AT94" s="1144"/>
      <c r="AU94" s="1144"/>
      <c r="AV94" s="1144"/>
      <c r="AW94" s="1144"/>
      <c r="AX94" s="1144"/>
      <c r="AY94" s="1144"/>
      <c r="AZ94" s="1144"/>
      <c r="BA94" s="1144"/>
      <c r="BB94" s="1144"/>
      <c r="BC94" s="1144"/>
      <c r="BD94" s="1144"/>
      <c r="BE94" s="1150"/>
    </row>
    <row r="95" spans="1:57" ht="15.75" customHeight="1" thickBot="1">
      <c r="A95" s="1144"/>
      <c r="B95" s="1154" t="s">
        <v>1940</v>
      </c>
      <c r="R95" s="1144"/>
      <c r="S95" s="1144"/>
      <c r="T95" s="1144"/>
      <c r="U95" s="1144"/>
      <c r="V95" s="1144"/>
      <c r="W95" s="1144"/>
      <c r="X95" s="1144"/>
      <c r="Y95" s="1144"/>
      <c r="Z95" s="1144"/>
      <c r="AA95" s="1144"/>
      <c r="AB95" s="1144"/>
      <c r="AC95" s="1144"/>
      <c r="AD95" s="1144"/>
      <c r="AE95" s="1144"/>
      <c r="AF95" s="1144"/>
      <c r="AG95" s="1144"/>
      <c r="AH95" s="1144"/>
      <c r="AI95" s="1144"/>
      <c r="AJ95" s="1144"/>
      <c r="AK95" s="1144"/>
      <c r="AL95" s="1144"/>
      <c r="AM95" s="1144"/>
      <c r="AN95" s="1144"/>
      <c r="AO95" s="1144"/>
      <c r="AP95" s="1144"/>
      <c r="AQ95" s="1144"/>
      <c r="AR95" s="1144"/>
      <c r="AS95" s="1144"/>
      <c r="AT95" s="1144"/>
      <c r="AU95" s="1144"/>
      <c r="AV95" s="1144"/>
      <c r="AW95" s="1144"/>
      <c r="AX95" s="1144"/>
      <c r="AY95" s="1144"/>
      <c r="AZ95" s="1144"/>
      <c r="BA95" s="1144"/>
      <c r="BB95" s="1144"/>
      <c r="BC95" s="1144"/>
      <c r="BD95" s="1144"/>
      <c r="BE95" s="1150"/>
    </row>
    <row r="96" spans="1:57" ht="15.75" customHeight="1" thickBot="1">
      <c r="A96" s="1144"/>
      <c r="B96" s="1144"/>
      <c r="C96" s="1144"/>
      <c r="D96" s="1144"/>
      <c r="E96" s="1144"/>
      <c r="F96" s="1144"/>
      <c r="G96" s="1144"/>
      <c r="H96" s="1144"/>
      <c r="I96" s="1144"/>
      <c r="J96" s="1144"/>
      <c r="K96" s="1144"/>
      <c r="L96" s="1144"/>
      <c r="M96" s="1144"/>
      <c r="N96" s="1144"/>
      <c r="O96" s="1144"/>
      <c r="P96" s="1157"/>
      <c r="Q96" s="1144"/>
      <c r="R96" s="1144"/>
      <c r="S96" s="1144"/>
      <c r="T96" s="1144"/>
      <c r="U96" s="1144"/>
      <c r="V96" s="1144"/>
      <c r="W96" s="1144"/>
      <c r="X96" s="2969" t="s">
        <v>2300</v>
      </c>
      <c r="Y96" s="2970"/>
      <c r="Z96" s="2970"/>
      <c r="AA96" s="2970"/>
      <c r="AB96" s="2970"/>
      <c r="AC96" s="2970"/>
      <c r="AD96" s="2970"/>
      <c r="AE96" s="2970"/>
      <c r="AF96" s="2970"/>
      <c r="AG96" s="2970"/>
      <c r="AH96" s="2970"/>
      <c r="AI96" s="2970"/>
      <c r="AJ96" s="2970"/>
      <c r="AK96" s="2970"/>
      <c r="AL96" s="2970"/>
      <c r="AM96" s="2970"/>
      <c r="AN96" s="2970"/>
      <c r="AO96" s="2970"/>
      <c r="AP96" s="2970"/>
      <c r="AQ96" s="2970"/>
      <c r="AR96" s="2970"/>
      <c r="AS96" s="2970"/>
      <c r="AT96" s="2970"/>
      <c r="AU96" s="2970"/>
      <c r="AV96" s="2970"/>
      <c r="AW96" s="2970"/>
      <c r="AX96" s="2970"/>
      <c r="AY96" s="2970"/>
      <c r="AZ96" s="2970"/>
      <c r="BA96" s="2970"/>
      <c r="BB96" s="2970"/>
      <c r="BC96" s="2970"/>
      <c r="BD96" s="2971"/>
      <c r="BE96" s="1150"/>
    </row>
    <row r="97" spans="1:57" ht="15.75" customHeight="1" thickBot="1">
      <c r="A97" s="1144"/>
      <c r="B97" s="2705" t="s">
        <v>1776</v>
      </c>
      <c r="C97" s="2706"/>
      <c r="D97" s="2706"/>
      <c r="E97" s="2706"/>
      <c r="F97" s="2706"/>
      <c r="G97" s="2706"/>
      <c r="H97" s="2706"/>
      <c r="I97" s="2706"/>
      <c r="J97" s="2706"/>
      <c r="K97" s="2706"/>
      <c r="L97" s="2706"/>
      <c r="M97" s="2706"/>
      <c r="N97" s="2706"/>
      <c r="O97" s="2706"/>
      <c r="P97" s="2706"/>
      <c r="Q97" s="2706"/>
      <c r="R97" s="2706"/>
      <c r="S97" s="2706"/>
      <c r="T97" s="2706"/>
      <c r="U97" s="2707"/>
      <c r="V97" s="1144"/>
      <c r="W97" s="1144"/>
      <c r="X97" s="2972"/>
      <c r="Y97" s="2973"/>
      <c r="Z97" s="2973"/>
      <c r="AA97" s="2973"/>
      <c r="AB97" s="2973"/>
      <c r="AC97" s="2973"/>
      <c r="AD97" s="2973"/>
      <c r="AE97" s="2973"/>
      <c r="AF97" s="2973"/>
      <c r="AG97" s="2973"/>
      <c r="AH97" s="2973"/>
      <c r="AI97" s="2973"/>
      <c r="AJ97" s="2973"/>
      <c r="AK97" s="2973"/>
      <c r="AL97" s="2973"/>
      <c r="AM97" s="2973"/>
      <c r="AN97" s="2973"/>
      <c r="AO97" s="2973"/>
      <c r="AP97" s="2973"/>
      <c r="AQ97" s="2973"/>
      <c r="AR97" s="2973"/>
      <c r="AS97" s="2973"/>
      <c r="AT97" s="2973"/>
      <c r="AU97" s="2973"/>
      <c r="AV97" s="2973"/>
      <c r="AW97" s="2973"/>
      <c r="AX97" s="2973"/>
      <c r="AY97" s="2973"/>
      <c r="AZ97" s="2973"/>
      <c r="BA97" s="2973"/>
      <c r="BB97" s="2973"/>
      <c r="BC97" s="2973"/>
      <c r="BD97" s="2974"/>
      <c r="BE97" s="1150"/>
    </row>
    <row r="98" spans="1:57" ht="15.75" customHeight="1" thickBot="1">
      <c r="A98" s="1144"/>
      <c r="B98" s="2705"/>
      <c r="C98" s="2706"/>
      <c r="D98" s="2706"/>
      <c r="E98" s="2706"/>
      <c r="F98" s="2706"/>
      <c r="G98" s="2706"/>
      <c r="H98" s="2707"/>
      <c r="I98" s="2705" t="s">
        <v>2301</v>
      </c>
      <c r="J98" s="2706"/>
      <c r="K98" s="2706"/>
      <c r="L98" s="2706"/>
      <c r="M98" s="2706"/>
      <c r="N98" s="2707"/>
      <c r="O98" s="2975" t="s">
        <v>2302</v>
      </c>
      <c r="P98" s="2976"/>
      <c r="Q98" s="2976"/>
      <c r="R98" s="2976"/>
      <c r="S98" s="2976"/>
      <c r="T98" s="2976"/>
      <c r="U98" s="2977"/>
      <c r="V98" s="1144"/>
      <c r="W98" s="1144"/>
      <c r="X98" s="2891" t="s">
        <v>2316</v>
      </c>
      <c r="Y98" s="2892"/>
      <c r="Z98" s="2892"/>
      <c r="AA98" s="2892"/>
      <c r="AB98" s="2892"/>
      <c r="AC98" s="2892"/>
      <c r="AD98" s="2892"/>
      <c r="AE98" s="2892"/>
      <c r="AF98" s="2892"/>
      <c r="AG98" s="2892"/>
      <c r="AH98" s="2892"/>
      <c r="AI98" s="2892"/>
      <c r="AJ98" s="2892"/>
      <c r="AK98" s="2892"/>
      <c r="AL98" s="2892"/>
      <c r="AM98" s="2892"/>
      <c r="AN98" s="2892"/>
      <c r="AO98" s="2892"/>
      <c r="AP98" s="2892"/>
      <c r="AQ98" s="2892"/>
      <c r="AR98" s="2892"/>
      <c r="AS98" s="2892"/>
      <c r="AT98" s="2892"/>
      <c r="AU98" s="2892"/>
      <c r="AV98" s="2892"/>
      <c r="AW98" s="2892"/>
      <c r="AX98" s="2892"/>
      <c r="AY98" s="2892"/>
      <c r="AZ98" s="2892"/>
      <c r="BA98" s="2892"/>
      <c r="BB98" s="2892"/>
      <c r="BC98" s="2892"/>
      <c r="BD98" s="2893"/>
      <c r="BE98" s="1150"/>
    </row>
    <row r="99" spans="1:57" ht="15.75" customHeight="1" thickBot="1">
      <c r="A99" s="1144"/>
      <c r="B99" s="2978" t="s">
        <v>2303</v>
      </c>
      <c r="C99" s="2979"/>
      <c r="D99" s="2979"/>
      <c r="E99" s="2979"/>
      <c r="F99" s="2979"/>
      <c r="G99" s="2979"/>
      <c r="H99" s="2980"/>
      <c r="I99" s="2981"/>
      <c r="J99" s="2931"/>
      <c r="K99" s="2931"/>
      <c r="L99" s="2931"/>
      <c r="M99" s="2931"/>
      <c r="N99" s="2931"/>
      <c r="O99" s="2931"/>
      <c r="P99" s="2931"/>
      <c r="Q99" s="2931"/>
      <c r="R99" s="2931"/>
      <c r="S99" s="2931"/>
      <c r="T99" s="2931"/>
      <c r="U99" s="2982"/>
      <c r="V99" s="1144"/>
      <c r="W99" s="1144"/>
      <c r="X99" s="2891"/>
      <c r="Y99" s="2892"/>
      <c r="Z99" s="2892"/>
      <c r="AA99" s="2892"/>
      <c r="AB99" s="2892"/>
      <c r="AC99" s="2892"/>
      <c r="AD99" s="2892"/>
      <c r="AE99" s="2892"/>
      <c r="AF99" s="2892"/>
      <c r="AG99" s="2892"/>
      <c r="AH99" s="2892"/>
      <c r="AI99" s="2892"/>
      <c r="AJ99" s="2892"/>
      <c r="AK99" s="2892"/>
      <c r="AL99" s="2892"/>
      <c r="AM99" s="2892"/>
      <c r="AN99" s="2892"/>
      <c r="AO99" s="2892"/>
      <c r="AP99" s="2892"/>
      <c r="AQ99" s="2892"/>
      <c r="AR99" s="2892"/>
      <c r="AS99" s="2892"/>
      <c r="AT99" s="2892"/>
      <c r="AU99" s="2892"/>
      <c r="AV99" s="2892"/>
      <c r="AW99" s="2892"/>
      <c r="AX99" s="2892"/>
      <c r="AY99" s="2892"/>
      <c r="AZ99" s="2892"/>
      <c r="BA99" s="2892"/>
      <c r="BB99" s="2892"/>
      <c r="BC99" s="2892"/>
      <c r="BD99" s="2893"/>
      <c r="BE99" s="1150"/>
    </row>
    <row r="100" spans="1:57" ht="15.75" customHeight="1" thickBot="1">
      <c r="A100" s="1144"/>
      <c r="B100" s="2978" t="s">
        <v>2304</v>
      </c>
      <c r="C100" s="2979"/>
      <c r="D100" s="2979"/>
      <c r="E100" s="2979"/>
      <c r="F100" s="2979"/>
      <c r="G100" s="2979"/>
      <c r="H100" s="2980"/>
      <c r="I100" s="2949"/>
      <c r="J100" s="2942"/>
      <c r="K100" s="2942"/>
      <c r="L100" s="2942"/>
      <c r="M100" s="2942"/>
      <c r="N100" s="2942"/>
      <c r="O100" s="2950"/>
      <c r="P100" s="2950"/>
      <c r="Q100" s="2950"/>
      <c r="R100" s="2950"/>
      <c r="S100" s="2950"/>
      <c r="T100" s="2950"/>
      <c r="U100" s="2951"/>
      <c r="V100" s="1144"/>
      <c r="W100" s="1144"/>
      <c r="X100" s="2891"/>
      <c r="Y100" s="2892"/>
      <c r="Z100" s="2892"/>
      <c r="AA100" s="2892"/>
      <c r="AB100" s="2892"/>
      <c r="AC100" s="2892"/>
      <c r="AD100" s="2892"/>
      <c r="AE100" s="2892"/>
      <c r="AF100" s="2892"/>
      <c r="AG100" s="2892"/>
      <c r="AH100" s="2892"/>
      <c r="AI100" s="2892"/>
      <c r="AJ100" s="2892"/>
      <c r="AK100" s="2892"/>
      <c r="AL100" s="2892"/>
      <c r="AM100" s="2892"/>
      <c r="AN100" s="2892"/>
      <c r="AO100" s="2892"/>
      <c r="AP100" s="2892"/>
      <c r="AQ100" s="2892"/>
      <c r="AR100" s="2892"/>
      <c r="AS100" s="2892"/>
      <c r="AT100" s="2892"/>
      <c r="AU100" s="2892"/>
      <c r="AV100" s="2892"/>
      <c r="AW100" s="2892"/>
      <c r="AX100" s="2892"/>
      <c r="AY100" s="2892"/>
      <c r="AZ100" s="2892"/>
      <c r="BA100" s="2892"/>
      <c r="BB100" s="2892"/>
      <c r="BC100" s="2892"/>
      <c r="BD100" s="2893"/>
      <c r="BE100" s="1150"/>
    </row>
    <row r="101" spans="1:57" ht="15.75" customHeight="1">
      <c r="A101" s="1144"/>
      <c r="B101" s="1144"/>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2891"/>
      <c r="Y101" s="2892"/>
      <c r="Z101" s="2892"/>
      <c r="AA101" s="2892"/>
      <c r="AB101" s="2892"/>
      <c r="AC101" s="2892"/>
      <c r="AD101" s="2892"/>
      <c r="AE101" s="2892"/>
      <c r="AF101" s="2892"/>
      <c r="AG101" s="2892"/>
      <c r="AH101" s="2892"/>
      <c r="AI101" s="2892"/>
      <c r="AJ101" s="2892"/>
      <c r="AK101" s="2892"/>
      <c r="AL101" s="2892"/>
      <c r="AM101" s="2892"/>
      <c r="AN101" s="2892"/>
      <c r="AO101" s="2892"/>
      <c r="AP101" s="2892"/>
      <c r="AQ101" s="2892"/>
      <c r="AR101" s="2892"/>
      <c r="AS101" s="2892"/>
      <c r="AT101" s="2892"/>
      <c r="AU101" s="2892"/>
      <c r="AV101" s="2892"/>
      <c r="AW101" s="2892"/>
      <c r="AX101" s="2892"/>
      <c r="AY101" s="2892"/>
      <c r="AZ101" s="2892"/>
      <c r="BA101" s="2892"/>
      <c r="BB101" s="2892"/>
      <c r="BC101" s="2892"/>
      <c r="BD101" s="2893"/>
      <c r="BE101" s="1150"/>
    </row>
    <row r="102" spans="1:57" ht="15.75" customHeight="1">
      <c r="A102" s="1144"/>
      <c r="B102" s="1155" t="s">
        <v>1941</v>
      </c>
      <c r="C102" s="1155"/>
      <c r="D102" s="1155"/>
      <c r="E102" s="1155"/>
      <c r="F102" s="1155"/>
      <c r="G102" s="1155"/>
      <c r="H102" s="1155"/>
      <c r="I102" s="1155"/>
      <c r="J102" s="1155"/>
      <c r="K102" s="1155"/>
      <c r="L102" s="1155"/>
      <c r="M102" s="1155"/>
      <c r="N102" s="1155"/>
      <c r="O102" s="1155"/>
      <c r="P102" s="1155"/>
      <c r="Q102" s="1151"/>
      <c r="R102" s="1151"/>
      <c r="S102" s="1144"/>
      <c r="T102" s="1144"/>
      <c r="U102" s="1144"/>
      <c r="V102" s="1144" t="s">
        <v>255</v>
      </c>
      <c r="W102" s="1144"/>
      <c r="X102" s="2891"/>
      <c r="Y102" s="2892"/>
      <c r="Z102" s="2892"/>
      <c r="AA102" s="2892"/>
      <c r="AB102" s="2892"/>
      <c r="AC102" s="2892"/>
      <c r="AD102" s="2892"/>
      <c r="AE102" s="2892"/>
      <c r="AF102" s="2892"/>
      <c r="AG102" s="2892"/>
      <c r="AH102" s="2892"/>
      <c r="AI102" s="2892"/>
      <c r="AJ102" s="2892"/>
      <c r="AK102" s="2892"/>
      <c r="AL102" s="2892"/>
      <c r="AM102" s="2892"/>
      <c r="AN102" s="2892"/>
      <c r="AO102" s="2892"/>
      <c r="AP102" s="2892"/>
      <c r="AQ102" s="2892"/>
      <c r="AR102" s="2892"/>
      <c r="AS102" s="2892"/>
      <c r="AT102" s="2892"/>
      <c r="AU102" s="2892"/>
      <c r="AV102" s="2892"/>
      <c r="AW102" s="2892"/>
      <c r="AX102" s="2892"/>
      <c r="AY102" s="2892"/>
      <c r="AZ102" s="2892"/>
      <c r="BA102" s="2892"/>
      <c r="BB102" s="2892"/>
      <c r="BC102" s="2892"/>
      <c r="BD102" s="2893"/>
      <c r="BE102" s="1150"/>
    </row>
    <row r="103" spans="1:57" ht="15.75" customHeight="1" thickBot="1">
      <c r="A103" s="1144"/>
      <c r="B103" s="1144"/>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2891"/>
      <c r="Y103" s="2892"/>
      <c r="Z103" s="2892"/>
      <c r="AA103" s="2892"/>
      <c r="AB103" s="2892"/>
      <c r="AC103" s="2892"/>
      <c r="AD103" s="2892"/>
      <c r="AE103" s="2892"/>
      <c r="AF103" s="2892"/>
      <c r="AG103" s="2892"/>
      <c r="AH103" s="2892"/>
      <c r="AI103" s="2892"/>
      <c r="AJ103" s="2892"/>
      <c r="AK103" s="2892"/>
      <c r="AL103" s="2892"/>
      <c r="AM103" s="2892"/>
      <c r="AN103" s="2892"/>
      <c r="AO103" s="2892"/>
      <c r="AP103" s="2892"/>
      <c r="AQ103" s="2892"/>
      <c r="AR103" s="2892"/>
      <c r="AS103" s="2892"/>
      <c r="AT103" s="2892"/>
      <c r="AU103" s="2892"/>
      <c r="AV103" s="2892"/>
      <c r="AW103" s="2892"/>
      <c r="AX103" s="2892"/>
      <c r="AY103" s="2892"/>
      <c r="AZ103" s="2892"/>
      <c r="BA103" s="2892"/>
      <c r="BB103" s="2892"/>
      <c r="BC103" s="2892"/>
      <c r="BD103" s="2893"/>
      <c r="BE103" s="1150"/>
    </row>
    <row r="104" spans="1:57" ht="15.75" customHeight="1">
      <c r="A104" s="1144"/>
      <c r="B104" s="2732" t="s">
        <v>1942</v>
      </c>
      <c r="C104" s="2733"/>
      <c r="D104" s="2733"/>
      <c r="E104" s="2733"/>
      <c r="F104" s="2733"/>
      <c r="G104" s="2733"/>
      <c r="H104" s="2733"/>
      <c r="I104" s="2733"/>
      <c r="J104" s="2733"/>
      <c r="K104" s="2733"/>
      <c r="L104" s="2733"/>
      <c r="M104" s="2733"/>
      <c r="N104" s="2733"/>
      <c r="O104" s="2733"/>
      <c r="P104" s="2733"/>
      <c r="Q104" s="2733"/>
      <c r="R104" s="2733"/>
      <c r="S104" s="2733"/>
      <c r="T104" s="2733"/>
      <c r="U104" s="2952"/>
      <c r="V104" s="1144"/>
      <c r="W104" s="1144"/>
      <c r="X104" s="2891"/>
      <c r="Y104" s="2892"/>
      <c r="Z104" s="2892"/>
      <c r="AA104" s="2892"/>
      <c r="AB104" s="2892"/>
      <c r="AC104" s="2892"/>
      <c r="AD104" s="2892"/>
      <c r="AE104" s="2892"/>
      <c r="AF104" s="2892"/>
      <c r="AG104" s="2892"/>
      <c r="AH104" s="2892"/>
      <c r="AI104" s="2892"/>
      <c r="AJ104" s="2892"/>
      <c r="AK104" s="2892"/>
      <c r="AL104" s="2892"/>
      <c r="AM104" s="2892"/>
      <c r="AN104" s="2892"/>
      <c r="AO104" s="2892"/>
      <c r="AP104" s="2892"/>
      <c r="AQ104" s="2892"/>
      <c r="AR104" s="2892"/>
      <c r="AS104" s="2892"/>
      <c r="AT104" s="2892"/>
      <c r="AU104" s="2892"/>
      <c r="AV104" s="2892"/>
      <c r="AW104" s="2892"/>
      <c r="AX104" s="2892"/>
      <c r="AY104" s="2892"/>
      <c r="AZ104" s="2892"/>
      <c r="BA104" s="2892"/>
      <c r="BB104" s="2892"/>
      <c r="BC104" s="2892"/>
      <c r="BD104" s="2893"/>
      <c r="BE104" s="1150"/>
    </row>
    <row r="105" spans="1:57" ht="15.75" customHeight="1">
      <c r="A105" s="1144"/>
      <c r="B105" s="2953"/>
      <c r="C105" s="2954"/>
      <c r="D105" s="2954"/>
      <c r="E105" s="2954"/>
      <c r="F105" s="2954"/>
      <c r="G105" s="2954"/>
      <c r="H105" s="2955"/>
      <c r="I105" s="2957" t="s">
        <v>1935</v>
      </c>
      <c r="J105" s="2958"/>
      <c r="K105" s="2958"/>
      <c r="L105" s="2958"/>
      <c r="M105" s="2958"/>
      <c r="N105" s="2958"/>
      <c r="O105" s="2959"/>
      <c r="P105" s="2963" t="s">
        <v>2318</v>
      </c>
      <c r="Q105" s="2964"/>
      <c r="R105" s="2964"/>
      <c r="S105" s="2964"/>
      <c r="T105" s="2964"/>
      <c r="U105" s="2965"/>
      <c r="V105" s="1144"/>
      <c r="W105" s="1144"/>
      <c r="X105" s="2891"/>
      <c r="Y105" s="2892"/>
      <c r="Z105" s="2892"/>
      <c r="AA105" s="2892"/>
      <c r="AB105" s="2892"/>
      <c r="AC105" s="2892"/>
      <c r="AD105" s="2892"/>
      <c r="AE105" s="2892"/>
      <c r="AF105" s="2892"/>
      <c r="AG105" s="2892"/>
      <c r="AH105" s="2892"/>
      <c r="AI105" s="2892"/>
      <c r="AJ105" s="2892"/>
      <c r="AK105" s="2892"/>
      <c r="AL105" s="2892"/>
      <c r="AM105" s="2892"/>
      <c r="AN105" s="2892"/>
      <c r="AO105" s="2892"/>
      <c r="AP105" s="2892"/>
      <c r="AQ105" s="2892"/>
      <c r="AR105" s="2892"/>
      <c r="AS105" s="2892"/>
      <c r="AT105" s="2892"/>
      <c r="AU105" s="2892"/>
      <c r="AV105" s="2892"/>
      <c r="AW105" s="2892"/>
      <c r="AX105" s="2892"/>
      <c r="AY105" s="2892"/>
      <c r="AZ105" s="2892"/>
      <c r="BA105" s="2892"/>
      <c r="BB105" s="2892"/>
      <c r="BC105" s="2892"/>
      <c r="BD105" s="2893"/>
      <c r="BE105" s="1150"/>
    </row>
    <row r="106" spans="1:57" ht="15.75" customHeight="1" thickBot="1">
      <c r="A106" s="1144"/>
      <c r="B106" s="2922"/>
      <c r="C106" s="2923"/>
      <c r="D106" s="2923"/>
      <c r="E106" s="2923"/>
      <c r="F106" s="2923"/>
      <c r="G106" s="2923"/>
      <c r="H106" s="2956"/>
      <c r="I106" s="2960"/>
      <c r="J106" s="2961"/>
      <c r="K106" s="2961"/>
      <c r="L106" s="2961"/>
      <c r="M106" s="2961"/>
      <c r="N106" s="2961"/>
      <c r="O106" s="2962"/>
      <c r="P106" s="2966"/>
      <c r="Q106" s="2967"/>
      <c r="R106" s="2967"/>
      <c r="S106" s="2967"/>
      <c r="T106" s="2967"/>
      <c r="U106" s="2968"/>
      <c r="V106" s="1144"/>
      <c r="W106" s="1144"/>
      <c r="X106" s="2891"/>
      <c r="Y106" s="2892"/>
      <c r="Z106" s="2892"/>
      <c r="AA106" s="2892"/>
      <c r="AB106" s="2892"/>
      <c r="AC106" s="2892"/>
      <c r="AD106" s="2892"/>
      <c r="AE106" s="2892"/>
      <c r="AF106" s="2892"/>
      <c r="AG106" s="2892"/>
      <c r="AH106" s="2892"/>
      <c r="AI106" s="2892"/>
      <c r="AJ106" s="2892"/>
      <c r="AK106" s="2892"/>
      <c r="AL106" s="2892"/>
      <c r="AM106" s="2892"/>
      <c r="AN106" s="2892"/>
      <c r="AO106" s="2892"/>
      <c r="AP106" s="2892"/>
      <c r="AQ106" s="2892"/>
      <c r="AR106" s="2892"/>
      <c r="AS106" s="2892"/>
      <c r="AT106" s="2892"/>
      <c r="AU106" s="2892"/>
      <c r="AV106" s="2892"/>
      <c r="AW106" s="2892"/>
      <c r="AX106" s="2892"/>
      <c r="AY106" s="2892"/>
      <c r="AZ106" s="2892"/>
      <c r="BA106" s="2892"/>
      <c r="BB106" s="2892"/>
      <c r="BC106" s="2892"/>
      <c r="BD106" s="2893"/>
      <c r="BE106" s="1150"/>
    </row>
    <row r="107" spans="1:57" ht="15.75" customHeight="1" thickBot="1">
      <c r="A107" s="1144"/>
      <c r="B107" s="2978" t="s">
        <v>2303</v>
      </c>
      <c r="C107" s="2979"/>
      <c r="D107" s="2979"/>
      <c r="E107" s="2979"/>
      <c r="F107" s="2979"/>
      <c r="G107" s="2979"/>
      <c r="H107" s="2980"/>
      <c r="I107" s="2999"/>
      <c r="J107" s="3000"/>
      <c r="K107" s="3000"/>
      <c r="L107" s="3000"/>
      <c r="M107" s="3000"/>
      <c r="N107" s="3000"/>
      <c r="O107" s="3001"/>
      <c r="P107" s="2999"/>
      <c r="Q107" s="3000"/>
      <c r="R107" s="3000"/>
      <c r="S107" s="3000"/>
      <c r="T107" s="3000"/>
      <c r="U107" s="3001"/>
      <c r="V107" s="1144"/>
      <c r="W107" s="1144"/>
      <c r="X107" s="2891"/>
      <c r="Y107" s="2892"/>
      <c r="Z107" s="2892"/>
      <c r="AA107" s="2892"/>
      <c r="AB107" s="2892"/>
      <c r="AC107" s="2892"/>
      <c r="AD107" s="2892"/>
      <c r="AE107" s="2892"/>
      <c r="AF107" s="2892"/>
      <c r="AG107" s="2892"/>
      <c r="AH107" s="2892"/>
      <c r="AI107" s="2892"/>
      <c r="AJ107" s="2892"/>
      <c r="AK107" s="2892"/>
      <c r="AL107" s="2892"/>
      <c r="AM107" s="2892"/>
      <c r="AN107" s="2892"/>
      <c r="AO107" s="2892"/>
      <c r="AP107" s="2892"/>
      <c r="AQ107" s="2892"/>
      <c r="AR107" s="2892"/>
      <c r="AS107" s="2892"/>
      <c r="AT107" s="2892"/>
      <c r="AU107" s="2892"/>
      <c r="AV107" s="2892"/>
      <c r="AW107" s="2892"/>
      <c r="AX107" s="2892"/>
      <c r="AY107" s="2892"/>
      <c r="AZ107" s="2892"/>
      <c r="BA107" s="2892"/>
      <c r="BB107" s="2892"/>
      <c r="BC107" s="2892"/>
      <c r="BD107" s="2893"/>
      <c r="BE107" s="1150"/>
    </row>
    <row r="108" spans="1:57" ht="15.75" customHeight="1" thickBot="1">
      <c r="A108" s="1144"/>
      <c r="B108" s="2978" t="s">
        <v>2304</v>
      </c>
      <c r="C108" s="2979"/>
      <c r="D108" s="2979"/>
      <c r="E108" s="2979"/>
      <c r="F108" s="2979"/>
      <c r="G108" s="2979"/>
      <c r="H108" s="2980"/>
      <c r="I108" s="2999"/>
      <c r="J108" s="3000"/>
      <c r="K108" s="3000"/>
      <c r="L108" s="3000"/>
      <c r="M108" s="3000"/>
      <c r="N108" s="3000"/>
      <c r="O108" s="3001"/>
      <c r="P108" s="2999"/>
      <c r="Q108" s="3000"/>
      <c r="R108" s="3000"/>
      <c r="S108" s="3000"/>
      <c r="T108" s="3000"/>
      <c r="U108" s="3001"/>
      <c r="V108" s="1144"/>
      <c r="W108" s="1144"/>
      <c r="X108" s="2894"/>
      <c r="Y108" s="2895"/>
      <c r="Z108" s="2895"/>
      <c r="AA108" s="2895"/>
      <c r="AB108" s="2895"/>
      <c r="AC108" s="2895"/>
      <c r="AD108" s="2895"/>
      <c r="AE108" s="2895"/>
      <c r="AF108" s="2895"/>
      <c r="AG108" s="2895"/>
      <c r="AH108" s="2895"/>
      <c r="AI108" s="2895"/>
      <c r="AJ108" s="2895"/>
      <c r="AK108" s="2895"/>
      <c r="AL108" s="2895"/>
      <c r="AM108" s="2895"/>
      <c r="AN108" s="2895"/>
      <c r="AO108" s="2895"/>
      <c r="AP108" s="2895"/>
      <c r="AQ108" s="2895"/>
      <c r="AR108" s="2895"/>
      <c r="AS108" s="2895"/>
      <c r="AT108" s="2895"/>
      <c r="AU108" s="2895"/>
      <c r="AV108" s="2895"/>
      <c r="AW108" s="2895"/>
      <c r="AX108" s="2895"/>
      <c r="AY108" s="2895"/>
      <c r="AZ108" s="2895"/>
      <c r="BA108" s="2895"/>
      <c r="BB108" s="2895"/>
      <c r="BC108" s="2895"/>
      <c r="BD108" s="2896"/>
      <c r="BE108" s="1150"/>
    </row>
    <row r="109" spans="1:57" ht="15.75" customHeight="1" thickBot="1">
      <c r="A109" s="1144"/>
      <c r="B109" s="1144"/>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c r="AE109" s="1144"/>
      <c r="AF109" s="1144"/>
      <c r="AG109" s="1144"/>
      <c r="AH109" s="1144"/>
      <c r="AI109" s="1144"/>
      <c r="AJ109" s="1144"/>
      <c r="AK109" s="1144"/>
      <c r="AL109" s="1144"/>
      <c r="AM109" s="1144"/>
      <c r="AN109" s="1144"/>
      <c r="AO109" s="1144"/>
      <c r="AP109" s="1144"/>
      <c r="AQ109" s="1144"/>
      <c r="AR109" s="1144"/>
      <c r="AS109" s="1144"/>
      <c r="AT109" s="1144"/>
      <c r="AU109" s="1144"/>
      <c r="AV109" s="1144"/>
      <c r="AW109" s="1144"/>
      <c r="AX109" s="1144"/>
      <c r="AY109" s="1144"/>
      <c r="AZ109" s="1144"/>
      <c r="BA109" s="1144"/>
      <c r="BB109" s="1144"/>
      <c r="BC109" s="1144"/>
      <c r="BD109" s="1144"/>
      <c r="BE109" s="1150"/>
    </row>
    <row r="110" spans="1:57" ht="15.75" customHeight="1" thickBot="1">
      <c r="A110" s="1144"/>
      <c r="B110" s="2827" t="s">
        <v>1943</v>
      </c>
      <c r="C110" s="2828"/>
      <c r="D110" s="2828"/>
      <c r="E110" s="2828"/>
      <c r="F110" s="2828"/>
      <c r="G110" s="2828"/>
      <c r="H110" s="2828"/>
      <c r="I110" s="2828"/>
      <c r="J110" s="2828"/>
      <c r="K110" s="2828"/>
      <c r="L110" s="2828"/>
      <c r="M110" s="2828"/>
      <c r="N110" s="2828"/>
      <c r="O110" s="2828"/>
      <c r="P110" s="2828"/>
      <c r="Q110" s="2828"/>
      <c r="R110" s="2983"/>
      <c r="S110" s="2983"/>
      <c r="T110" s="2983"/>
      <c r="U110" s="2983"/>
      <c r="V110" s="2983"/>
      <c r="W110" s="2983"/>
      <c r="X110" s="2983"/>
      <c r="Y110" s="2983"/>
      <c r="Z110" s="2983"/>
      <c r="AA110" s="2983"/>
      <c r="AB110" s="2983"/>
      <c r="AC110" s="2983"/>
      <c r="AD110" s="2983"/>
      <c r="AE110" s="2983"/>
      <c r="AF110" s="2983"/>
      <c r="AG110" s="2913" t="s">
        <v>1885</v>
      </c>
      <c r="AH110" s="2913"/>
      <c r="AI110" s="2913"/>
      <c r="AJ110" s="2914"/>
      <c r="AK110" s="1144"/>
      <c r="AL110" s="1144"/>
      <c r="AM110" s="1144"/>
      <c r="AN110" s="1144"/>
      <c r="AO110" s="1144"/>
      <c r="AP110" s="1144"/>
      <c r="AQ110" s="1144"/>
      <c r="AR110" s="1144"/>
      <c r="AS110" s="1144"/>
      <c r="AT110" s="1144"/>
      <c r="AU110" s="1144"/>
      <c r="AV110" s="1144"/>
      <c r="AW110" s="1144"/>
      <c r="AX110" s="1144"/>
      <c r="AY110" s="1144"/>
      <c r="AZ110" s="1144"/>
      <c r="BA110" s="1144"/>
      <c r="BB110" s="1144"/>
      <c r="BC110" s="1144"/>
      <c r="BD110" s="1144"/>
      <c r="BE110" s="1150"/>
    </row>
    <row r="111" spans="1:57" ht="15.75" customHeight="1" thickBot="1">
      <c r="A111" s="1144"/>
      <c r="B111" s="2984" t="s">
        <v>1944</v>
      </c>
      <c r="C111" s="2985"/>
      <c r="D111" s="2985"/>
      <c r="E111" s="2985"/>
      <c r="F111" s="2985"/>
      <c r="G111" s="2985"/>
      <c r="H111" s="2985"/>
      <c r="I111" s="2985"/>
      <c r="J111" s="2985"/>
      <c r="K111" s="2985"/>
      <c r="L111" s="2985"/>
      <c r="M111" s="2985"/>
      <c r="N111" s="2985"/>
      <c r="O111" s="2985"/>
      <c r="P111" s="2985"/>
      <c r="Q111" s="2986"/>
      <c r="R111" s="2987" t="s">
        <v>2321</v>
      </c>
      <c r="S111" s="2988"/>
      <c r="T111" s="2988"/>
      <c r="U111" s="2988"/>
      <c r="V111" s="2988"/>
      <c r="W111" s="2988"/>
      <c r="X111" s="2988"/>
      <c r="Y111" s="2988"/>
      <c r="Z111" s="2988"/>
      <c r="AA111" s="2988"/>
      <c r="AB111" s="2988"/>
      <c r="AC111" s="2988"/>
      <c r="AD111" s="2988"/>
      <c r="AE111" s="2988"/>
      <c r="AF111" s="2988"/>
      <c r="AG111" s="2988"/>
      <c r="AH111" s="2988"/>
      <c r="AI111" s="2988"/>
      <c r="AJ111" s="2988"/>
      <c r="AK111" s="2988"/>
      <c r="AL111" s="2988"/>
      <c r="AM111" s="2988"/>
      <c r="AN111" s="2988"/>
      <c r="AO111" s="2988"/>
      <c r="AP111" s="2988"/>
      <c r="AQ111" s="2988"/>
      <c r="AR111" s="2988"/>
      <c r="AS111" s="2988"/>
      <c r="AT111" s="2988"/>
      <c r="AU111" s="2988"/>
      <c r="AV111" s="2988"/>
      <c r="AW111" s="2988"/>
      <c r="AX111" s="2989"/>
      <c r="AY111" s="1144"/>
      <c r="AZ111" s="1144"/>
      <c r="BA111" s="1144"/>
      <c r="BB111" s="1144"/>
      <c r="BC111" s="1144" t="s">
        <v>255</v>
      </c>
      <c r="BD111" s="1144"/>
      <c r="BE111" s="1150"/>
    </row>
    <row r="112" spans="1:57" ht="15.75" customHeight="1">
      <c r="A112" s="1144"/>
      <c r="B112" s="2990" t="s">
        <v>2322</v>
      </c>
      <c r="C112" s="2991"/>
      <c r="D112" s="2991"/>
      <c r="E112" s="2991"/>
      <c r="F112" s="2991"/>
      <c r="G112" s="2991"/>
      <c r="H112" s="2991"/>
      <c r="I112" s="2991"/>
      <c r="J112" s="2991"/>
      <c r="K112" s="2991"/>
      <c r="L112" s="2991"/>
      <c r="M112" s="2991"/>
      <c r="N112" s="2991"/>
      <c r="O112" s="2991"/>
      <c r="P112" s="2991"/>
      <c r="Q112" s="2991"/>
      <c r="R112" s="2991"/>
      <c r="S112" s="2991"/>
      <c r="T112" s="2991"/>
      <c r="U112" s="2991"/>
      <c r="V112" s="2991"/>
      <c r="W112" s="2991"/>
      <c r="X112" s="2991"/>
      <c r="Y112" s="2991"/>
      <c r="Z112" s="2991"/>
      <c r="AA112" s="2991"/>
      <c r="AB112" s="2991"/>
      <c r="AC112" s="2991"/>
      <c r="AD112" s="2991"/>
      <c r="AE112" s="2991"/>
      <c r="AF112" s="2991"/>
      <c r="AG112" s="2991"/>
      <c r="AH112" s="2991"/>
      <c r="AI112" s="2991"/>
      <c r="AJ112" s="2991"/>
      <c r="AK112" s="2991"/>
      <c r="AL112" s="2991"/>
      <c r="AM112" s="2991"/>
      <c r="AN112" s="2991"/>
      <c r="AO112" s="2991"/>
      <c r="AP112" s="2991"/>
      <c r="AQ112" s="2991"/>
      <c r="AR112" s="2991"/>
      <c r="AS112" s="2991"/>
      <c r="AT112" s="2991"/>
      <c r="AU112" s="2991"/>
      <c r="AV112" s="2991"/>
      <c r="AW112" s="2991"/>
      <c r="AX112" s="2992"/>
      <c r="AY112" s="1144"/>
      <c r="AZ112" s="1144"/>
      <c r="BA112" s="1144"/>
      <c r="BB112" s="1144"/>
      <c r="BC112" s="1144"/>
      <c r="BD112" s="1144"/>
      <c r="BE112" s="1150"/>
    </row>
    <row r="113" spans="1:57" ht="15.75" customHeight="1">
      <c r="A113" s="1144"/>
      <c r="B113" s="2993"/>
      <c r="C113" s="2994"/>
      <c r="D113" s="2994"/>
      <c r="E113" s="2994"/>
      <c r="F113" s="2994"/>
      <c r="G113" s="2994"/>
      <c r="H113" s="2994"/>
      <c r="I113" s="2994"/>
      <c r="J113" s="2994"/>
      <c r="K113" s="2994"/>
      <c r="L113" s="2994"/>
      <c r="M113" s="2994"/>
      <c r="N113" s="2994"/>
      <c r="O113" s="2994"/>
      <c r="P113" s="2994"/>
      <c r="Q113" s="2994"/>
      <c r="R113" s="2994"/>
      <c r="S113" s="2994"/>
      <c r="T113" s="2994"/>
      <c r="U113" s="2994"/>
      <c r="V113" s="2994"/>
      <c r="W113" s="2994"/>
      <c r="X113" s="2994"/>
      <c r="Y113" s="2994"/>
      <c r="Z113" s="2994"/>
      <c r="AA113" s="2994"/>
      <c r="AB113" s="2994"/>
      <c r="AC113" s="2994"/>
      <c r="AD113" s="2994"/>
      <c r="AE113" s="2994"/>
      <c r="AF113" s="2994"/>
      <c r="AG113" s="2994"/>
      <c r="AH113" s="2994"/>
      <c r="AI113" s="2994"/>
      <c r="AJ113" s="2994"/>
      <c r="AK113" s="2994"/>
      <c r="AL113" s="2994"/>
      <c r="AM113" s="2994"/>
      <c r="AN113" s="2994"/>
      <c r="AO113" s="2994"/>
      <c r="AP113" s="2994"/>
      <c r="AQ113" s="2994"/>
      <c r="AR113" s="2994"/>
      <c r="AS113" s="2994"/>
      <c r="AT113" s="2994"/>
      <c r="AU113" s="2994"/>
      <c r="AV113" s="2994"/>
      <c r="AW113" s="2994"/>
      <c r="AX113" s="2995"/>
      <c r="AY113" s="1144"/>
      <c r="AZ113" s="1144"/>
      <c r="BA113" s="1144"/>
      <c r="BB113" s="1144"/>
      <c r="BC113" s="1144"/>
      <c r="BD113" s="1144"/>
      <c r="BE113" s="1150"/>
    </row>
    <row r="114" spans="1:57" ht="15.75" customHeight="1">
      <c r="A114" s="1144"/>
      <c r="B114" s="2993"/>
      <c r="C114" s="2994"/>
      <c r="D114" s="2994"/>
      <c r="E114" s="2994"/>
      <c r="F114" s="2994"/>
      <c r="G114" s="2994"/>
      <c r="H114" s="2994"/>
      <c r="I114" s="2994"/>
      <c r="J114" s="2994"/>
      <c r="K114" s="2994"/>
      <c r="L114" s="2994"/>
      <c r="M114" s="2994"/>
      <c r="N114" s="2994"/>
      <c r="O114" s="2994"/>
      <c r="P114" s="2994"/>
      <c r="Q114" s="2994"/>
      <c r="R114" s="2994"/>
      <c r="S114" s="2994"/>
      <c r="T114" s="2994"/>
      <c r="U114" s="2994"/>
      <c r="V114" s="2994"/>
      <c r="W114" s="2994"/>
      <c r="X114" s="2994"/>
      <c r="Y114" s="2994"/>
      <c r="Z114" s="2994"/>
      <c r="AA114" s="2994"/>
      <c r="AB114" s="2994"/>
      <c r="AC114" s="2994"/>
      <c r="AD114" s="2994"/>
      <c r="AE114" s="2994"/>
      <c r="AF114" s="2994"/>
      <c r="AG114" s="2994"/>
      <c r="AH114" s="2994"/>
      <c r="AI114" s="2994"/>
      <c r="AJ114" s="2994"/>
      <c r="AK114" s="2994"/>
      <c r="AL114" s="2994"/>
      <c r="AM114" s="2994"/>
      <c r="AN114" s="2994"/>
      <c r="AO114" s="2994"/>
      <c r="AP114" s="2994"/>
      <c r="AQ114" s="2994"/>
      <c r="AR114" s="2994"/>
      <c r="AS114" s="2994"/>
      <c r="AT114" s="2994"/>
      <c r="AU114" s="2994"/>
      <c r="AV114" s="2994"/>
      <c r="AW114" s="2994"/>
      <c r="AX114" s="2995"/>
      <c r="AY114" s="1144"/>
      <c r="AZ114" s="1144"/>
      <c r="BA114" s="1144"/>
      <c r="BB114" s="1144"/>
      <c r="BC114" s="1144"/>
      <c r="BD114" s="1144"/>
      <c r="BE114" s="1150"/>
    </row>
    <row r="115" spans="1:57" ht="15.75" customHeight="1">
      <c r="A115" s="1144"/>
      <c r="B115" s="2993"/>
      <c r="C115" s="2994"/>
      <c r="D115" s="2994"/>
      <c r="E115" s="2994"/>
      <c r="F115" s="2994"/>
      <c r="G115" s="2994"/>
      <c r="H115" s="2994"/>
      <c r="I115" s="2994"/>
      <c r="J115" s="2994"/>
      <c r="K115" s="2994"/>
      <c r="L115" s="2994"/>
      <c r="M115" s="2994"/>
      <c r="N115" s="2994"/>
      <c r="O115" s="2994"/>
      <c r="P115" s="2994"/>
      <c r="Q115" s="2994"/>
      <c r="R115" s="2994"/>
      <c r="S115" s="2994"/>
      <c r="T115" s="2994"/>
      <c r="U115" s="2994"/>
      <c r="V115" s="2994"/>
      <c r="W115" s="2994"/>
      <c r="X115" s="2994"/>
      <c r="Y115" s="2994"/>
      <c r="Z115" s="2994"/>
      <c r="AA115" s="2994"/>
      <c r="AB115" s="2994"/>
      <c r="AC115" s="2994"/>
      <c r="AD115" s="2994"/>
      <c r="AE115" s="2994"/>
      <c r="AF115" s="2994"/>
      <c r="AG115" s="2994"/>
      <c r="AH115" s="2994"/>
      <c r="AI115" s="2994"/>
      <c r="AJ115" s="2994"/>
      <c r="AK115" s="2994"/>
      <c r="AL115" s="2994"/>
      <c r="AM115" s="2994"/>
      <c r="AN115" s="2994"/>
      <c r="AO115" s="2994"/>
      <c r="AP115" s="2994"/>
      <c r="AQ115" s="2994"/>
      <c r="AR115" s="2994"/>
      <c r="AS115" s="2994"/>
      <c r="AT115" s="2994"/>
      <c r="AU115" s="2994"/>
      <c r="AV115" s="2994"/>
      <c r="AW115" s="2994"/>
      <c r="AX115" s="2995"/>
      <c r="AY115" s="1144"/>
      <c r="AZ115" s="1144"/>
      <c r="BA115" s="1144"/>
      <c r="BB115" s="1144"/>
      <c r="BC115" s="1144"/>
      <c r="BD115" s="1144"/>
      <c r="BE115" s="1150"/>
    </row>
    <row r="116" spans="1:57" ht="15.75" customHeight="1">
      <c r="A116" s="1144"/>
      <c r="B116" s="2993"/>
      <c r="C116" s="2994"/>
      <c r="D116" s="2994"/>
      <c r="E116" s="2994"/>
      <c r="F116" s="2994"/>
      <c r="G116" s="2994"/>
      <c r="H116" s="2994"/>
      <c r="I116" s="2994"/>
      <c r="J116" s="2994"/>
      <c r="K116" s="2994"/>
      <c r="L116" s="2994"/>
      <c r="M116" s="2994"/>
      <c r="N116" s="2994"/>
      <c r="O116" s="2994"/>
      <c r="P116" s="2994"/>
      <c r="Q116" s="2994"/>
      <c r="R116" s="2994"/>
      <c r="S116" s="2994"/>
      <c r="T116" s="2994"/>
      <c r="U116" s="2994"/>
      <c r="V116" s="2994"/>
      <c r="W116" s="2994"/>
      <c r="X116" s="2994"/>
      <c r="Y116" s="2994"/>
      <c r="Z116" s="2994"/>
      <c r="AA116" s="2994"/>
      <c r="AB116" s="2994"/>
      <c r="AC116" s="2994"/>
      <c r="AD116" s="2994"/>
      <c r="AE116" s="2994"/>
      <c r="AF116" s="2994"/>
      <c r="AG116" s="2994"/>
      <c r="AH116" s="2994"/>
      <c r="AI116" s="2994"/>
      <c r="AJ116" s="2994"/>
      <c r="AK116" s="2994"/>
      <c r="AL116" s="2994"/>
      <c r="AM116" s="2994"/>
      <c r="AN116" s="2994"/>
      <c r="AO116" s="2994"/>
      <c r="AP116" s="2994"/>
      <c r="AQ116" s="2994"/>
      <c r="AR116" s="2994"/>
      <c r="AS116" s="2994"/>
      <c r="AT116" s="2994"/>
      <c r="AU116" s="2994"/>
      <c r="AV116" s="2994"/>
      <c r="AW116" s="2994"/>
      <c r="AX116" s="2995"/>
      <c r="AY116" s="1144"/>
      <c r="AZ116" s="1144"/>
      <c r="BA116" s="1144"/>
      <c r="BB116" s="1144"/>
      <c r="BC116" s="1144"/>
      <c r="BD116" s="1144"/>
      <c r="BE116" s="1150"/>
    </row>
    <row r="117" spans="1:57" ht="15.75" customHeight="1">
      <c r="A117" s="1144"/>
      <c r="B117" s="2993"/>
      <c r="C117" s="2994"/>
      <c r="D117" s="2994"/>
      <c r="E117" s="2994"/>
      <c r="F117" s="2994"/>
      <c r="G117" s="2994"/>
      <c r="H117" s="2994"/>
      <c r="I117" s="2994"/>
      <c r="J117" s="2994"/>
      <c r="K117" s="2994"/>
      <c r="L117" s="2994"/>
      <c r="M117" s="2994"/>
      <c r="N117" s="2994"/>
      <c r="O117" s="2994"/>
      <c r="P117" s="2994"/>
      <c r="Q117" s="2994"/>
      <c r="R117" s="2994"/>
      <c r="S117" s="2994"/>
      <c r="T117" s="2994"/>
      <c r="U117" s="2994"/>
      <c r="V117" s="2994"/>
      <c r="W117" s="2994"/>
      <c r="X117" s="2994"/>
      <c r="Y117" s="2994"/>
      <c r="Z117" s="2994"/>
      <c r="AA117" s="2994"/>
      <c r="AB117" s="2994"/>
      <c r="AC117" s="2994"/>
      <c r="AD117" s="2994"/>
      <c r="AE117" s="2994"/>
      <c r="AF117" s="2994"/>
      <c r="AG117" s="2994"/>
      <c r="AH117" s="2994"/>
      <c r="AI117" s="2994"/>
      <c r="AJ117" s="2994"/>
      <c r="AK117" s="2994"/>
      <c r="AL117" s="2994"/>
      <c r="AM117" s="2994"/>
      <c r="AN117" s="2994"/>
      <c r="AO117" s="2994"/>
      <c r="AP117" s="2994"/>
      <c r="AQ117" s="2994"/>
      <c r="AR117" s="2994"/>
      <c r="AS117" s="2994"/>
      <c r="AT117" s="2994"/>
      <c r="AU117" s="2994"/>
      <c r="AV117" s="2994"/>
      <c r="AW117" s="2994"/>
      <c r="AX117" s="2995"/>
      <c r="AY117" s="1144"/>
      <c r="AZ117" s="1144"/>
      <c r="BA117" s="1144"/>
      <c r="BB117" s="1144"/>
      <c r="BC117" s="1144"/>
      <c r="BD117" s="1144"/>
      <c r="BE117" s="1150"/>
    </row>
    <row r="118" spans="1:57" ht="15.75" customHeight="1">
      <c r="A118" s="1144"/>
      <c r="B118" s="2993"/>
      <c r="C118" s="2994"/>
      <c r="D118" s="2994"/>
      <c r="E118" s="2994"/>
      <c r="F118" s="2994"/>
      <c r="G118" s="2994"/>
      <c r="H118" s="2994"/>
      <c r="I118" s="2994"/>
      <c r="J118" s="2994"/>
      <c r="K118" s="2994"/>
      <c r="L118" s="2994"/>
      <c r="M118" s="2994"/>
      <c r="N118" s="2994"/>
      <c r="O118" s="2994"/>
      <c r="P118" s="2994"/>
      <c r="Q118" s="2994"/>
      <c r="R118" s="2994"/>
      <c r="S118" s="2994"/>
      <c r="T118" s="2994"/>
      <c r="U118" s="2994"/>
      <c r="V118" s="2994"/>
      <c r="W118" s="2994"/>
      <c r="X118" s="2994"/>
      <c r="Y118" s="2994"/>
      <c r="Z118" s="2994"/>
      <c r="AA118" s="2994"/>
      <c r="AB118" s="2994"/>
      <c r="AC118" s="2994"/>
      <c r="AD118" s="2994"/>
      <c r="AE118" s="2994"/>
      <c r="AF118" s="2994"/>
      <c r="AG118" s="2994"/>
      <c r="AH118" s="2994"/>
      <c r="AI118" s="2994"/>
      <c r="AJ118" s="2994"/>
      <c r="AK118" s="2994"/>
      <c r="AL118" s="2994"/>
      <c r="AM118" s="2994"/>
      <c r="AN118" s="2994"/>
      <c r="AO118" s="2994"/>
      <c r="AP118" s="2994"/>
      <c r="AQ118" s="2994"/>
      <c r="AR118" s="2994"/>
      <c r="AS118" s="2994"/>
      <c r="AT118" s="2994"/>
      <c r="AU118" s="2994"/>
      <c r="AV118" s="2994"/>
      <c r="AW118" s="2994"/>
      <c r="AX118" s="2995"/>
      <c r="AY118" s="1144"/>
      <c r="AZ118" s="1144"/>
      <c r="BA118" s="1144"/>
      <c r="BB118" s="1144"/>
      <c r="BC118" s="1144"/>
      <c r="BD118" s="1144"/>
      <c r="BE118" s="1150"/>
    </row>
    <row r="119" spans="1:57" ht="15.75" customHeight="1">
      <c r="A119" s="1144"/>
      <c r="B119" s="2993"/>
      <c r="C119" s="2994"/>
      <c r="D119" s="2994"/>
      <c r="E119" s="2994"/>
      <c r="F119" s="2994"/>
      <c r="G119" s="2994"/>
      <c r="H119" s="2994"/>
      <c r="I119" s="2994"/>
      <c r="J119" s="2994"/>
      <c r="K119" s="2994"/>
      <c r="L119" s="2994"/>
      <c r="M119" s="2994"/>
      <c r="N119" s="2994"/>
      <c r="O119" s="2994"/>
      <c r="P119" s="2994"/>
      <c r="Q119" s="2994"/>
      <c r="R119" s="2994"/>
      <c r="S119" s="2994"/>
      <c r="T119" s="2994"/>
      <c r="U119" s="2994"/>
      <c r="V119" s="2994"/>
      <c r="W119" s="2994"/>
      <c r="X119" s="2994"/>
      <c r="Y119" s="2994"/>
      <c r="Z119" s="2994"/>
      <c r="AA119" s="2994"/>
      <c r="AB119" s="2994"/>
      <c r="AC119" s="2994"/>
      <c r="AD119" s="2994"/>
      <c r="AE119" s="2994"/>
      <c r="AF119" s="2994"/>
      <c r="AG119" s="2994"/>
      <c r="AH119" s="2994"/>
      <c r="AI119" s="2994"/>
      <c r="AJ119" s="2994"/>
      <c r="AK119" s="2994"/>
      <c r="AL119" s="2994"/>
      <c r="AM119" s="2994"/>
      <c r="AN119" s="2994"/>
      <c r="AO119" s="2994"/>
      <c r="AP119" s="2994"/>
      <c r="AQ119" s="2994"/>
      <c r="AR119" s="2994"/>
      <c r="AS119" s="2994"/>
      <c r="AT119" s="2994"/>
      <c r="AU119" s="2994"/>
      <c r="AV119" s="2994"/>
      <c r="AW119" s="2994"/>
      <c r="AX119" s="2995"/>
      <c r="AY119" s="1144"/>
      <c r="AZ119" s="1144"/>
      <c r="BA119" s="1144"/>
      <c r="BB119" s="1144"/>
      <c r="BC119" s="1144"/>
      <c r="BD119" s="1144"/>
      <c r="BE119" s="1150"/>
    </row>
    <row r="120" spans="1:57" ht="15.75" customHeight="1">
      <c r="A120" s="1144"/>
      <c r="B120" s="2993"/>
      <c r="C120" s="2994"/>
      <c r="D120" s="2994"/>
      <c r="E120" s="2994"/>
      <c r="F120" s="2994"/>
      <c r="G120" s="2994"/>
      <c r="H120" s="2994"/>
      <c r="I120" s="2994"/>
      <c r="J120" s="2994"/>
      <c r="K120" s="2994"/>
      <c r="L120" s="2994"/>
      <c r="M120" s="2994"/>
      <c r="N120" s="2994"/>
      <c r="O120" s="2994"/>
      <c r="P120" s="2994"/>
      <c r="Q120" s="2994"/>
      <c r="R120" s="2994"/>
      <c r="S120" s="2994"/>
      <c r="T120" s="2994"/>
      <c r="U120" s="2994"/>
      <c r="V120" s="2994"/>
      <c r="W120" s="2994"/>
      <c r="X120" s="2994"/>
      <c r="Y120" s="2994"/>
      <c r="Z120" s="2994"/>
      <c r="AA120" s="2994"/>
      <c r="AB120" s="2994"/>
      <c r="AC120" s="2994"/>
      <c r="AD120" s="2994"/>
      <c r="AE120" s="2994"/>
      <c r="AF120" s="2994"/>
      <c r="AG120" s="2994"/>
      <c r="AH120" s="2994"/>
      <c r="AI120" s="2994"/>
      <c r="AJ120" s="2994"/>
      <c r="AK120" s="2994"/>
      <c r="AL120" s="2994"/>
      <c r="AM120" s="2994"/>
      <c r="AN120" s="2994"/>
      <c r="AO120" s="2994"/>
      <c r="AP120" s="2994"/>
      <c r="AQ120" s="2994"/>
      <c r="AR120" s="2994"/>
      <c r="AS120" s="2994"/>
      <c r="AT120" s="2994"/>
      <c r="AU120" s="2994"/>
      <c r="AV120" s="2994"/>
      <c r="AW120" s="2994"/>
      <c r="AX120" s="2995"/>
      <c r="AY120" s="1144"/>
      <c r="AZ120" s="1144"/>
      <c r="BA120" s="1144"/>
      <c r="BB120" s="1144"/>
      <c r="BC120" s="1144"/>
      <c r="BD120" s="1144"/>
      <c r="BE120" s="1150"/>
    </row>
    <row r="121" spans="1:57" ht="15.75" customHeight="1" thickBot="1">
      <c r="A121" s="1144"/>
      <c r="B121" s="2996"/>
      <c r="C121" s="2997"/>
      <c r="D121" s="2997"/>
      <c r="E121" s="2997"/>
      <c r="F121" s="2997"/>
      <c r="G121" s="2997"/>
      <c r="H121" s="2997"/>
      <c r="I121" s="2997"/>
      <c r="J121" s="2997"/>
      <c r="K121" s="2997"/>
      <c r="L121" s="2997"/>
      <c r="M121" s="2997"/>
      <c r="N121" s="2997"/>
      <c r="O121" s="2997"/>
      <c r="P121" s="2997"/>
      <c r="Q121" s="2997"/>
      <c r="R121" s="2997"/>
      <c r="S121" s="2997"/>
      <c r="T121" s="2997"/>
      <c r="U121" s="2997"/>
      <c r="V121" s="2997"/>
      <c r="W121" s="2997"/>
      <c r="X121" s="2997"/>
      <c r="Y121" s="2997"/>
      <c r="Z121" s="2997"/>
      <c r="AA121" s="2997"/>
      <c r="AB121" s="2997"/>
      <c r="AC121" s="2997"/>
      <c r="AD121" s="2997"/>
      <c r="AE121" s="2997"/>
      <c r="AF121" s="2997"/>
      <c r="AG121" s="2997"/>
      <c r="AH121" s="2997"/>
      <c r="AI121" s="2997"/>
      <c r="AJ121" s="2997"/>
      <c r="AK121" s="2997"/>
      <c r="AL121" s="2997"/>
      <c r="AM121" s="2997"/>
      <c r="AN121" s="2997"/>
      <c r="AO121" s="2997"/>
      <c r="AP121" s="2997"/>
      <c r="AQ121" s="2997"/>
      <c r="AR121" s="2997"/>
      <c r="AS121" s="2997"/>
      <c r="AT121" s="2997"/>
      <c r="AU121" s="2997"/>
      <c r="AV121" s="2997"/>
      <c r="AW121" s="2997"/>
      <c r="AX121" s="2998"/>
      <c r="AY121" s="1144"/>
      <c r="AZ121" s="1144"/>
      <c r="BA121" s="1144"/>
      <c r="BB121" s="1144"/>
      <c r="BC121" s="1144"/>
      <c r="BD121" s="1144"/>
      <c r="BE121" s="1150"/>
    </row>
    <row r="122" spans="1:57" ht="15.75" customHeight="1">
      <c r="A122" s="1144"/>
      <c r="B122" s="1144"/>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c r="AA122" s="1144"/>
      <c r="AB122" s="1144"/>
      <c r="AC122" s="1144"/>
      <c r="AD122" s="1144"/>
      <c r="AE122" s="1144"/>
      <c r="AF122" s="1144"/>
      <c r="AG122" s="1144"/>
      <c r="AH122" s="1144"/>
      <c r="AI122" s="1144"/>
      <c r="AJ122" s="1144"/>
      <c r="AK122" s="1144"/>
      <c r="AL122" s="1144"/>
      <c r="AM122" s="1144"/>
      <c r="AN122" s="1144"/>
      <c r="AO122" s="1144"/>
      <c r="AP122" s="1144"/>
      <c r="AQ122" s="1144"/>
      <c r="AR122" s="1144"/>
      <c r="AS122" s="1144"/>
      <c r="AT122" s="1144"/>
      <c r="AU122" s="1144"/>
      <c r="AV122" s="1144"/>
      <c r="AW122" s="1144"/>
      <c r="AX122" s="1144"/>
      <c r="AY122" s="1144"/>
      <c r="AZ122" s="1144"/>
      <c r="BA122" s="1144"/>
      <c r="BB122" s="1144"/>
      <c r="BC122" s="1144"/>
      <c r="BD122" s="1144"/>
      <c r="BE122" s="1150"/>
    </row>
    <row r="123" spans="1:57" ht="15.75" customHeight="1">
      <c r="B123" s="1154" t="s">
        <v>1945</v>
      </c>
      <c r="C123" s="1154"/>
      <c r="D123" s="1154"/>
      <c r="E123" s="1154"/>
      <c r="F123" s="1154"/>
      <c r="G123" s="1154"/>
      <c r="H123" s="1154"/>
      <c r="I123" s="1154"/>
      <c r="J123" s="1154"/>
      <c r="K123" s="1154"/>
      <c r="L123" s="1154"/>
      <c r="M123" s="1154"/>
      <c r="N123" s="1151"/>
      <c r="O123" s="1151"/>
      <c r="P123" s="1144"/>
      <c r="Q123" s="1144"/>
      <c r="R123" s="1144"/>
      <c r="S123" s="1144"/>
      <c r="T123" s="1144"/>
      <c r="U123" s="1144"/>
      <c r="V123" s="1144"/>
      <c r="W123" s="1144"/>
      <c r="X123" s="1155" t="s">
        <v>2323</v>
      </c>
      <c r="Y123" s="1155"/>
      <c r="Z123" s="1155"/>
      <c r="AA123" s="1155"/>
      <c r="AB123" s="1155"/>
      <c r="AC123" s="1155"/>
      <c r="AD123" s="1155"/>
      <c r="AE123" s="1155"/>
      <c r="AF123" s="1155"/>
      <c r="AG123" s="1155"/>
      <c r="AH123" s="1155"/>
      <c r="AI123" s="1155"/>
      <c r="AJ123" s="1155"/>
      <c r="AK123" s="1156"/>
      <c r="AL123" s="1156"/>
      <c r="AM123" s="1156"/>
      <c r="AN123" s="1156"/>
      <c r="AO123" s="1144"/>
      <c r="AP123" s="1144"/>
      <c r="AQ123" s="1144"/>
      <c r="AR123" s="1144"/>
      <c r="AS123" s="1144"/>
      <c r="AT123" s="1144"/>
      <c r="AU123" s="1144"/>
      <c r="AV123" s="1144"/>
      <c r="AW123" s="1144"/>
      <c r="AX123" s="1144"/>
      <c r="AY123" s="1144"/>
      <c r="AZ123" s="1144"/>
      <c r="BA123" s="1144"/>
      <c r="BB123" s="1144"/>
      <c r="BC123" s="1144"/>
      <c r="BD123" s="1144"/>
      <c r="BE123" s="1150"/>
    </row>
    <row r="124" spans="1:57" ht="15.75" customHeight="1" thickBot="1">
      <c r="A124" s="1144"/>
      <c r="B124" s="1144"/>
      <c r="C124" s="1144"/>
      <c r="D124" s="1144"/>
      <c r="E124" s="1144"/>
      <c r="F124" s="1144"/>
      <c r="G124" s="1144"/>
      <c r="H124" s="1144"/>
      <c r="I124" s="1144"/>
      <c r="J124" s="1144"/>
      <c r="K124" s="1144"/>
      <c r="L124" s="1144"/>
      <c r="M124" s="1144"/>
      <c r="N124" s="1144"/>
      <c r="O124" s="1144"/>
      <c r="P124" s="1151"/>
      <c r="Q124" s="1144"/>
      <c r="R124" s="1144"/>
      <c r="S124" s="1144"/>
      <c r="T124" s="1144"/>
      <c r="U124" s="1144"/>
      <c r="V124" s="1144"/>
      <c r="W124" s="1144"/>
      <c r="X124" s="1144"/>
      <c r="Y124" s="1144"/>
      <c r="Z124" s="1144"/>
      <c r="AA124" s="1144"/>
      <c r="AB124" s="1144"/>
      <c r="AC124" s="1144"/>
      <c r="AD124" s="1144"/>
      <c r="AE124" s="1144"/>
      <c r="AF124" s="1144"/>
      <c r="AG124" s="1144"/>
      <c r="AH124" s="1144"/>
      <c r="AI124" s="1144"/>
      <c r="AJ124" s="1144"/>
      <c r="AK124" s="1144"/>
      <c r="AL124" s="1144"/>
      <c r="AM124" s="1144"/>
      <c r="AN124" s="1144"/>
      <c r="AO124" s="1144"/>
      <c r="AP124" s="1144"/>
      <c r="AQ124" s="1144"/>
      <c r="AR124" s="1144"/>
      <c r="AS124" s="1144"/>
      <c r="AT124" s="1144"/>
      <c r="AU124" s="1144"/>
      <c r="AV124" s="1144"/>
      <c r="AW124" s="1144"/>
      <c r="AX124" s="1144"/>
      <c r="AY124" s="1144"/>
      <c r="AZ124" s="1144"/>
      <c r="BA124" s="1144"/>
      <c r="BB124" s="1144"/>
      <c r="BC124" s="1144"/>
      <c r="BD124" s="1144"/>
      <c r="BE124" s="1150"/>
    </row>
    <row r="125" spans="1:57" ht="15.75" customHeight="1">
      <c r="A125" s="1144"/>
      <c r="B125" s="2732" t="s">
        <v>1946</v>
      </c>
      <c r="C125" s="2733"/>
      <c r="D125" s="2733"/>
      <c r="E125" s="2733"/>
      <c r="F125" s="2733"/>
      <c r="G125" s="2733"/>
      <c r="H125" s="2733"/>
      <c r="I125" s="2733"/>
      <c r="J125" s="2733"/>
      <c r="K125" s="2733"/>
      <c r="L125" s="2733"/>
      <c r="M125" s="2733"/>
      <c r="N125" s="2733"/>
      <c r="O125" s="2733"/>
      <c r="P125" s="2733"/>
      <c r="Q125" s="2733"/>
      <c r="R125" s="2733"/>
      <c r="S125" s="2733"/>
      <c r="T125" s="2733"/>
      <c r="U125" s="2952"/>
      <c r="V125" s="1144"/>
      <c r="W125" s="1146"/>
      <c r="X125" s="2732" t="s">
        <v>2324</v>
      </c>
      <c r="Y125" s="2733"/>
      <c r="Z125" s="2733"/>
      <c r="AA125" s="2733"/>
      <c r="AB125" s="2733"/>
      <c r="AC125" s="2733"/>
      <c r="AD125" s="2733"/>
      <c r="AE125" s="2733"/>
      <c r="AF125" s="2733"/>
      <c r="AG125" s="2733"/>
      <c r="AH125" s="2733"/>
      <c r="AI125" s="2733"/>
      <c r="AJ125" s="2733"/>
      <c r="AK125" s="2733"/>
      <c r="AL125" s="2733"/>
      <c r="AM125" s="2733"/>
      <c r="AN125" s="2733"/>
      <c r="AO125" s="2733"/>
      <c r="AP125" s="2733"/>
      <c r="AQ125" s="2952"/>
      <c r="AR125" s="1144"/>
      <c r="AS125" s="1144"/>
      <c r="AT125" s="1144"/>
      <c r="AU125" s="1144"/>
      <c r="AV125" s="1144"/>
      <c r="AW125" s="1144"/>
      <c r="AX125" s="1144"/>
      <c r="AY125" s="1144"/>
      <c r="AZ125" s="1144"/>
      <c r="BA125" s="1144"/>
      <c r="BB125" s="1144"/>
      <c r="BC125" s="1144"/>
      <c r="BD125" s="1144"/>
      <c r="BE125" s="1150"/>
    </row>
    <row r="126" spans="1:57" ht="15.75" customHeight="1">
      <c r="A126" s="1144"/>
      <c r="B126" s="2953"/>
      <c r="C126" s="2954"/>
      <c r="D126" s="2954"/>
      <c r="E126" s="2954"/>
      <c r="F126" s="2954"/>
      <c r="G126" s="2954"/>
      <c r="H126" s="2955"/>
      <c r="I126" s="2957" t="s">
        <v>1935</v>
      </c>
      <c r="J126" s="2958"/>
      <c r="K126" s="2958"/>
      <c r="L126" s="2958"/>
      <c r="M126" s="2958"/>
      <c r="N126" s="2958"/>
      <c r="O126" s="2959"/>
      <c r="P126" s="2963" t="s">
        <v>2325</v>
      </c>
      <c r="Q126" s="2964"/>
      <c r="R126" s="2964"/>
      <c r="S126" s="2964"/>
      <c r="T126" s="2964"/>
      <c r="U126" s="2965"/>
      <c r="V126" s="1144"/>
      <c r="W126" s="1144"/>
      <c r="X126" s="2953"/>
      <c r="Y126" s="2954"/>
      <c r="Z126" s="2954"/>
      <c r="AA126" s="2954"/>
      <c r="AB126" s="2954"/>
      <c r="AC126" s="2954"/>
      <c r="AD126" s="2955"/>
      <c r="AE126" s="2957" t="s">
        <v>1935</v>
      </c>
      <c r="AF126" s="2958"/>
      <c r="AG126" s="2958"/>
      <c r="AH126" s="2958"/>
      <c r="AI126" s="2958"/>
      <c r="AJ126" s="2958"/>
      <c r="AK126" s="2959"/>
      <c r="AL126" s="2963" t="s">
        <v>2318</v>
      </c>
      <c r="AM126" s="2964"/>
      <c r="AN126" s="2964"/>
      <c r="AO126" s="2964"/>
      <c r="AP126" s="2964"/>
      <c r="AQ126" s="2965"/>
      <c r="AR126" s="1144"/>
      <c r="AS126" s="1144"/>
      <c r="AT126" s="1144"/>
      <c r="AU126" s="1144"/>
      <c r="AV126" s="1144"/>
      <c r="AW126" s="1144"/>
      <c r="AX126" s="1144"/>
      <c r="AY126" s="1144"/>
      <c r="AZ126" s="1144"/>
      <c r="BA126" s="1144"/>
      <c r="BB126" s="1144"/>
      <c r="BC126" s="1144"/>
      <c r="BD126" s="1144"/>
      <c r="BE126" s="1150"/>
    </row>
    <row r="127" spans="1:57" ht="15.75" customHeight="1" thickBot="1">
      <c r="A127" s="1144"/>
      <c r="B127" s="2922"/>
      <c r="C127" s="2923"/>
      <c r="D127" s="2923"/>
      <c r="E127" s="2923"/>
      <c r="F127" s="2923"/>
      <c r="G127" s="2923"/>
      <c r="H127" s="2956"/>
      <c r="I127" s="2960"/>
      <c r="J127" s="2961"/>
      <c r="K127" s="2961"/>
      <c r="L127" s="2961"/>
      <c r="M127" s="2961"/>
      <c r="N127" s="2961"/>
      <c r="O127" s="2962"/>
      <c r="P127" s="2966"/>
      <c r="Q127" s="2967"/>
      <c r="R127" s="2967"/>
      <c r="S127" s="2967"/>
      <c r="T127" s="2967"/>
      <c r="U127" s="2968"/>
      <c r="V127" s="1144"/>
      <c r="W127" s="1144"/>
      <c r="X127" s="2922"/>
      <c r="Y127" s="2923"/>
      <c r="Z127" s="2923"/>
      <c r="AA127" s="2923"/>
      <c r="AB127" s="2923"/>
      <c r="AC127" s="2923"/>
      <c r="AD127" s="2956"/>
      <c r="AE127" s="2960"/>
      <c r="AF127" s="2961"/>
      <c r="AG127" s="2961"/>
      <c r="AH127" s="2961"/>
      <c r="AI127" s="2961"/>
      <c r="AJ127" s="2961"/>
      <c r="AK127" s="2962"/>
      <c r="AL127" s="2966"/>
      <c r="AM127" s="2967"/>
      <c r="AN127" s="2967"/>
      <c r="AO127" s="2967"/>
      <c r="AP127" s="2967"/>
      <c r="AQ127" s="2968"/>
      <c r="AR127" s="1144"/>
      <c r="AS127" s="1144"/>
      <c r="AT127" s="1144"/>
      <c r="AU127" s="1144"/>
      <c r="AV127" s="1144"/>
      <c r="AW127" s="1144"/>
      <c r="AX127" s="1144"/>
      <c r="AY127" s="1144"/>
      <c r="AZ127" s="1144"/>
      <c r="BA127" s="1144"/>
      <c r="BB127" s="1144"/>
      <c r="BC127" s="1144"/>
      <c r="BD127" s="1144"/>
      <c r="BE127" s="1150"/>
    </row>
    <row r="128" spans="1:57" ht="15.75" customHeight="1" thickBot="1">
      <c r="A128" s="1144"/>
      <c r="B128" s="2978" t="s">
        <v>2303</v>
      </c>
      <c r="C128" s="2979"/>
      <c r="D128" s="2979"/>
      <c r="E128" s="2979"/>
      <c r="F128" s="2979"/>
      <c r="G128" s="2979"/>
      <c r="H128" s="2980"/>
      <c r="I128" s="2999"/>
      <c r="J128" s="3000"/>
      <c r="K128" s="3000"/>
      <c r="L128" s="3000"/>
      <c r="M128" s="3000"/>
      <c r="N128" s="3000"/>
      <c r="O128" s="3001"/>
      <c r="P128" s="2999"/>
      <c r="Q128" s="3000"/>
      <c r="R128" s="3000"/>
      <c r="S128" s="3000"/>
      <c r="T128" s="3000"/>
      <c r="U128" s="3001"/>
      <c r="V128" s="1144"/>
      <c r="W128" s="1144"/>
      <c r="X128" s="2978" t="s">
        <v>2303</v>
      </c>
      <c r="Y128" s="2979"/>
      <c r="Z128" s="2979"/>
      <c r="AA128" s="2979"/>
      <c r="AB128" s="2979"/>
      <c r="AC128" s="2979"/>
      <c r="AD128" s="2980"/>
      <c r="AE128" s="2999"/>
      <c r="AF128" s="3000"/>
      <c r="AG128" s="3000"/>
      <c r="AH128" s="3000"/>
      <c r="AI128" s="3000"/>
      <c r="AJ128" s="3000"/>
      <c r="AK128" s="3001"/>
      <c r="AL128" s="2999"/>
      <c r="AM128" s="3000"/>
      <c r="AN128" s="3000"/>
      <c r="AO128" s="3000"/>
      <c r="AP128" s="3000"/>
      <c r="AQ128" s="3001"/>
      <c r="AR128" s="1144"/>
      <c r="AS128" s="1144"/>
      <c r="AT128" s="1144"/>
      <c r="AU128" s="1144"/>
      <c r="AV128" s="1144"/>
      <c r="AW128" s="1144"/>
      <c r="AX128" s="1144"/>
      <c r="AY128" s="1144"/>
      <c r="AZ128" s="1144"/>
      <c r="BA128" s="1144"/>
      <c r="BB128" s="1144"/>
      <c r="BC128" s="1144"/>
      <c r="BD128" s="1144"/>
      <c r="BE128" s="1150"/>
    </row>
    <row r="129" spans="1:57" ht="15.75" customHeight="1" thickBot="1">
      <c r="A129" s="1144"/>
      <c r="B129" s="2978" t="s">
        <v>2304</v>
      </c>
      <c r="C129" s="2979"/>
      <c r="D129" s="2979"/>
      <c r="E129" s="2979"/>
      <c r="F129" s="2979"/>
      <c r="G129" s="2979"/>
      <c r="H129" s="2980"/>
      <c r="I129" s="2999"/>
      <c r="J129" s="3000"/>
      <c r="K129" s="3000"/>
      <c r="L129" s="3000"/>
      <c r="M129" s="3000"/>
      <c r="N129" s="3000"/>
      <c r="O129" s="3001"/>
      <c r="P129" s="2999"/>
      <c r="Q129" s="3000"/>
      <c r="R129" s="3000"/>
      <c r="S129" s="3000"/>
      <c r="T129" s="3000"/>
      <c r="U129" s="3001"/>
      <c r="V129" s="1144"/>
      <c r="W129" s="1144"/>
      <c r="X129" s="1144"/>
      <c r="Y129" s="1144"/>
      <c r="Z129" s="1144"/>
      <c r="AA129" s="1144"/>
      <c r="AB129" s="1144"/>
      <c r="AC129" s="1144"/>
      <c r="AD129" s="1144"/>
      <c r="AE129" s="1144"/>
      <c r="AF129" s="1144"/>
      <c r="AG129" s="1144"/>
      <c r="AH129" s="1144"/>
      <c r="AI129" s="1144"/>
      <c r="AJ129" s="1144"/>
      <c r="AK129" s="1144"/>
      <c r="AL129" s="1144"/>
      <c r="AM129" s="1144"/>
      <c r="AN129" s="1144"/>
      <c r="AO129" s="1144"/>
      <c r="AP129" s="1144"/>
      <c r="AQ129" s="1144"/>
      <c r="AR129" s="1144"/>
      <c r="AS129" s="1144"/>
      <c r="AT129" s="1144"/>
      <c r="AU129" s="1144"/>
      <c r="AV129" s="1144"/>
      <c r="AW129" s="1144"/>
      <c r="AX129" s="1144"/>
      <c r="AY129" s="1144"/>
      <c r="AZ129" s="1144"/>
      <c r="BA129" s="1144"/>
      <c r="BB129" s="1144"/>
      <c r="BC129" s="1144"/>
      <c r="BD129" s="1144"/>
      <c r="BE129" s="1150"/>
    </row>
    <row r="130" spans="1:57" ht="15.75" customHeight="1" thickBot="1">
      <c r="A130" s="1144"/>
      <c r="B130" s="1144"/>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c r="AA130" s="1144"/>
      <c r="AB130" s="1144"/>
      <c r="AC130" s="1144"/>
      <c r="AD130" s="1144"/>
      <c r="AE130" s="1144"/>
      <c r="AF130" s="1144"/>
      <c r="AG130" s="1144"/>
      <c r="AH130" s="1144"/>
      <c r="AI130" s="1144"/>
      <c r="AJ130" s="1144"/>
      <c r="AK130" s="1144"/>
      <c r="AL130" s="1144"/>
      <c r="AM130" s="1144"/>
      <c r="AN130" s="1144"/>
      <c r="AO130" s="1144"/>
      <c r="AP130" s="1144"/>
      <c r="AQ130" s="1144"/>
      <c r="AR130" s="1144"/>
      <c r="AS130" s="1144"/>
      <c r="AT130" s="1144"/>
      <c r="AU130" s="1144"/>
      <c r="AV130" s="1144"/>
      <c r="AW130" s="1144"/>
      <c r="AX130" s="1144"/>
      <c r="AY130" s="1144"/>
      <c r="AZ130" s="1144"/>
      <c r="BA130" s="1144"/>
      <c r="BB130" s="1144"/>
      <c r="BC130" s="1144"/>
      <c r="BD130" s="1144"/>
      <c r="BE130" s="1150"/>
    </row>
    <row r="131" spans="1:57" ht="15.75" customHeight="1">
      <c r="A131" s="1144"/>
      <c r="B131" s="1144"/>
      <c r="C131" s="2732" t="s">
        <v>2305</v>
      </c>
      <c r="D131" s="2733"/>
      <c r="E131" s="2733"/>
      <c r="F131" s="2733"/>
      <c r="G131" s="2733"/>
      <c r="H131" s="2733"/>
      <c r="I131" s="2733"/>
      <c r="J131" s="2733"/>
      <c r="K131" s="2733"/>
      <c r="L131" s="2733"/>
      <c r="M131" s="2733"/>
      <c r="N131" s="2733"/>
      <c r="O131" s="2733"/>
      <c r="P131" s="2733"/>
      <c r="Q131" s="2733"/>
      <c r="R131" s="2733"/>
      <c r="S131" s="2733"/>
      <c r="T131" s="2733"/>
      <c r="U131" s="2733"/>
      <c r="V131" s="2733"/>
      <c r="W131" s="2733"/>
      <c r="X131" s="2733"/>
      <c r="Y131" s="2733"/>
      <c r="Z131" s="2733"/>
      <c r="AA131" s="2733"/>
      <c r="AB131" s="2733"/>
      <c r="AC131" s="2733"/>
      <c r="AD131" s="2733"/>
      <c r="AE131" s="2733"/>
      <c r="AF131" s="2733"/>
      <c r="AG131" s="2734"/>
      <c r="AH131" s="1144"/>
      <c r="AI131" s="1144"/>
      <c r="AJ131" s="1144"/>
      <c r="AK131" s="1144"/>
      <c r="AL131" s="1144"/>
      <c r="AM131" s="1144"/>
      <c r="AN131" s="1144"/>
      <c r="AO131" s="1144"/>
      <c r="AP131" s="1144"/>
      <c r="AQ131" s="1144"/>
      <c r="AR131" s="1144"/>
      <c r="AS131" s="1144"/>
      <c r="AT131" s="1144"/>
      <c r="AU131" s="1144"/>
      <c r="AV131" s="1144"/>
      <c r="AW131" s="1144"/>
      <c r="AX131" s="1144"/>
      <c r="AY131" s="1144"/>
      <c r="AZ131" s="1144"/>
      <c r="BA131" s="1144"/>
      <c r="BB131" s="1144"/>
      <c r="BC131" s="1144"/>
      <c r="BD131" s="1144"/>
      <c r="BE131" s="1150"/>
    </row>
    <row r="132" spans="1:57" ht="15.75" customHeight="1" thickBot="1">
      <c r="A132" s="1144"/>
      <c r="B132" s="1144"/>
      <c r="C132" s="3012" t="s">
        <v>1947</v>
      </c>
      <c r="D132" s="3013"/>
      <c r="E132" s="3013"/>
      <c r="F132" s="3013"/>
      <c r="G132" s="3013"/>
      <c r="H132" s="3013"/>
      <c r="I132" s="3013"/>
      <c r="J132" s="3013"/>
      <c r="K132" s="3013"/>
      <c r="L132" s="3013"/>
      <c r="M132" s="3013"/>
      <c r="N132" s="3013"/>
      <c r="O132" s="3013"/>
      <c r="P132" s="3014"/>
      <c r="Q132" s="3015" t="s">
        <v>1948</v>
      </c>
      <c r="R132" s="3013"/>
      <c r="S132" s="3014"/>
      <c r="T132" s="3016" t="s">
        <v>2306</v>
      </c>
      <c r="U132" s="3017"/>
      <c r="V132" s="3017"/>
      <c r="W132" s="3017"/>
      <c r="X132" s="3017"/>
      <c r="Y132" s="3017"/>
      <c r="Z132" s="3017"/>
      <c r="AA132" s="3018"/>
      <c r="AB132" s="3019" t="s">
        <v>1949</v>
      </c>
      <c r="AC132" s="3020"/>
      <c r="AD132" s="3020"/>
      <c r="AE132" s="3020"/>
      <c r="AF132" s="3020"/>
      <c r="AG132" s="3021"/>
      <c r="AH132" s="1144"/>
      <c r="AI132" s="1144"/>
      <c r="AJ132" s="1144"/>
      <c r="AK132" s="1144"/>
      <c r="AL132" s="1144"/>
      <c r="AM132" s="1144"/>
      <c r="AN132" s="1144"/>
      <c r="AO132" s="1144"/>
      <c r="AP132" s="1144"/>
      <c r="AQ132" s="1144"/>
      <c r="AR132" s="1144"/>
      <c r="AS132" s="1144"/>
      <c r="AT132" s="1144"/>
      <c r="AU132" s="1144"/>
      <c r="AV132" s="1144"/>
      <c r="AW132" s="1144"/>
      <c r="AX132" s="1144"/>
      <c r="AY132" s="1144"/>
      <c r="AZ132" s="1144"/>
      <c r="BA132" s="1144"/>
      <c r="BB132" s="1144"/>
      <c r="BC132" s="1144"/>
      <c r="BD132" s="1144"/>
      <c r="BE132" s="1150"/>
    </row>
    <row r="133" spans="1:57" ht="15.75" customHeight="1">
      <c r="A133" s="1144"/>
      <c r="B133" s="1144"/>
      <c r="C133" s="3002" t="s">
        <v>1950</v>
      </c>
      <c r="D133" s="3003"/>
      <c r="E133" s="3003"/>
      <c r="F133" s="3003"/>
      <c r="G133" s="3003"/>
      <c r="H133" s="3003"/>
      <c r="I133" s="3003"/>
      <c r="J133" s="3003"/>
      <c r="K133" s="3003"/>
      <c r="L133" s="3003"/>
      <c r="M133" s="3003"/>
      <c r="N133" s="3003"/>
      <c r="O133" s="3003"/>
      <c r="P133" s="3004"/>
      <c r="Q133" s="3005">
        <v>55</v>
      </c>
      <c r="R133" s="3006"/>
      <c r="S133" s="3007"/>
      <c r="T133" s="3008"/>
      <c r="U133" s="3009"/>
      <c r="V133" s="3009"/>
      <c r="W133" s="3009"/>
      <c r="X133" s="3009"/>
      <c r="Y133" s="3009"/>
      <c r="Z133" s="3009"/>
      <c r="AA133" s="3009"/>
      <c r="AB133" s="1158"/>
      <c r="AC133" s="1159"/>
      <c r="AD133" s="1159"/>
      <c r="AE133" s="1159"/>
      <c r="AF133" s="1159"/>
      <c r="AG133" s="1160"/>
      <c r="AH133" s="1144"/>
      <c r="AI133" s="1144"/>
      <c r="AJ133" s="1144"/>
      <c r="AK133" s="1144"/>
      <c r="AL133" s="1144"/>
      <c r="AM133" s="1144"/>
      <c r="AN133" s="1144"/>
      <c r="AO133" s="1144"/>
      <c r="AP133" s="1144"/>
      <c r="AQ133" s="1144"/>
      <c r="AR133" s="1144"/>
      <c r="AS133" s="1144"/>
      <c r="AT133" s="1144"/>
      <c r="AU133" s="1144"/>
      <c r="AV133" s="1144"/>
      <c r="AW133" s="1144"/>
      <c r="AX133" s="1144"/>
      <c r="AY133" s="1144"/>
      <c r="AZ133" s="1144"/>
      <c r="BA133" s="1144"/>
      <c r="BB133" s="1144"/>
      <c r="BC133" s="1144"/>
      <c r="BD133" s="1144"/>
      <c r="BE133" s="1150"/>
    </row>
    <row r="134" spans="1:57" ht="15.75" customHeight="1">
      <c r="A134" s="1144"/>
      <c r="B134" s="1144"/>
      <c r="C134" s="3002" t="s">
        <v>1951</v>
      </c>
      <c r="D134" s="3003"/>
      <c r="E134" s="3003"/>
      <c r="F134" s="3003"/>
      <c r="G134" s="3003"/>
      <c r="H134" s="3003"/>
      <c r="I134" s="3003"/>
      <c r="J134" s="3003"/>
      <c r="K134" s="3003"/>
      <c r="L134" s="3003"/>
      <c r="M134" s="3003"/>
      <c r="N134" s="3003"/>
      <c r="O134" s="3003"/>
      <c r="P134" s="3004"/>
      <c r="Q134" s="3005">
        <v>55</v>
      </c>
      <c r="R134" s="3006"/>
      <c r="S134" s="3007"/>
      <c r="T134" s="3010"/>
      <c r="U134" s="3011"/>
      <c r="V134" s="3011"/>
      <c r="W134" s="3011"/>
      <c r="X134" s="3011"/>
      <c r="Y134" s="3011"/>
      <c r="Z134" s="3011"/>
      <c r="AA134" s="3011"/>
      <c r="AB134" s="1161"/>
      <c r="AC134" s="1162"/>
      <c r="AD134" s="1162"/>
      <c r="AE134" s="1162"/>
      <c r="AF134" s="1162"/>
      <c r="AG134" s="1163"/>
      <c r="AH134" s="1144"/>
      <c r="AI134" s="1144"/>
      <c r="AJ134" s="1144"/>
      <c r="AK134" s="1144"/>
      <c r="AL134" s="1144"/>
      <c r="AM134" s="1144"/>
      <c r="AN134" s="1144"/>
      <c r="AO134" s="1144"/>
      <c r="AP134" s="1144"/>
      <c r="AQ134" s="1144"/>
      <c r="AR134" s="1144"/>
      <c r="AS134" s="1144"/>
      <c r="AT134" s="1144"/>
      <c r="AU134" s="1144"/>
      <c r="AV134" s="1144"/>
      <c r="AW134" s="1144"/>
      <c r="AX134" s="1144"/>
      <c r="AY134" s="1144"/>
      <c r="AZ134" s="1144"/>
      <c r="BA134" s="1144"/>
      <c r="BB134" s="1144"/>
      <c r="BC134" s="1144"/>
      <c r="BD134" s="1144"/>
      <c r="BE134" s="1150"/>
    </row>
    <row r="135" spans="1:57" ht="15.75" customHeight="1" thickBot="1">
      <c r="A135" s="1144"/>
      <c r="B135" s="1144"/>
      <c r="C135" s="3002" t="s">
        <v>1952</v>
      </c>
      <c r="D135" s="3003"/>
      <c r="E135" s="3003"/>
      <c r="F135" s="3003"/>
      <c r="G135" s="3003"/>
      <c r="H135" s="3003"/>
      <c r="I135" s="3003"/>
      <c r="J135" s="3003"/>
      <c r="K135" s="3003"/>
      <c r="L135" s="3003"/>
      <c r="M135" s="3003"/>
      <c r="N135" s="3003"/>
      <c r="O135" s="3003"/>
      <c r="P135" s="3004"/>
      <c r="Q135" s="3005">
        <v>55</v>
      </c>
      <c r="R135" s="3006"/>
      <c r="S135" s="3007"/>
      <c r="T135" s="3008"/>
      <c r="U135" s="3009"/>
      <c r="V135" s="3009"/>
      <c r="W135" s="3009"/>
      <c r="X135" s="3009"/>
      <c r="Y135" s="3009"/>
      <c r="Z135" s="3009"/>
      <c r="AA135" s="3009"/>
      <c r="AB135" s="1164"/>
      <c r="AC135" s="1165"/>
      <c r="AD135" s="1165"/>
      <c r="AE135" s="1165"/>
      <c r="AF135" s="1165"/>
      <c r="AG135" s="1166"/>
      <c r="AH135" s="1144"/>
      <c r="AI135" s="1144"/>
      <c r="AJ135" s="1144"/>
      <c r="AK135" s="1144"/>
      <c r="AL135" s="1144"/>
      <c r="AM135" s="1144"/>
      <c r="AN135" s="1144"/>
      <c r="AO135" s="1144"/>
      <c r="AP135" s="1144"/>
      <c r="AQ135" s="1144"/>
      <c r="AR135" s="1144"/>
      <c r="AS135" s="1144"/>
      <c r="AT135" s="1144"/>
      <c r="AU135" s="1144"/>
      <c r="AV135" s="1144"/>
      <c r="AW135" s="1144"/>
      <c r="AX135" s="1144"/>
      <c r="AY135" s="1144"/>
      <c r="AZ135" s="1144"/>
      <c r="BA135" s="1144"/>
      <c r="BB135" s="1144"/>
      <c r="BC135" s="1144"/>
      <c r="BD135" s="1144"/>
      <c r="BE135" s="1150"/>
    </row>
    <row r="136" spans="1:57" ht="15.75" customHeight="1">
      <c r="A136" s="1144"/>
      <c r="B136" s="1144"/>
      <c r="C136" s="3002" t="s">
        <v>1915</v>
      </c>
      <c r="D136" s="3003"/>
      <c r="E136" s="3003"/>
      <c r="F136" s="3003"/>
      <c r="G136" s="3003"/>
      <c r="H136" s="3003"/>
      <c r="I136" s="3003"/>
      <c r="J136" s="3003"/>
      <c r="K136" s="3003"/>
      <c r="L136" s="3003"/>
      <c r="M136" s="3003"/>
      <c r="N136" s="3003"/>
      <c r="O136" s="3003"/>
      <c r="P136" s="3004"/>
      <c r="Q136" s="3005">
        <v>55</v>
      </c>
      <c r="R136" s="3006"/>
      <c r="S136" s="3007"/>
      <c r="T136" s="3008"/>
      <c r="U136" s="3009"/>
      <c r="V136" s="3009"/>
      <c r="W136" s="3009"/>
      <c r="X136" s="3009"/>
      <c r="Y136" s="3009"/>
      <c r="Z136" s="3009"/>
      <c r="AA136" s="3031"/>
      <c r="AB136" s="3022">
        <v>0</v>
      </c>
      <c r="AC136" s="3023"/>
      <c r="AD136" s="3023"/>
      <c r="AE136" s="3023"/>
      <c r="AF136" s="3023"/>
      <c r="AG136" s="3024"/>
      <c r="AH136" s="1144"/>
      <c r="AI136" s="1144"/>
      <c r="AJ136" s="1144"/>
      <c r="AK136" s="1144"/>
      <c r="AL136" s="1144"/>
      <c r="AM136" s="1144"/>
      <c r="AN136" s="1144"/>
      <c r="AO136" s="1144"/>
      <c r="AP136" s="1144"/>
      <c r="AQ136" s="1144"/>
      <c r="AR136" s="1144"/>
      <c r="AS136" s="1144"/>
      <c r="AT136" s="1144"/>
      <c r="AU136" s="1144"/>
      <c r="AV136" s="1144"/>
      <c r="AW136" s="1144"/>
      <c r="AX136" s="1144"/>
      <c r="AY136" s="1144"/>
      <c r="AZ136" s="1144"/>
      <c r="BA136" s="1144"/>
      <c r="BB136" s="1144"/>
      <c r="BC136" s="1144"/>
      <c r="BD136" s="1144"/>
      <c r="BE136" s="1150"/>
    </row>
    <row r="137" spans="1:57" ht="15.75" customHeight="1" thickBot="1">
      <c r="A137" s="1144"/>
      <c r="B137" s="1144"/>
      <c r="C137" s="2703" t="s">
        <v>174</v>
      </c>
      <c r="D137" s="2704"/>
      <c r="E137" s="2704"/>
      <c r="F137" s="3025" t="s">
        <v>1953</v>
      </c>
      <c r="G137" s="3025"/>
      <c r="H137" s="3025"/>
      <c r="I137" s="3025"/>
      <c r="J137" s="3025"/>
      <c r="K137" s="3025"/>
      <c r="L137" s="3025"/>
      <c r="M137" s="3025"/>
      <c r="N137" s="3025"/>
      <c r="O137" s="3025"/>
      <c r="P137" s="3025"/>
      <c r="Q137" s="3026">
        <v>55</v>
      </c>
      <c r="R137" s="3026"/>
      <c r="S137" s="3026"/>
      <c r="T137" s="3027"/>
      <c r="U137" s="3027"/>
      <c r="V137" s="3027"/>
      <c r="W137" s="3027"/>
      <c r="X137" s="3027"/>
      <c r="Y137" s="3027"/>
      <c r="Z137" s="3027"/>
      <c r="AA137" s="3027"/>
      <c r="AB137" s="3028">
        <v>0</v>
      </c>
      <c r="AC137" s="3029"/>
      <c r="AD137" s="3029"/>
      <c r="AE137" s="3029"/>
      <c r="AF137" s="3029"/>
      <c r="AG137" s="3030"/>
      <c r="AH137" s="1144"/>
      <c r="AI137" s="1144"/>
      <c r="AJ137" s="1144"/>
      <c r="AK137" s="1144"/>
      <c r="AL137" s="1144"/>
      <c r="AM137" s="1144"/>
      <c r="AN137" s="1144"/>
      <c r="AO137" s="1144"/>
      <c r="AP137" s="1144"/>
      <c r="AQ137" s="1144"/>
      <c r="AR137" s="1144"/>
      <c r="AS137" s="1144"/>
      <c r="AT137" s="1144"/>
      <c r="AU137" s="1144"/>
      <c r="AV137" s="1144"/>
      <c r="AW137" s="1144"/>
      <c r="AX137" s="1144"/>
      <c r="AY137" s="1144"/>
      <c r="AZ137" s="1144"/>
      <c r="BA137" s="1144"/>
      <c r="BB137" s="1144"/>
      <c r="BC137" s="1144"/>
      <c r="BD137" s="1144"/>
      <c r="BE137" s="1150"/>
    </row>
    <row r="138" spans="1:57" ht="15.75" customHeight="1" thickBot="1">
      <c r="A138" s="1144"/>
      <c r="B138" s="1144"/>
      <c r="C138" s="2703" t="s">
        <v>174</v>
      </c>
      <c r="D138" s="2704"/>
      <c r="E138" s="2704"/>
      <c r="F138" s="3025" t="s">
        <v>1953</v>
      </c>
      <c r="G138" s="3025"/>
      <c r="H138" s="3025"/>
      <c r="I138" s="3025"/>
      <c r="J138" s="3025"/>
      <c r="K138" s="3025"/>
      <c r="L138" s="3025"/>
      <c r="M138" s="3025"/>
      <c r="N138" s="3025"/>
      <c r="O138" s="3025"/>
      <c r="P138" s="3025"/>
      <c r="Q138" s="3026">
        <v>55</v>
      </c>
      <c r="R138" s="3026"/>
      <c r="S138" s="3026"/>
      <c r="T138" s="3027"/>
      <c r="U138" s="3027"/>
      <c r="V138" s="3027"/>
      <c r="W138" s="3027"/>
      <c r="X138" s="3027"/>
      <c r="Y138" s="3027"/>
      <c r="Z138" s="3027"/>
      <c r="AA138" s="3027"/>
      <c r="AB138" s="3028">
        <v>0</v>
      </c>
      <c r="AC138" s="3029"/>
      <c r="AD138" s="3029"/>
      <c r="AE138" s="3029"/>
      <c r="AF138" s="3029"/>
      <c r="AG138" s="3030"/>
      <c r="AH138" s="1144"/>
      <c r="AI138" s="1144"/>
      <c r="AJ138" s="1144"/>
      <c r="AK138" s="1144" t="s">
        <v>255</v>
      </c>
      <c r="AL138" s="1144"/>
      <c r="AM138" s="1144"/>
      <c r="AN138" s="1144"/>
      <c r="AO138" s="1144"/>
      <c r="AP138" s="1144"/>
      <c r="AQ138" s="1144"/>
      <c r="AR138" s="1144"/>
      <c r="AS138" s="1144"/>
      <c r="AT138" s="1144"/>
      <c r="AU138" s="1144"/>
      <c r="AV138" s="1144"/>
      <c r="AW138" s="1144"/>
      <c r="AX138" s="1144"/>
      <c r="AY138" s="1144"/>
      <c r="AZ138" s="1144"/>
      <c r="BA138" s="1144"/>
      <c r="BB138" s="1144"/>
      <c r="BC138" s="1144"/>
      <c r="BD138" s="1144"/>
      <c r="BE138" s="1150"/>
    </row>
    <row r="139" spans="1:57" ht="15.75" customHeight="1" thickBot="1">
      <c r="A139" s="1144"/>
      <c r="B139" s="1144"/>
      <c r="C139" s="2703" t="s">
        <v>174</v>
      </c>
      <c r="D139" s="2704"/>
      <c r="E139" s="2704"/>
      <c r="F139" s="3032" t="s">
        <v>1953</v>
      </c>
      <c r="G139" s="3032"/>
      <c r="H139" s="3032"/>
      <c r="I139" s="3032"/>
      <c r="J139" s="3032"/>
      <c r="K139" s="3032"/>
      <c r="L139" s="3032"/>
      <c r="M139" s="3032"/>
      <c r="N139" s="3032"/>
      <c r="O139" s="3032"/>
      <c r="P139" s="3032"/>
      <c r="Q139" s="2872">
        <v>55</v>
      </c>
      <c r="R139" s="2872"/>
      <c r="S139" s="2872"/>
      <c r="T139" s="2871"/>
      <c r="U139" s="2871"/>
      <c r="V139" s="2871"/>
      <c r="W139" s="2871"/>
      <c r="X139" s="2871"/>
      <c r="Y139" s="2871"/>
      <c r="Z139" s="2871"/>
      <c r="AA139" s="2871"/>
      <c r="AB139" s="3033">
        <v>0</v>
      </c>
      <c r="AC139" s="3034"/>
      <c r="AD139" s="3034"/>
      <c r="AE139" s="3034"/>
      <c r="AF139" s="3034"/>
      <c r="AG139" s="3035"/>
      <c r="AH139" s="1144"/>
      <c r="AI139" s="1144"/>
      <c r="AJ139" s="1144"/>
      <c r="AK139" s="1144"/>
      <c r="AL139" s="1144"/>
      <c r="AM139" s="1144"/>
      <c r="AN139" s="1144"/>
      <c r="AO139" s="1144"/>
      <c r="AP139" s="1144"/>
      <c r="AQ139" s="1144"/>
      <c r="AR139" s="1144"/>
      <c r="AS139" s="1144"/>
      <c r="AT139" s="1144"/>
      <c r="AU139" s="1144"/>
      <c r="AV139" s="1144"/>
      <c r="AW139" s="1144"/>
      <c r="AX139" s="1144"/>
      <c r="AY139" s="1144"/>
      <c r="AZ139" s="1144"/>
      <c r="BA139" s="1144"/>
      <c r="BB139" s="1144"/>
      <c r="BC139" s="1144"/>
      <c r="BD139" s="1144"/>
      <c r="BE139" s="1150"/>
    </row>
    <row r="140" spans="1:57" ht="15.75" customHeight="1" thickBot="1">
      <c r="A140" s="1144"/>
      <c r="B140" s="1144"/>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1144"/>
      <c r="AL140" s="1144"/>
      <c r="AM140" s="1144"/>
      <c r="AN140" s="1144"/>
      <c r="AO140" s="1144"/>
      <c r="AP140" s="1144"/>
      <c r="AQ140" s="1144"/>
      <c r="AR140" s="1144"/>
      <c r="AS140" s="1144"/>
      <c r="AT140" s="1144"/>
      <c r="AU140" s="1144"/>
      <c r="AV140" s="1144"/>
      <c r="AW140" s="1144"/>
      <c r="AX140" s="1144"/>
      <c r="AY140" s="1144"/>
      <c r="AZ140" s="1144"/>
      <c r="BA140" s="1144"/>
      <c r="BB140" s="1144"/>
      <c r="BC140" s="1144"/>
      <c r="BD140" s="1144"/>
      <c r="BE140" s="1150"/>
    </row>
    <row r="141" spans="1:57" ht="15.75" customHeight="1" thickBot="1">
      <c r="A141" s="1144"/>
      <c r="B141" s="1144"/>
      <c r="C141" s="2705" t="s">
        <v>1954</v>
      </c>
      <c r="D141" s="2706"/>
      <c r="E141" s="2706"/>
      <c r="F141" s="2706"/>
      <c r="G141" s="2706"/>
      <c r="H141" s="2706"/>
      <c r="I141" s="2706"/>
      <c r="J141" s="2706"/>
      <c r="K141" s="2706"/>
      <c r="L141" s="2706"/>
      <c r="M141" s="2706"/>
      <c r="N141" s="2707"/>
      <c r="O141" s="1144"/>
      <c r="P141" s="3037" t="s">
        <v>1955</v>
      </c>
      <c r="Q141" s="3038"/>
      <c r="R141" s="3038"/>
      <c r="S141" s="3038"/>
      <c r="T141" s="3038"/>
      <c r="U141" s="3038"/>
      <c r="V141" s="3038"/>
      <c r="W141" s="3038"/>
      <c r="X141" s="3038"/>
      <c r="Y141" s="3038"/>
      <c r="Z141" s="3038"/>
      <c r="AA141" s="3038"/>
      <c r="AB141" s="3038"/>
      <c r="AC141" s="3038"/>
      <c r="AD141" s="3038"/>
      <c r="AE141" s="3038"/>
      <c r="AF141" s="3038"/>
      <c r="AG141" s="3038"/>
      <c r="AH141" s="3038"/>
      <c r="AI141" s="3038"/>
      <c r="AJ141" s="3038"/>
      <c r="AK141" s="3038"/>
      <c r="AL141" s="3038"/>
      <c r="AM141" s="3038"/>
      <c r="AN141" s="3038"/>
      <c r="AO141" s="3039"/>
      <c r="AP141" s="1144"/>
      <c r="AQ141" s="1144"/>
      <c r="AR141" s="1144"/>
      <c r="AS141" s="1144"/>
      <c r="AT141" s="1144"/>
      <c r="AU141" s="1144"/>
      <c r="AV141" s="1144"/>
      <c r="AW141" s="1144"/>
      <c r="AX141" s="1144"/>
      <c r="AY141" s="1144"/>
      <c r="AZ141" s="1144"/>
      <c r="BA141" s="1144"/>
      <c r="BB141" s="1144"/>
      <c r="BC141" s="1144"/>
      <c r="BD141" s="1144"/>
      <c r="BE141" s="1150"/>
    </row>
    <row r="142" spans="1:57" ht="15.75" customHeight="1">
      <c r="A142" s="1144"/>
      <c r="B142" s="1144"/>
      <c r="C142" s="2919" t="s">
        <v>1956</v>
      </c>
      <c r="D142" s="2920"/>
      <c r="E142" s="2920"/>
      <c r="F142" s="2920"/>
      <c r="G142" s="2920"/>
      <c r="H142" s="2921"/>
      <c r="I142" s="2919" t="s">
        <v>1957</v>
      </c>
      <c r="J142" s="2920"/>
      <c r="K142" s="2920"/>
      <c r="L142" s="2920"/>
      <c r="M142" s="2920"/>
      <c r="N142" s="2921"/>
      <c r="O142" s="1144"/>
      <c r="P142" s="3040" t="s">
        <v>2316</v>
      </c>
      <c r="Q142" s="3041"/>
      <c r="R142" s="3041"/>
      <c r="S142" s="3041"/>
      <c r="T142" s="3041"/>
      <c r="U142" s="3041"/>
      <c r="V142" s="3041"/>
      <c r="W142" s="3041"/>
      <c r="X142" s="3041"/>
      <c r="Y142" s="3041"/>
      <c r="Z142" s="3041"/>
      <c r="AA142" s="3041"/>
      <c r="AB142" s="3041"/>
      <c r="AC142" s="3041"/>
      <c r="AD142" s="3041"/>
      <c r="AE142" s="3041"/>
      <c r="AF142" s="3041"/>
      <c r="AG142" s="3041"/>
      <c r="AH142" s="3041"/>
      <c r="AI142" s="3041"/>
      <c r="AJ142" s="3041"/>
      <c r="AK142" s="3041"/>
      <c r="AL142" s="3041"/>
      <c r="AM142" s="3041"/>
      <c r="AN142" s="3041"/>
      <c r="AO142" s="3042"/>
      <c r="AP142" s="1144"/>
      <c r="AQ142" s="1144"/>
      <c r="AR142" s="1144"/>
      <c r="AS142" s="1144"/>
      <c r="AT142" s="1144"/>
      <c r="AU142" s="1144"/>
      <c r="AV142" s="1144"/>
      <c r="AW142" s="1144"/>
      <c r="AX142" s="1144"/>
      <c r="AY142" s="1144"/>
      <c r="AZ142" s="1144"/>
      <c r="BA142" s="1144"/>
      <c r="BB142" s="1144"/>
      <c r="BC142" s="1144"/>
      <c r="BD142" s="1144"/>
      <c r="BE142" s="1150"/>
    </row>
    <row r="143" spans="1:57" ht="15.75" customHeight="1">
      <c r="A143" s="1144"/>
      <c r="B143" s="1144"/>
      <c r="C143" s="2806"/>
      <c r="D143" s="2806"/>
      <c r="E143" s="2806"/>
      <c r="F143" s="2806"/>
      <c r="G143" s="2806"/>
      <c r="H143" s="2806"/>
      <c r="I143" s="3036"/>
      <c r="J143" s="3036"/>
      <c r="K143" s="3036"/>
      <c r="L143" s="3036"/>
      <c r="M143" s="3036"/>
      <c r="N143" s="3036"/>
      <c r="O143" s="1144"/>
      <c r="P143" s="3040"/>
      <c r="Q143" s="3041"/>
      <c r="R143" s="3041"/>
      <c r="S143" s="3041"/>
      <c r="T143" s="3041"/>
      <c r="U143" s="3041"/>
      <c r="V143" s="3041"/>
      <c r="W143" s="3041"/>
      <c r="X143" s="3041"/>
      <c r="Y143" s="3041"/>
      <c r="Z143" s="3041"/>
      <c r="AA143" s="3041"/>
      <c r="AB143" s="3041"/>
      <c r="AC143" s="3041"/>
      <c r="AD143" s="3041"/>
      <c r="AE143" s="3041"/>
      <c r="AF143" s="3041"/>
      <c r="AG143" s="3041"/>
      <c r="AH143" s="3041"/>
      <c r="AI143" s="3041"/>
      <c r="AJ143" s="3041"/>
      <c r="AK143" s="3041"/>
      <c r="AL143" s="3041"/>
      <c r="AM143" s="3041"/>
      <c r="AN143" s="3041"/>
      <c r="AO143" s="3042"/>
      <c r="AP143" s="1144"/>
      <c r="AQ143" s="1144"/>
      <c r="AR143" s="1144"/>
      <c r="AS143" s="1144"/>
      <c r="AT143" s="1144"/>
      <c r="AU143" s="1144"/>
      <c r="AV143" s="1144"/>
      <c r="AW143" s="1144"/>
      <c r="AX143" s="1144"/>
      <c r="AY143" s="1144"/>
      <c r="AZ143" s="1144"/>
      <c r="BA143" s="1144"/>
      <c r="BB143" s="1144"/>
      <c r="BC143" s="1144"/>
      <c r="BD143" s="1144"/>
      <c r="BE143" s="1150"/>
    </row>
    <row r="144" spans="1:57" ht="15.75" customHeight="1">
      <c r="A144" s="1144"/>
      <c r="B144" s="1144"/>
      <c r="C144" s="2806"/>
      <c r="D144" s="2806"/>
      <c r="E144" s="2806"/>
      <c r="F144" s="2806"/>
      <c r="G144" s="2806"/>
      <c r="H144" s="2806"/>
      <c r="I144" s="3036"/>
      <c r="J144" s="3036"/>
      <c r="K144" s="3036"/>
      <c r="L144" s="3036"/>
      <c r="M144" s="3036"/>
      <c r="N144" s="3036"/>
      <c r="O144" s="1144"/>
      <c r="P144" s="3040"/>
      <c r="Q144" s="3041"/>
      <c r="R144" s="3041"/>
      <c r="S144" s="3041"/>
      <c r="T144" s="3041"/>
      <c r="U144" s="3041"/>
      <c r="V144" s="3041"/>
      <c r="W144" s="3041"/>
      <c r="X144" s="3041"/>
      <c r="Y144" s="3041"/>
      <c r="Z144" s="3041"/>
      <c r="AA144" s="3041"/>
      <c r="AB144" s="3041"/>
      <c r="AC144" s="3041"/>
      <c r="AD144" s="3041"/>
      <c r="AE144" s="3041"/>
      <c r="AF144" s="3041"/>
      <c r="AG144" s="3041"/>
      <c r="AH144" s="3041"/>
      <c r="AI144" s="3041"/>
      <c r="AJ144" s="3041"/>
      <c r="AK144" s="3041"/>
      <c r="AL144" s="3041"/>
      <c r="AM144" s="3041"/>
      <c r="AN144" s="3041"/>
      <c r="AO144" s="3042"/>
      <c r="AP144" s="1144"/>
      <c r="AQ144" s="1144"/>
      <c r="AR144" s="1144"/>
      <c r="AS144" s="1144"/>
      <c r="AT144" s="1144"/>
      <c r="AU144" s="1144"/>
      <c r="AV144" s="1144"/>
      <c r="AW144" s="1144"/>
      <c r="AX144" s="1144"/>
      <c r="AY144" s="1144"/>
      <c r="AZ144" s="1144"/>
      <c r="BA144" s="1144"/>
      <c r="BB144" s="1144"/>
      <c r="BC144" s="1144"/>
      <c r="BD144" s="1144"/>
      <c r="BE144" s="1150"/>
    </row>
    <row r="145" spans="1:57" ht="15.75" customHeight="1">
      <c r="A145" s="1144"/>
      <c r="B145" s="1144"/>
      <c r="C145" s="2806"/>
      <c r="D145" s="2806"/>
      <c r="E145" s="2806"/>
      <c r="F145" s="2806"/>
      <c r="G145" s="2806"/>
      <c r="H145" s="2806"/>
      <c r="I145" s="3036"/>
      <c r="J145" s="3036"/>
      <c r="K145" s="3036"/>
      <c r="L145" s="3036"/>
      <c r="M145" s="3036"/>
      <c r="N145" s="3036"/>
      <c r="O145" s="1144"/>
      <c r="P145" s="3040"/>
      <c r="Q145" s="3041"/>
      <c r="R145" s="3041"/>
      <c r="S145" s="3041"/>
      <c r="T145" s="3041"/>
      <c r="U145" s="3041"/>
      <c r="V145" s="3041"/>
      <c r="W145" s="3041"/>
      <c r="X145" s="3041"/>
      <c r="Y145" s="3041"/>
      <c r="Z145" s="3041"/>
      <c r="AA145" s="3041"/>
      <c r="AB145" s="3041"/>
      <c r="AC145" s="3041"/>
      <c r="AD145" s="3041"/>
      <c r="AE145" s="3041"/>
      <c r="AF145" s="3041"/>
      <c r="AG145" s="3041"/>
      <c r="AH145" s="3041"/>
      <c r="AI145" s="3041"/>
      <c r="AJ145" s="3041"/>
      <c r="AK145" s="3041"/>
      <c r="AL145" s="3041"/>
      <c r="AM145" s="3041"/>
      <c r="AN145" s="3041"/>
      <c r="AO145" s="3042"/>
      <c r="AP145" s="1144"/>
      <c r="AQ145" s="1144"/>
      <c r="AR145" s="1144"/>
      <c r="AS145" s="1144"/>
      <c r="AT145" s="1144"/>
      <c r="AU145" s="1144"/>
      <c r="AV145" s="1144"/>
      <c r="AW145" s="1144"/>
      <c r="AX145" s="1144"/>
      <c r="AY145" s="1144"/>
      <c r="AZ145" s="1144"/>
      <c r="BA145" s="1144"/>
      <c r="BB145" s="1144"/>
      <c r="BC145" s="1144"/>
      <c r="BD145" s="1144"/>
      <c r="BE145" s="1150"/>
    </row>
    <row r="146" spans="1:57" ht="15.75" customHeight="1">
      <c r="A146" s="1144"/>
      <c r="B146" s="1144"/>
      <c r="C146" s="2806"/>
      <c r="D146" s="2806"/>
      <c r="E146" s="2806"/>
      <c r="F146" s="2806"/>
      <c r="G146" s="2806"/>
      <c r="H146" s="2806"/>
      <c r="I146" s="3036"/>
      <c r="J146" s="3036"/>
      <c r="K146" s="3036"/>
      <c r="L146" s="3036"/>
      <c r="M146" s="3036"/>
      <c r="N146" s="3036"/>
      <c r="O146" s="1144"/>
      <c r="P146" s="3040"/>
      <c r="Q146" s="3041"/>
      <c r="R146" s="3041"/>
      <c r="S146" s="3041"/>
      <c r="T146" s="3041"/>
      <c r="U146" s="3041"/>
      <c r="V146" s="3041"/>
      <c r="W146" s="3041"/>
      <c r="X146" s="3041"/>
      <c r="Y146" s="3041"/>
      <c r="Z146" s="3041"/>
      <c r="AA146" s="3041"/>
      <c r="AB146" s="3041"/>
      <c r="AC146" s="3041"/>
      <c r="AD146" s="3041"/>
      <c r="AE146" s="3041"/>
      <c r="AF146" s="3041"/>
      <c r="AG146" s="3041"/>
      <c r="AH146" s="3041"/>
      <c r="AI146" s="3041"/>
      <c r="AJ146" s="3041"/>
      <c r="AK146" s="3041"/>
      <c r="AL146" s="3041"/>
      <c r="AM146" s="3041"/>
      <c r="AN146" s="3041"/>
      <c r="AO146" s="3042"/>
      <c r="AP146" s="1144"/>
      <c r="AQ146" s="1144"/>
      <c r="AR146" s="1144"/>
      <c r="AS146" s="1144"/>
      <c r="AT146" s="1144"/>
      <c r="AU146" s="1144"/>
      <c r="AV146" s="1144"/>
      <c r="AW146" s="1144"/>
      <c r="AX146" s="1144"/>
      <c r="AY146" s="1144"/>
      <c r="AZ146" s="1144"/>
      <c r="BA146" s="1144"/>
      <c r="BB146" s="1144"/>
      <c r="BC146" s="1144"/>
      <c r="BD146" s="1144"/>
      <c r="BE146" s="1150"/>
    </row>
    <row r="147" spans="1:57" ht="15.75" customHeight="1">
      <c r="A147" s="1144"/>
      <c r="B147" s="1144"/>
      <c r="C147" s="2806"/>
      <c r="D147" s="2806"/>
      <c r="E147" s="2806"/>
      <c r="F147" s="2806"/>
      <c r="G147" s="2806"/>
      <c r="H147" s="2806"/>
      <c r="I147" s="3036"/>
      <c r="J147" s="3036"/>
      <c r="K147" s="3036"/>
      <c r="L147" s="3036"/>
      <c r="M147" s="3036"/>
      <c r="N147" s="3036"/>
      <c r="O147" s="1144"/>
      <c r="P147" s="3040"/>
      <c r="Q147" s="3041"/>
      <c r="R147" s="3041"/>
      <c r="S147" s="3041"/>
      <c r="T147" s="3041"/>
      <c r="U147" s="3041"/>
      <c r="V147" s="3041"/>
      <c r="W147" s="3041"/>
      <c r="X147" s="3041"/>
      <c r="Y147" s="3041"/>
      <c r="Z147" s="3041"/>
      <c r="AA147" s="3041"/>
      <c r="AB147" s="3041"/>
      <c r="AC147" s="3041"/>
      <c r="AD147" s="3041"/>
      <c r="AE147" s="3041"/>
      <c r="AF147" s="3041"/>
      <c r="AG147" s="3041"/>
      <c r="AH147" s="3041"/>
      <c r="AI147" s="3041"/>
      <c r="AJ147" s="3041"/>
      <c r="AK147" s="3041"/>
      <c r="AL147" s="3041"/>
      <c r="AM147" s="3041"/>
      <c r="AN147" s="3041"/>
      <c r="AO147" s="3042"/>
      <c r="AP147" s="1144"/>
      <c r="AQ147" s="1144"/>
      <c r="AR147" s="1144"/>
      <c r="AS147" s="1144"/>
      <c r="AT147" s="1144"/>
      <c r="AU147" s="1144"/>
      <c r="AV147" s="1144"/>
      <c r="AW147" s="1144"/>
      <c r="AX147" s="1144"/>
      <c r="AY147" s="1144"/>
      <c r="AZ147" s="1144"/>
      <c r="BA147" s="1144"/>
      <c r="BB147" s="1144"/>
      <c r="BC147" s="1144"/>
      <c r="BD147" s="1144"/>
      <c r="BE147" s="1150"/>
    </row>
    <row r="148" spans="1:57" ht="15.75" customHeight="1">
      <c r="A148" s="1144"/>
      <c r="B148" s="1144"/>
      <c r="C148" s="2806"/>
      <c r="D148" s="2806"/>
      <c r="E148" s="2806"/>
      <c r="F148" s="2806"/>
      <c r="G148" s="2806"/>
      <c r="H148" s="2806"/>
      <c r="I148" s="3036"/>
      <c r="J148" s="3036"/>
      <c r="K148" s="3036"/>
      <c r="L148" s="3036"/>
      <c r="M148" s="3036"/>
      <c r="N148" s="3036"/>
      <c r="O148" s="1144"/>
      <c r="P148" s="3040"/>
      <c r="Q148" s="3041"/>
      <c r="R148" s="3041"/>
      <c r="S148" s="3041"/>
      <c r="T148" s="3041"/>
      <c r="U148" s="3041"/>
      <c r="V148" s="3041"/>
      <c r="W148" s="3041"/>
      <c r="X148" s="3041"/>
      <c r="Y148" s="3041"/>
      <c r="Z148" s="3041"/>
      <c r="AA148" s="3041"/>
      <c r="AB148" s="3041"/>
      <c r="AC148" s="3041"/>
      <c r="AD148" s="3041"/>
      <c r="AE148" s="3041"/>
      <c r="AF148" s="3041"/>
      <c r="AG148" s="3041"/>
      <c r="AH148" s="3041"/>
      <c r="AI148" s="3041"/>
      <c r="AJ148" s="3041"/>
      <c r="AK148" s="3041"/>
      <c r="AL148" s="3041"/>
      <c r="AM148" s="3041"/>
      <c r="AN148" s="3041"/>
      <c r="AO148" s="3042"/>
      <c r="AP148" s="1144"/>
      <c r="AQ148" s="1144"/>
      <c r="AR148" s="1144"/>
      <c r="AS148" s="1144"/>
      <c r="AT148" s="1144"/>
      <c r="AU148" s="1144"/>
      <c r="AV148" s="1144"/>
      <c r="AW148" s="1144"/>
      <c r="AX148" s="1144"/>
      <c r="AY148" s="1144"/>
      <c r="AZ148" s="1144"/>
      <c r="BA148" s="1144"/>
      <c r="BB148" s="1144"/>
      <c r="BC148" s="1144"/>
      <c r="BD148" s="1144"/>
      <c r="BE148" s="1150"/>
    </row>
    <row r="149" spans="1:57" ht="15.75" customHeight="1" thickBot="1">
      <c r="A149" s="1144"/>
      <c r="B149" s="1144"/>
      <c r="C149" s="2806"/>
      <c r="D149" s="2806"/>
      <c r="E149" s="2806"/>
      <c r="F149" s="2806"/>
      <c r="G149" s="2806"/>
      <c r="H149" s="2806"/>
      <c r="I149" s="3036"/>
      <c r="J149" s="3036"/>
      <c r="K149" s="3036"/>
      <c r="L149" s="3036"/>
      <c r="M149" s="3036"/>
      <c r="N149" s="3036"/>
      <c r="O149" s="1144"/>
      <c r="P149" s="3043"/>
      <c r="Q149" s="3044"/>
      <c r="R149" s="3044"/>
      <c r="S149" s="3044"/>
      <c r="T149" s="3044"/>
      <c r="U149" s="3044"/>
      <c r="V149" s="3044"/>
      <c r="W149" s="3044"/>
      <c r="X149" s="3044"/>
      <c r="Y149" s="3044"/>
      <c r="Z149" s="3044"/>
      <c r="AA149" s="3044"/>
      <c r="AB149" s="3044"/>
      <c r="AC149" s="3044"/>
      <c r="AD149" s="3044"/>
      <c r="AE149" s="3044"/>
      <c r="AF149" s="3044"/>
      <c r="AG149" s="3044"/>
      <c r="AH149" s="3044"/>
      <c r="AI149" s="3044"/>
      <c r="AJ149" s="3044"/>
      <c r="AK149" s="3044"/>
      <c r="AL149" s="3044"/>
      <c r="AM149" s="3044"/>
      <c r="AN149" s="3044"/>
      <c r="AO149" s="3045"/>
      <c r="AP149" s="1144"/>
      <c r="AQ149" s="1144"/>
      <c r="AR149" s="1144"/>
      <c r="AS149" s="1144"/>
      <c r="AT149" s="1144"/>
      <c r="AU149" s="1144"/>
      <c r="AV149" s="1144"/>
      <c r="AW149" s="1144"/>
      <c r="AX149" s="1144"/>
      <c r="AY149" s="1144"/>
      <c r="AZ149" s="1144"/>
      <c r="BA149" s="1144"/>
      <c r="BB149" s="1144"/>
      <c r="BC149" s="1144"/>
      <c r="BD149" s="1144"/>
      <c r="BE149" s="1150"/>
    </row>
    <row r="150" spans="1:57" ht="15.75" customHeight="1">
      <c r="A150" s="1144"/>
      <c r="B150" s="1144"/>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c r="AE150" s="1144"/>
      <c r="AF150" s="1144"/>
      <c r="AG150" s="1144"/>
      <c r="AH150" s="1144"/>
      <c r="AI150" s="1144"/>
      <c r="AJ150" s="1144"/>
      <c r="AK150" s="1144"/>
      <c r="AL150" s="1144"/>
      <c r="AM150" s="1144"/>
      <c r="AN150" s="1144"/>
      <c r="AO150" s="1144"/>
      <c r="AP150" s="1144"/>
      <c r="AQ150" s="1144"/>
      <c r="AR150" s="1144"/>
      <c r="AS150" s="1144"/>
      <c r="AT150" s="1144"/>
      <c r="AU150" s="1144"/>
      <c r="AV150" s="1144"/>
      <c r="AW150" s="1144"/>
      <c r="AX150" s="1144"/>
      <c r="AY150" s="1144"/>
      <c r="AZ150" s="1144"/>
      <c r="BA150" s="1144"/>
      <c r="BB150" s="1144"/>
      <c r="BC150" s="1144"/>
      <c r="BD150" s="1144"/>
      <c r="BE150" s="1150"/>
    </row>
    <row r="151" spans="1:57" ht="15.75" customHeight="1">
      <c r="A151" s="1144"/>
      <c r="B151" s="1144"/>
      <c r="C151" s="1154" t="s">
        <v>2307</v>
      </c>
      <c r="J151" s="1156"/>
      <c r="K151" s="1156"/>
      <c r="L151" s="1156"/>
      <c r="M151" s="1156"/>
      <c r="N151" s="1156"/>
      <c r="O151" s="1156"/>
      <c r="P151" s="1156"/>
      <c r="Q151" s="1156"/>
      <c r="R151" s="1156"/>
      <c r="S151" s="1156"/>
      <c r="T151" s="1156"/>
      <c r="U151" s="1156"/>
      <c r="V151" s="1156"/>
      <c r="W151" s="1156"/>
      <c r="X151" s="1156"/>
      <c r="Y151" s="1156"/>
      <c r="Z151" s="1156"/>
      <c r="AA151" s="1156"/>
      <c r="AB151" s="1156"/>
      <c r="AC151" s="1156"/>
      <c r="AD151" s="1156"/>
      <c r="AE151" s="1156"/>
      <c r="AF151" s="1156"/>
      <c r="AG151" s="1156"/>
      <c r="AH151" s="1156"/>
      <c r="AI151" s="1156"/>
      <c r="AJ151" s="1156"/>
      <c r="AK151" s="1156"/>
      <c r="AL151" s="1156"/>
      <c r="AM151" s="1156"/>
      <c r="AN151" s="1144"/>
      <c r="AO151" s="1144"/>
      <c r="AP151" s="1144"/>
      <c r="AQ151" s="1144"/>
      <c r="AR151" s="1144"/>
      <c r="AS151" s="1144"/>
      <c r="AT151" s="1144"/>
      <c r="AU151" s="1144"/>
      <c r="AV151" s="1144"/>
      <c r="AW151" s="1144"/>
      <c r="AX151" s="1144"/>
      <c r="AY151" s="1144"/>
      <c r="AZ151" s="1144"/>
      <c r="BA151" s="1144"/>
      <c r="BB151" s="1144"/>
      <c r="BC151" s="1144"/>
      <c r="BD151" s="1144"/>
      <c r="BE151" s="1150"/>
    </row>
    <row r="152" spans="1:57" ht="15.75" customHeight="1" thickBot="1">
      <c r="A152" s="1144"/>
      <c r="B152" s="1144"/>
      <c r="C152" s="1144"/>
      <c r="D152" s="1144"/>
      <c r="E152" s="1144"/>
      <c r="F152" s="1144"/>
      <c r="G152" s="1144"/>
      <c r="H152" s="1144"/>
      <c r="I152" s="1144"/>
      <c r="J152" s="1144"/>
      <c r="K152" s="1144"/>
      <c r="L152" s="1151"/>
      <c r="M152" s="1144"/>
      <c r="N152" s="1144"/>
      <c r="O152" s="1144"/>
      <c r="P152" s="1144"/>
      <c r="Q152" s="1144"/>
      <c r="R152" s="1144"/>
      <c r="S152" s="1144"/>
      <c r="T152" s="1144"/>
      <c r="U152" s="1144"/>
      <c r="V152" s="1144"/>
      <c r="W152" s="1144"/>
      <c r="X152" s="1144"/>
      <c r="Y152" s="1144"/>
      <c r="Z152" s="1144"/>
      <c r="AA152" s="1144"/>
      <c r="AB152" s="1144"/>
      <c r="AC152" s="1144"/>
      <c r="AD152" s="1144"/>
      <c r="AE152" s="1144"/>
      <c r="AF152" s="1144"/>
      <c r="AG152" s="1144"/>
      <c r="AH152" s="1144"/>
      <c r="AI152" s="1144"/>
      <c r="AJ152" s="1144"/>
      <c r="AK152" s="1144"/>
      <c r="AL152" s="1144"/>
      <c r="AM152" s="1144"/>
      <c r="AN152" s="1144"/>
      <c r="AO152" s="1144"/>
      <c r="AP152" s="1144"/>
      <c r="AQ152" s="1144"/>
      <c r="AR152" s="1144"/>
      <c r="AS152" s="1144"/>
      <c r="AT152" s="1144"/>
      <c r="AU152" s="1144"/>
      <c r="AV152" s="1144"/>
      <c r="AW152" s="1144"/>
      <c r="AX152" s="1144"/>
      <c r="AY152" s="1144"/>
      <c r="AZ152" s="1144"/>
      <c r="BA152" s="1144"/>
      <c r="BB152" s="1144"/>
      <c r="BC152" s="1144"/>
      <c r="BD152" s="1144"/>
      <c r="BE152" s="1150"/>
    </row>
    <row r="153" spans="1:57" ht="15.75" customHeight="1">
      <c r="A153" s="1144"/>
      <c r="B153" s="1144"/>
      <c r="C153" s="3055"/>
      <c r="D153" s="3056"/>
      <c r="E153" s="3056"/>
      <c r="F153" s="3056"/>
      <c r="G153" s="3056"/>
      <c r="H153" s="3056"/>
      <c r="I153" s="3056"/>
      <c r="J153" s="3056"/>
      <c r="K153" s="3056"/>
      <c r="L153" s="3056"/>
      <c r="M153" s="3057"/>
      <c r="N153" s="3058" t="s">
        <v>1958</v>
      </c>
      <c r="O153" s="3058"/>
      <c r="P153" s="3058"/>
      <c r="Q153" s="3058"/>
      <c r="R153" s="3058"/>
      <c r="S153" s="3058"/>
      <c r="T153" s="3059"/>
      <c r="U153" s="3060" t="s">
        <v>1947</v>
      </c>
      <c r="V153" s="2847"/>
      <c r="W153" s="2847"/>
      <c r="X153" s="2847"/>
      <c r="Y153" s="2847"/>
      <c r="Z153" s="2847"/>
      <c r="AA153" s="2847"/>
      <c r="AB153" s="2847"/>
      <c r="AC153" s="2847"/>
      <c r="AD153" s="2847"/>
      <c r="AE153" s="2848"/>
      <c r="AF153" s="1144"/>
      <c r="AG153" s="1144"/>
      <c r="AH153" s="2698" t="s">
        <v>1959</v>
      </c>
      <c r="AI153" s="2699"/>
      <c r="AJ153" s="2699"/>
      <c r="AK153" s="2699"/>
      <c r="AL153" s="2699"/>
      <c r="AM153" s="2699"/>
      <c r="AN153" s="2699"/>
      <c r="AO153" s="2699"/>
      <c r="AP153" s="2699"/>
      <c r="AQ153" s="2699"/>
      <c r="AR153" s="2699"/>
      <c r="AS153" s="3046">
        <v>6500000</v>
      </c>
      <c r="AT153" s="3046"/>
      <c r="AU153" s="3046"/>
      <c r="AV153" s="3046"/>
      <c r="AW153" s="3046"/>
      <c r="AX153" s="1144"/>
      <c r="AY153" s="1144"/>
      <c r="AZ153" s="1144"/>
      <c r="BA153" s="1144"/>
      <c r="BB153" s="1144"/>
      <c r="BC153" s="1144"/>
      <c r="BD153" s="1144"/>
      <c r="BE153" s="1150"/>
    </row>
    <row r="154" spans="1:57" ht="15.75" customHeight="1">
      <c r="A154" s="1144"/>
      <c r="B154" s="1144"/>
      <c r="C154" s="3012" t="s">
        <v>1960</v>
      </c>
      <c r="D154" s="3013"/>
      <c r="E154" s="3013"/>
      <c r="F154" s="3013"/>
      <c r="G154" s="3013"/>
      <c r="H154" s="3013"/>
      <c r="I154" s="3013"/>
      <c r="J154" s="3013"/>
      <c r="K154" s="3013"/>
      <c r="L154" s="3013"/>
      <c r="M154" s="3047"/>
      <c r="N154" s="3048">
        <f>'Sources and Uses Budget'!B105</f>
        <v>90323824</v>
      </c>
      <c r="O154" s="3048"/>
      <c r="P154" s="3048"/>
      <c r="Q154" s="3048"/>
      <c r="R154" s="3048"/>
      <c r="S154" s="3048"/>
      <c r="T154" s="3049"/>
      <c r="U154" s="3050"/>
      <c r="V154" s="3051"/>
      <c r="W154" s="3051"/>
      <c r="X154" s="3051"/>
      <c r="Y154" s="3051"/>
      <c r="Z154" s="3051"/>
      <c r="AA154" s="3051"/>
      <c r="AB154" s="3051"/>
      <c r="AC154" s="3051"/>
      <c r="AD154" s="3051"/>
      <c r="AE154" s="3052"/>
      <c r="AF154" s="1144"/>
      <c r="AG154" s="1144"/>
      <c r="AH154" s="3053" t="s">
        <v>1961</v>
      </c>
      <c r="AI154" s="3054"/>
      <c r="AJ154" s="3054"/>
      <c r="AK154" s="3054"/>
      <c r="AL154" s="3054"/>
      <c r="AM154" s="3054"/>
      <c r="AN154" s="3054"/>
      <c r="AO154" s="3054"/>
      <c r="AP154" s="3054"/>
      <c r="AQ154" s="3054"/>
      <c r="AR154" s="3054"/>
      <c r="AS154" s="3046">
        <v>0</v>
      </c>
      <c r="AT154" s="3046"/>
      <c r="AU154" s="3046"/>
      <c r="AV154" s="3046"/>
      <c r="AW154" s="3046"/>
      <c r="AX154" s="1144"/>
      <c r="AY154" s="1144"/>
      <c r="AZ154" s="1144"/>
      <c r="BA154" s="1144"/>
      <c r="BB154" s="1144"/>
      <c r="BC154" s="1144"/>
      <c r="BD154" s="1144"/>
      <c r="BE154" s="1150"/>
    </row>
    <row r="155" spans="1:57" ht="15.75" customHeight="1">
      <c r="A155" s="1144"/>
      <c r="B155" s="1144"/>
      <c r="C155" s="3012" t="s">
        <v>1962</v>
      </c>
      <c r="D155" s="3013"/>
      <c r="E155" s="3013"/>
      <c r="F155" s="3013"/>
      <c r="G155" s="3013"/>
      <c r="H155" s="3013"/>
      <c r="I155" s="3013"/>
      <c r="J155" s="3013"/>
      <c r="K155" s="3013"/>
      <c r="L155" s="3013"/>
      <c r="M155" s="3047"/>
      <c r="N155" s="3048">
        <f>N154/J29</f>
        <v>806462.71428571432</v>
      </c>
      <c r="O155" s="3048"/>
      <c r="P155" s="3048"/>
      <c r="Q155" s="3048"/>
      <c r="R155" s="3048"/>
      <c r="S155" s="3048"/>
      <c r="T155" s="3049"/>
      <c r="U155" s="1167"/>
      <c r="V155" s="1167"/>
      <c r="W155" s="1167"/>
      <c r="X155" s="1167"/>
      <c r="Y155" s="1167"/>
      <c r="Z155" s="1167"/>
      <c r="AA155" s="1167"/>
      <c r="AB155" s="1167"/>
      <c r="AC155" s="1167"/>
      <c r="AD155" s="1167"/>
      <c r="AE155" s="1168"/>
      <c r="AF155" s="1144"/>
      <c r="AG155" s="1144"/>
      <c r="AH155" s="3002" t="s">
        <v>1963</v>
      </c>
      <c r="AI155" s="3003"/>
      <c r="AJ155" s="3003"/>
      <c r="AK155" s="3003"/>
      <c r="AL155" s="3003"/>
      <c r="AM155" s="3003"/>
      <c r="AN155" s="3003"/>
      <c r="AO155" s="3003"/>
      <c r="AP155" s="3003"/>
      <c r="AQ155" s="3003"/>
      <c r="AR155" s="3004"/>
      <c r="AS155" s="3046">
        <v>2500000</v>
      </c>
      <c r="AT155" s="3046"/>
      <c r="AU155" s="3046"/>
      <c r="AV155" s="3046"/>
      <c r="AW155" s="3046"/>
      <c r="AX155" s="1144"/>
      <c r="AY155" s="1144"/>
      <c r="AZ155" s="1144"/>
      <c r="BA155" s="1144"/>
      <c r="BB155" s="1144"/>
      <c r="BC155" s="1144"/>
      <c r="BD155" s="1144"/>
      <c r="BE155" s="1150"/>
    </row>
    <row r="156" spans="1:57" ht="15.75" customHeight="1">
      <c r="A156" s="1144"/>
      <c r="B156" s="1144"/>
      <c r="C156" s="3070" t="s">
        <v>1964</v>
      </c>
      <c r="D156" s="2867"/>
      <c r="E156" s="2867"/>
      <c r="F156" s="2867"/>
      <c r="G156" s="2867"/>
      <c r="H156" s="2867"/>
      <c r="I156" s="2867"/>
      <c r="J156" s="2867"/>
      <c r="K156" s="2867"/>
      <c r="L156" s="2867"/>
      <c r="M156" s="2868"/>
      <c r="N156" s="3071">
        <v>0</v>
      </c>
      <c r="O156" s="3071"/>
      <c r="P156" s="3071"/>
      <c r="Q156" s="3071"/>
      <c r="R156" s="3071"/>
      <c r="S156" s="3071"/>
      <c r="T156" s="3072"/>
      <c r="U156" s="3073"/>
      <c r="V156" s="3074"/>
      <c r="W156" s="3074"/>
      <c r="X156" s="3074"/>
      <c r="Y156" s="3074"/>
      <c r="Z156" s="3074"/>
      <c r="AA156" s="3074"/>
      <c r="AB156" s="3074"/>
      <c r="AC156" s="3074"/>
      <c r="AD156" s="3074"/>
      <c r="AE156" s="3075"/>
      <c r="AF156" s="1144"/>
      <c r="AG156" s="1144"/>
      <c r="AH156" s="3050"/>
      <c r="AI156" s="3051"/>
      <c r="AJ156" s="3051"/>
      <c r="AK156" s="3051"/>
      <c r="AL156" s="3051"/>
      <c r="AM156" s="3051"/>
      <c r="AN156" s="3051"/>
      <c r="AO156" s="3051"/>
      <c r="AP156" s="3051"/>
      <c r="AQ156" s="3051"/>
      <c r="AR156" s="3076"/>
      <c r="AS156" s="3077"/>
      <c r="AT156" s="3078"/>
      <c r="AU156" s="3078"/>
      <c r="AV156" s="3078"/>
      <c r="AW156" s="3079"/>
      <c r="AX156" s="1144"/>
      <c r="AY156" s="1144"/>
      <c r="AZ156" s="1144"/>
      <c r="BA156" s="1144"/>
      <c r="BB156" s="1144"/>
      <c r="BC156" s="1144"/>
      <c r="BD156" s="1144"/>
      <c r="BE156" s="1150"/>
    </row>
    <row r="157" spans="1:57" ht="15.75" customHeight="1" thickBot="1">
      <c r="A157" s="1144"/>
      <c r="B157" s="1144"/>
      <c r="C157" s="3002" t="s">
        <v>1965</v>
      </c>
      <c r="D157" s="3003"/>
      <c r="E157" s="3003"/>
      <c r="F157" s="3003"/>
      <c r="G157" s="3003"/>
      <c r="H157" s="3003"/>
      <c r="I157" s="3003"/>
      <c r="J157" s="3003"/>
      <c r="K157" s="3003"/>
      <c r="L157" s="3003"/>
      <c r="M157" s="3061"/>
      <c r="N157" s="3062">
        <f>SUM('Sources and Uses Budget'!B85:B86)</f>
        <v>613736</v>
      </c>
      <c r="O157" s="3062"/>
      <c r="P157" s="3062"/>
      <c r="Q157" s="3062"/>
      <c r="R157" s="3062"/>
      <c r="S157" s="3062"/>
      <c r="T157" s="3063"/>
      <c r="U157" s="3064"/>
      <c r="V157" s="3065"/>
      <c r="W157" s="3065"/>
      <c r="X157" s="3065"/>
      <c r="Y157" s="3065"/>
      <c r="Z157" s="3065"/>
      <c r="AA157" s="3065"/>
      <c r="AB157" s="3065"/>
      <c r="AC157" s="3065"/>
      <c r="AD157" s="3065"/>
      <c r="AE157" s="3066"/>
      <c r="AF157" s="1144"/>
      <c r="AG157" s="1144"/>
      <c r="AH157" s="3067" t="s">
        <v>2326</v>
      </c>
      <c r="AI157" s="3068"/>
      <c r="AJ157" s="3068"/>
      <c r="AK157" s="3068"/>
      <c r="AL157" s="3068"/>
      <c r="AM157" s="3068"/>
      <c r="AN157" s="3068"/>
      <c r="AO157" s="3068"/>
      <c r="AP157" s="3068"/>
      <c r="AQ157" s="3068"/>
      <c r="AR157" s="3068"/>
      <c r="AS157" s="3069">
        <f>SUM(AS153:AW155)</f>
        <v>9000000</v>
      </c>
      <c r="AT157" s="3069"/>
      <c r="AU157" s="3069"/>
      <c r="AV157" s="3069"/>
      <c r="AW157" s="3069"/>
      <c r="AX157" s="1144"/>
      <c r="AY157" s="1144"/>
      <c r="AZ157" s="1144"/>
      <c r="BA157" s="1144"/>
      <c r="BB157" s="1144"/>
      <c r="BC157" s="1144"/>
      <c r="BD157" s="1144"/>
      <c r="BE157" s="1150"/>
    </row>
    <row r="158" spans="1:57" ht="15.75" customHeight="1" thickBot="1">
      <c r="A158" s="1144"/>
      <c r="B158" s="1144"/>
      <c r="C158" s="3002" t="s">
        <v>1967</v>
      </c>
      <c r="D158" s="3003"/>
      <c r="E158" s="3003"/>
      <c r="F158" s="3003"/>
      <c r="G158" s="3003"/>
      <c r="H158" s="3003"/>
      <c r="I158" s="3003"/>
      <c r="J158" s="3003"/>
      <c r="K158" s="3003"/>
      <c r="L158" s="3003"/>
      <c r="M158" s="3061"/>
      <c r="N158" s="3062">
        <f>'Sources and Uses Budget'!B8</f>
        <v>25000</v>
      </c>
      <c r="O158" s="3062"/>
      <c r="P158" s="3062"/>
      <c r="Q158" s="3062"/>
      <c r="R158" s="3062"/>
      <c r="S158" s="3062"/>
      <c r="T158" s="3063"/>
      <c r="U158" s="3064"/>
      <c r="V158" s="3065"/>
      <c r="W158" s="3065"/>
      <c r="X158" s="3065"/>
      <c r="Y158" s="3065"/>
      <c r="Z158" s="3065"/>
      <c r="AA158" s="3065"/>
      <c r="AB158" s="3065"/>
      <c r="AC158" s="3065"/>
      <c r="AD158" s="3065"/>
      <c r="AE158" s="3066"/>
      <c r="AF158" s="1144"/>
      <c r="AG158" s="1144"/>
      <c r="AH158" s="1144"/>
      <c r="AI158" s="1144"/>
      <c r="AJ158" s="1144"/>
      <c r="AK158" s="1144"/>
      <c r="AL158" s="1144"/>
      <c r="AM158" s="1144"/>
      <c r="AN158" s="1144"/>
      <c r="AO158" s="1144"/>
      <c r="AP158" s="1144"/>
      <c r="AQ158" s="1144"/>
      <c r="AR158" s="1144"/>
      <c r="AS158" s="1144"/>
      <c r="AT158" s="1144"/>
      <c r="AU158" s="1144"/>
      <c r="AV158" s="1144"/>
      <c r="AW158" s="1144"/>
      <c r="AX158" s="1144"/>
      <c r="AY158" s="1144"/>
      <c r="AZ158" s="1144"/>
      <c r="BA158" s="1144"/>
      <c r="BB158" s="1144"/>
      <c r="BC158" s="1144"/>
      <c r="BD158" s="1144"/>
      <c r="BE158" s="1150"/>
    </row>
    <row r="159" spans="1:57" ht="15.75" customHeight="1">
      <c r="A159" s="1144"/>
      <c r="B159" s="1144"/>
      <c r="C159" s="3002" t="s">
        <v>1968</v>
      </c>
      <c r="D159" s="3003"/>
      <c r="E159" s="3003"/>
      <c r="F159" s="3003"/>
      <c r="G159" s="3003"/>
      <c r="H159" s="3003"/>
      <c r="I159" s="3003"/>
      <c r="J159" s="3003"/>
      <c r="K159" s="3003"/>
      <c r="L159" s="3003"/>
      <c r="M159" s="3061"/>
      <c r="N159" s="3080">
        <v>0</v>
      </c>
      <c r="O159" s="3080"/>
      <c r="P159" s="3080"/>
      <c r="Q159" s="3080"/>
      <c r="R159" s="3080"/>
      <c r="S159" s="3080"/>
      <c r="T159" s="3081"/>
      <c r="U159" s="3064"/>
      <c r="V159" s="3065"/>
      <c r="W159" s="3065"/>
      <c r="X159" s="3065"/>
      <c r="Y159" s="3065"/>
      <c r="Z159" s="3065"/>
      <c r="AA159" s="3065"/>
      <c r="AB159" s="3065"/>
      <c r="AC159" s="3065"/>
      <c r="AD159" s="3065"/>
      <c r="AE159" s="3066"/>
      <c r="AF159" s="1144"/>
      <c r="AG159" s="1144"/>
      <c r="AH159" s="2698" t="s">
        <v>2327</v>
      </c>
      <c r="AI159" s="2699"/>
      <c r="AJ159" s="2699"/>
      <c r="AK159" s="2699"/>
      <c r="AL159" s="2699"/>
      <c r="AM159" s="2699"/>
      <c r="AN159" s="2699"/>
      <c r="AO159" s="2699"/>
      <c r="AP159" s="2699"/>
      <c r="AQ159" s="2699"/>
      <c r="AR159" s="2699"/>
      <c r="AS159" s="3086" t="s">
        <v>2328</v>
      </c>
      <c r="AT159" s="3086"/>
      <c r="AU159" s="3086"/>
      <c r="AV159" s="3086"/>
      <c r="AW159" s="3086"/>
      <c r="AX159" s="3086"/>
      <c r="AY159" s="3086" t="s">
        <v>2329</v>
      </c>
      <c r="AZ159" s="3086"/>
      <c r="BA159" s="3086"/>
      <c r="BB159" s="3086"/>
      <c r="BC159" s="3086"/>
      <c r="BD159" s="3087"/>
      <c r="BE159" s="1150"/>
    </row>
    <row r="160" spans="1:57" ht="15.75" customHeight="1">
      <c r="A160" s="1144"/>
      <c r="B160" s="1144"/>
      <c r="C160" s="3002" t="s">
        <v>1961</v>
      </c>
      <c r="D160" s="3003"/>
      <c r="E160" s="3003"/>
      <c r="F160" s="3003"/>
      <c r="G160" s="3003"/>
      <c r="H160" s="3003"/>
      <c r="I160" s="3003"/>
      <c r="J160" s="3003"/>
      <c r="K160" s="3003"/>
      <c r="L160" s="3003"/>
      <c r="M160" s="3061"/>
      <c r="N160" s="3080">
        <v>0</v>
      </c>
      <c r="O160" s="3080"/>
      <c r="P160" s="3080"/>
      <c r="Q160" s="3080"/>
      <c r="R160" s="3080"/>
      <c r="S160" s="3080"/>
      <c r="T160" s="3081"/>
      <c r="U160" s="3064"/>
      <c r="V160" s="3065"/>
      <c r="W160" s="3065"/>
      <c r="X160" s="3065"/>
      <c r="Y160" s="3065"/>
      <c r="Z160" s="3065"/>
      <c r="AA160" s="3065"/>
      <c r="AB160" s="3065"/>
      <c r="AC160" s="3065"/>
      <c r="AD160" s="3065"/>
      <c r="AE160" s="3066"/>
      <c r="AF160" s="1144"/>
      <c r="AG160" s="1144"/>
      <c r="AH160" s="3082" t="s">
        <v>2330</v>
      </c>
      <c r="AI160" s="3083"/>
      <c r="AJ160" s="3083"/>
      <c r="AK160" s="3083"/>
      <c r="AL160" s="3083"/>
      <c r="AM160" s="3083"/>
      <c r="AN160" s="3083"/>
      <c r="AO160" s="3083"/>
      <c r="AP160" s="3083"/>
      <c r="AQ160" s="3083"/>
      <c r="AR160" s="3083"/>
      <c r="AS160" s="3084">
        <v>1000000</v>
      </c>
      <c r="AT160" s="3084"/>
      <c r="AU160" s="3084"/>
      <c r="AV160" s="3084"/>
      <c r="AW160" s="3084"/>
      <c r="AX160" s="3084"/>
      <c r="AY160" s="3084">
        <v>500000</v>
      </c>
      <c r="AZ160" s="3084"/>
      <c r="BA160" s="3084"/>
      <c r="BB160" s="3084"/>
      <c r="BC160" s="3084"/>
      <c r="BD160" s="3085"/>
      <c r="BE160" s="1150"/>
    </row>
    <row r="161" spans="1:57" ht="15.75" customHeight="1">
      <c r="A161" s="1144"/>
      <c r="B161" s="1144"/>
      <c r="C161" s="3089" t="s">
        <v>305</v>
      </c>
      <c r="D161" s="3090"/>
      <c r="E161" s="3025" t="s">
        <v>1953</v>
      </c>
      <c r="F161" s="3025"/>
      <c r="G161" s="3025"/>
      <c r="H161" s="3025"/>
      <c r="I161" s="3025"/>
      <c r="J161" s="3025"/>
      <c r="K161" s="3025"/>
      <c r="L161" s="3025"/>
      <c r="M161" s="3088"/>
      <c r="N161" s="3080">
        <v>0</v>
      </c>
      <c r="O161" s="3080"/>
      <c r="P161" s="3080"/>
      <c r="Q161" s="3080"/>
      <c r="R161" s="3080"/>
      <c r="S161" s="3080"/>
      <c r="T161" s="3081"/>
      <c r="U161" s="3064"/>
      <c r="V161" s="3065"/>
      <c r="W161" s="3065"/>
      <c r="X161" s="3065"/>
      <c r="Y161" s="3065"/>
      <c r="Z161" s="3065"/>
      <c r="AA161" s="3065"/>
      <c r="AB161" s="3065"/>
      <c r="AC161" s="3065"/>
      <c r="AD161" s="3065"/>
      <c r="AE161" s="3066"/>
      <c r="AF161" s="1144"/>
      <c r="AG161" s="1144"/>
      <c r="AH161" s="3082" t="s">
        <v>2331</v>
      </c>
      <c r="AI161" s="3083"/>
      <c r="AJ161" s="3083"/>
      <c r="AK161" s="3083"/>
      <c r="AL161" s="3083"/>
      <c r="AM161" s="3083"/>
      <c r="AN161" s="3083"/>
      <c r="AO161" s="3083"/>
      <c r="AP161" s="3083"/>
      <c r="AQ161" s="3083"/>
      <c r="AR161" s="3083"/>
      <c r="AS161" s="3084">
        <v>2000000</v>
      </c>
      <c r="AT161" s="3084"/>
      <c r="AU161" s="3084"/>
      <c r="AV161" s="3084"/>
      <c r="AW161" s="3084"/>
      <c r="AX161" s="3084"/>
      <c r="AY161" s="3084">
        <v>250000</v>
      </c>
      <c r="AZ161" s="3084"/>
      <c r="BA161" s="3084"/>
      <c r="BB161" s="3084"/>
      <c r="BC161" s="3084"/>
      <c r="BD161" s="3085"/>
      <c r="BE161" s="1150"/>
    </row>
    <row r="162" spans="1:57" ht="15.75" customHeight="1">
      <c r="A162" s="1144"/>
      <c r="B162" s="1144"/>
      <c r="C162" s="3073" t="s">
        <v>305</v>
      </c>
      <c r="D162" s="3074"/>
      <c r="E162" s="3025" t="s">
        <v>1953</v>
      </c>
      <c r="F162" s="3025"/>
      <c r="G162" s="3025"/>
      <c r="H162" s="3025"/>
      <c r="I162" s="3025"/>
      <c r="J162" s="3025"/>
      <c r="K162" s="3025"/>
      <c r="L162" s="3025"/>
      <c r="M162" s="3088"/>
      <c r="N162" s="3080">
        <v>0</v>
      </c>
      <c r="O162" s="3080"/>
      <c r="P162" s="3080"/>
      <c r="Q162" s="3080"/>
      <c r="R162" s="3080"/>
      <c r="S162" s="3080"/>
      <c r="T162" s="3081"/>
      <c r="U162" s="3064"/>
      <c r="V162" s="3065"/>
      <c r="W162" s="3065"/>
      <c r="X162" s="3065"/>
      <c r="Y162" s="3065"/>
      <c r="Z162" s="3065"/>
      <c r="AA162" s="3065"/>
      <c r="AB162" s="3065"/>
      <c r="AC162" s="3065"/>
      <c r="AD162" s="3065"/>
      <c r="AE162" s="3066"/>
      <c r="AF162" s="1144"/>
      <c r="AG162" s="1144"/>
      <c r="AH162" s="3082" t="s">
        <v>2332</v>
      </c>
      <c r="AI162" s="3083"/>
      <c r="AJ162" s="3083"/>
      <c r="AK162" s="3083"/>
      <c r="AL162" s="3083"/>
      <c r="AM162" s="3083"/>
      <c r="AN162" s="3083"/>
      <c r="AO162" s="3083"/>
      <c r="AP162" s="3083"/>
      <c r="AQ162" s="3083"/>
      <c r="AR162" s="3083"/>
      <c r="AS162" s="3084">
        <v>25000000</v>
      </c>
      <c r="AT162" s="3084"/>
      <c r="AU162" s="3084"/>
      <c r="AV162" s="3084"/>
      <c r="AW162" s="3084"/>
      <c r="AX162" s="3084"/>
      <c r="AY162" s="3084">
        <v>1500000</v>
      </c>
      <c r="AZ162" s="3084"/>
      <c r="BA162" s="3084"/>
      <c r="BB162" s="3084"/>
      <c r="BC162" s="3084"/>
      <c r="BD162" s="3085"/>
      <c r="BE162" s="1150"/>
    </row>
    <row r="163" spans="1:57" ht="15.75" customHeight="1" thickBot="1">
      <c r="A163" s="1144"/>
      <c r="B163" s="1144"/>
      <c r="C163" s="3097" t="s">
        <v>305</v>
      </c>
      <c r="D163" s="3098"/>
      <c r="E163" s="3032" t="s">
        <v>1953</v>
      </c>
      <c r="F163" s="3032"/>
      <c r="G163" s="3032"/>
      <c r="H163" s="3032"/>
      <c r="I163" s="3032"/>
      <c r="J163" s="3032"/>
      <c r="K163" s="3032"/>
      <c r="L163" s="3032"/>
      <c r="M163" s="3099"/>
      <c r="N163" s="3100">
        <v>0</v>
      </c>
      <c r="O163" s="3100"/>
      <c r="P163" s="3100"/>
      <c r="Q163" s="3100"/>
      <c r="R163" s="3100"/>
      <c r="S163" s="3100"/>
      <c r="T163" s="3101"/>
      <c r="U163" s="3102"/>
      <c r="V163" s="3103"/>
      <c r="W163" s="3103"/>
      <c r="X163" s="3103"/>
      <c r="Y163" s="3103"/>
      <c r="Z163" s="3103"/>
      <c r="AA163" s="3103"/>
      <c r="AB163" s="3103"/>
      <c r="AC163" s="3103"/>
      <c r="AD163" s="3103"/>
      <c r="AE163" s="3104"/>
      <c r="AF163" s="1144"/>
      <c r="AG163" s="1144"/>
      <c r="AH163" s="3082" t="s">
        <v>2333</v>
      </c>
      <c r="AI163" s="3083"/>
      <c r="AJ163" s="3083"/>
      <c r="AK163" s="3083"/>
      <c r="AL163" s="3083"/>
      <c r="AM163" s="3083"/>
      <c r="AN163" s="3083"/>
      <c r="AO163" s="3083"/>
      <c r="AP163" s="3083"/>
      <c r="AQ163" s="3083"/>
      <c r="AR163" s="3083"/>
      <c r="AS163" s="3084">
        <v>1500000</v>
      </c>
      <c r="AT163" s="3084"/>
      <c r="AU163" s="3084"/>
      <c r="AV163" s="3084"/>
      <c r="AW163" s="3084"/>
      <c r="AX163" s="3084"/>
      <c r="AY163" s="3084">
        <v>250000</v>
      </c>
      <c r="AZ163" s="3084"/>
      <c r="BA163" s="3084"/>
      <c r="BB163" s="3084"/>
      <c r="BC163" s="3084"/>
      <c r="BD163" s="3085"/>
      <c r="BE163" s="1150"/>
    </row>
    <row r="164" spans="1:57" ht="15.75" customHeight="1">
      <c r="A164" s="1144"/>
      <c r="B164" s="1144"/>
      <c r="C164" s="3091" t="s">
        <v>1969</v>
      </c>
      <c r="D164" s="3092"/>
      <c r="E164" s="3092"/>
      <c r="F164" s="3092"/>
      <c r="G164" s="3092"/>
      <c r="H164" s="3092"/>
      <c r="I164" s="3092"/>
      <c r="J164" s="3092"/>
      <c r="K164" s="3092"/>
      <c r="L164" s="3092"/>
      <c r="M164" s="3093"/>
      <c r="N164" s="3094">
        <f>SUM(N156:T163)</f>
        <v>638736</v>
      </c>
      <c r="O164" s="3095"/>
      <c r="P164" s="3095"/>
      <c r="Q164" s="3095"/>
      <c r="R164" s="3095"/>
      <c r="S164" s="3095"/>
      <c r="T164" s="3096"/>
      <c r="U164" s="1144"/>
      <c r="V164" s="1144"/>
      <c r="W164" s="1144"/>
      <c r="X164" s="1144"/>
      <c r="Y164" s="1144"/>
      <c r="Z164" s="1144"/>
      <c r="AA164" s="1144"/>
      <c r="AB164" s="1144"/>
      <c r="AC164" s="1144"/>
      <c r="AD164" s="1144"/>
      <c r="AE164" s="1144"/>
      <c r="AF164" s="1144"/>
      <c r="AG164" s="1144"/>
      <c r="AH164" s="3082" t="s">
        <v>2334</v>
      </c>
      <c r="AI164" s="3083"/>
      <c r="AJ164" s="3083"/>
      <c r="AK164" s="3083"/>
      <c r="AL164" s="3083"/>
      <c r="AM164" s="3083"/>
      <c r="AN164" s="3083"/>
      <c r="AO164" s="3083"/>
      <c r="AP164" s="3083"/>
      <c r="AQ164" s="3083"/>
      <c r="AR164" s="3083"/>
      <c r="AS164" s="3084">
        <v>500000</v>
      </c>
      <c r="AT164" s="3084"/>
      <c r="AU164" s="3084"/>
      <c r="AV164" s="3084"/>
      <c r="AW164" s="3084"/>
      <c r="AX164" s="3084"/>
      <c r="AY164" s="3084">
        <v>0</v>
      </c>
      <c r="AZ164" s="3084"/>
      <c r="BA164" s="3084"/>
      <c r="BB164" s="3084"/>
      <c r="BC164" s="3084"/>
      <c r="BD164" s="3085"/>
      <c r="BE164" s="1150"/>
    </row>
    <row r="165" spans="1:57" ht="15.75" customHeight="1" thickBot="1">
      <c r="A165" s="1144"/>
      <c r="B165" s="1144"/>
      <c r="C165" s="2869" t="s">
        <v>1970</v>
      </c>
      <c r="D165" s="2870"/>
      <c r="E165" s="2870"/>
      <c r="F165" s="2870"/>
      <c r="G165" s="2870"/>
      <c r="H165" s="2870"/>
      <c r="I165" s="2870"/>
      <c r="J165" s="2870"/>
      <c r="K165" s="2870"/>
      <c r="L165" s="2870"/>
      <c r="M165" s="2870"/>
      <c r="N165" s="3118">
        <f>(N154-N164)/J29</f>
        <v>800759.71428571432</v>
      </c>
      <c r="O165" s="3118"/>
      <c r="P165" s="3118"/>
      <c r="Q165" s="3118"/>
      <c r="R165" s="3118"/>
      <c r="S165" s="3118"/>
      <c r="T165" s="3119"/>
      <c r="U165" s="1151"/>
      <c r="V165" s="1144"/>
      <c r="W165" s="1144"/>
      <c r="X165" s="1144"/>
      <c r="Y165" s="1144"/>
      <c r="Z165" s="1144"/>
      <c r="AA165" s="1144"/>
      <c r="AB165" s="1144"/>
      <c r="AC165" s="1144"/>
      <c r="AD165" s="1144"/>
      <c r="AE165" s="1144"/>
      <c r="AF165" s="1144"/>
      <c r="AG165" s="1144"/>
      <c r="AH165" s="3082" t="s">
        <v>2335</v>
      </c>
      <c r="AI165" s="3083"/>
      <c r="AJ165" s="3083"/>
      <c r="AK165" s="3083"/>
      <c r="AL165" s="3083"/>
      <c r="AM165" s="3083"/>
      <c r="AN165" s="3083"/>
      <c r="AO165" s="3083"/>
      <c r="AP165" s="3083"/>
      <c r="AQ165" s="3083"/>
      <c r="AR165" s="3083"/>
      <c r="AS165" s="3084">
        <v>0</v>
      </c>
      <c r="AT165" s="3084"/>
      <c r="AU165" s="3084"/>
      <c r="AV165" s="3084"/>
      <c r="AW165" s="3084"/>
      <c r="AX165" s="3084"/>
      <c r="AY165" s="3084">
        <v>0</v>
      </c>
      <c r="AZ165" s="3084"/>
      <c r="BA165" s="3084"/>
      <c r="BB165" s="3084"/>
      <c r="BC165" s="3084"/>
      <c r="BD165" s="3085"/>
      <c r="BE165" s="1150"/>
    </row>
    <row r="166" spans="1:57" ht="15.75" customHeight="1" thickBot="1">
      <c r="A166" s="1144"/>
      <c r="B166" s="1144"/>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c r="AA166" s="1144"/>
      <c r="AB166" s="1144"/>
      <c r="AC166" s="1144"/>
      <c r="AD166" s="1144"/>
      <c r="AE166" s="1144"/>
      <c r="AF166" s="1144"/>
      <c r="AG166" s="1144"/>
      <c r="AH166" s="2884" t="s">
        <v>1966</v>
      </c>
      <c r="AI166" s="2885"/>
      <c r="AJ166" s="2885"/>
      <c r="AK166" s="2885"/>
      <c r="AL166" s="2885"/>
      <c r="AM166" s="2885"/>
      <c r="AN166" s="2885"/>
      <c r="AO166" s="2885"/>
      <c r="AP166" s="2885"/>
      <c r="AQ166" s="2885"/>
      <c r="AR166" s="2885"/>
      <c r="AS166" s="3120">
        <f>SUM(AS160:AX165)</f>
        <v>30000000</v>
      </c>
      <c r="AT166" s="3120"/>
      <c r="AU166" s="3120"/>
      <c r="AV166" s="3120"/>
      <c r="AW166" s="3120"/>
      <c r="AX166" s="3120"/>
      <c r="AY166" s="3120">
        <f>SUM(AY160:BD165)</f>
        <v>2500000</v>
      </c>
      <c r="AZ166" s="3120"/>
      <c r="BA166" s="3120"/>
      <c r="BB166" s="3120"/>
      <c r="BC166" s="3120"/>
      <c r="BD166" s="3121"/>
      <c r="BE166" s="1150"/>
    </row>
    <row r="167" spans="1:57" ht="15.75" customHeight="1" thickBot="1">
      <c r="A167" s="1144"/>
      <c r="B167" s="1144"/>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c r="AA167" s="1144"/>
      <c r="AB167" s="1144"/>
      <c r="AC167" s="1144"/>
      <c r="AD167" s="1144"/>
      <c r="AE167" s="1144"/>
      <c r="AF167" s="1144"/>
      <c r="AG167" s="1144"/>
      <c r="AH167" s="1144"/>
      <c r="AI167" s="1144"/>
      <c r="AJ167" s="1144"/>
      <c r="AK167" s="1144"/>
      <c r="AL167" s="1144"/>
      <c r="AM167" s="1144"/>
      <c r="AN167" s="1144"/>
      <c r="AO167" s="1144"/>
      <c r="AP167" s="1144"/>
      <c r="AQ167" s="1144"/>
      <c r="AR167" s="1144"/>
      <c r="AS167" s="1144"/>
      <c r="AT167" s="1144"/>
      <c r="AU167" s="1144"/>
      <c r="AV167" s="1144"/>
      <c r="AW167" s="1144"/>
      <c r="AX167" s="1144"/>
      <c r="AY167" s="1144"/>
      <c r="AZ167" s="1144"/>
      <c r="BA167" s="1144"/>
      <c r="BB167" s="1144"/>
      <c r="BC167" s="1144"/>
      <c r="BD167" s="1144"/>
      <c r="BE167" s="1150"/>
    </row>
    <row r="168" spans="1:57" ht="15.75" customHeight="1">
      <c r="A168" s="1144"/>
      <c r="B168" s="3105" t="s">
        <v>1971</v>
      </c>
      <c r="C168" s="3106"/>
      <c r="D168" s="3106"/>
      <c r="E168" s="3106"/>
      <c r="F168" s="3106"/>
      <c r="G168" s="3106"/>
      <c r="H168" s="3106"/>
      <c r="I168" s="3106"/>
      <c r="J168" s="3106"/>
      <c r="K168" s="3106"/>
      <c r="L168" s="3106"/>
      <c r="M168" s="3106"/>
      <c r="N168" s="3106"/>
      <c r="O168" s="3106"/>
      <c r="P168" s="3106"/>
      <c r="Q168" s="3106"/>
      <c r="R168" s="3106"/>
      <c r="S168" s="3106"/>
      <c r="T168" s="3106"/>
      <c r="U168" s="3106"/>
      <c r="V168" s="3106"/>
      <c r="W168" s="3106"/>
      <c r="X168" s="3106"/>
      <c r="Y168" s="3106"/>
      <c r="Z168" s="3106"/>
      <c r="AA168" s="3106"/>
      <c r="AB168" s="3106"/>
      <c r="AC168" s="3106"/>
      <c r="AD168" s="3106"/>
      <c r="AE168" s="3106"/>
      <c r="AF168" s="3106"/>
      <c r="AG168" s="3106"/>
      <c r="AH168" s="3106"/>
      <c r="AI168" s="3106"/>
      <c r="AJ168" s="3106"/>
      <c r="AK168" s="3106"/>
      <c r="AL168" s="3106"/>
      <c r="AM168" s="3106"/>
      <c r="AN168" s="3106"/>
      <c r="AO168" s="3106"/>
      <c r="AP168" s="3106"/>
      <c r="AQ168" s="3106"/>
      <c r="AR168" s="3106"/>
      <c r="AS168" s="3106"/>
      <c r="AT168" s="3106"/>
      <c r="AU168" s="3106"/>
      <c r="AV168" s="3106"/>
      <c r="AW168" s="3106"/>
      <c r="AX168" s="3106"/>
      <c r="AY168" s="3106"/>
      <c r="AZ168" s="3106"/>
      <c r="BA168" s="3106"/>
      <c r="BB168" s="3106"/>
      <c r="BC168" s="3106"/>
      <c r="BD168" s="3107"/>
      <c r="BE168" s="1150"/>
    </row>
    <row r="169" spans="1:57" ht="15.75" customHeight="1">
      <c r="A169" s="1144"/>
      <c r="B169" s="3108"/>
      <c r="C169" s="3109"/>
      <c r="D169" s="3109"/>
      <c r="E169" s="3109"/>
      <c r="F169" s="3109"/>
      <c r="G169" s="3109"/>
      <c r="H169" s="3109"/>
      <c r="I169" s="3109"/>
      <c r="J169" s="3109"/>
      <c r="K169" s="3109"/>
      <c r="L169" s="3109"/>
      <c r="M169" s="3109"/>
      <c r="N169" s="3109"/>
      <c r="O169" s="3109"/>
      <c r="P169" s="3109"/>
      <c r="Q169" s="3109"/>
      <c r="R169" s="3109"/>
      <c r="S169" s="3109"/>
      <c r="T169" s="3109"/>
      <c r="U169" s="3109"/>
      <c r="V169" s="3109"/>
      <c r="W169" s="3109"/>
      <c r="X169" s="3109"/>
      <c r="Y169" s="3109"/>
      <c r="Z169" s="3109"/>
      <c r="AA169" s="3109"/>
      <c r="AB169" s="3109"/>
      <c r="AC169" s="3109"/>
      <c r="AD169" s="3109"/>
      <c r="AE169" s="3109"/>
      <c r="AF169" s="3109"/>
      <c r="AG169" s="3109"/>
      <c r="AH169" s="3109"/>
      <c r="AI169" s="3109"/>
      <c r="AJ169" s="3109"/>
      <c r="AK169" s="3109"/>
      <c r="AL169" s="3109"/>
      <c r="AM169" s="3109"/>
      <c r="AN169" s="3109"/>
      <c r="AO169" s="3109"/>
      <c r="AP169" s="3109"/>
      <c r="AQ169" s="3109"/>
      <c r="AR169" s="3109"/>
      <c r="AS169" s="3109"/>
      <c r="AT169" s="3109"/>
      <c r="AU169" s="3109"/>
      <c r="AV169" s="3109"/>
      <c r="AW169" s="3109"/>
      <c r="AX169" s="3109"/>
      <c r="AY169" s="3109"/>
      <c r="AZ169" s="3109"/>
      <c r="BA169" s="3109"/>
      <c r="BB169" s="3109"/>
      <c r="BC169" s="3109"/>
      <c r="BD169" s="3110"/>
      <c r="BE169" s="1150"/>
    </row>
    <row r="170" spans="1:57" ht="15.75" customHeight="1">
      <c r="A170" s="1144"/>
      <c r="B170" s="3111" t="s">
        <v>1972</v>
      </c>
      <c r="C170" s="3112"/>
      <c r="D170" s="3112"/>
      <c r="E170" s="3112"/>
      <c r="F170" s="3112"/>
      <c r="G170" s="3112"/>
      <c r="H170" s="3112"/>
      <c r="I170" s="3112"/>
      <c r="J170" s="3112"/>
      <c r="K170" s="3112"/>
      <c r="L170" s="3112"/>
      <c r="M170" s="3112"/>
      <c r="N170" s="3112"/>
      <c r="O170" s="3112"/>
      <c r="P170" s="3112"/>
      <c r="Q170" s="3112"/>
      <c r="R170" s="3112"/>
      <c r="S170" s="3112"/>
      <c r="T170" s="3112"/>
      <c r="U170" s="3112"/>
      <c r="V170" s="3112"/>
      <c r="W170" s="3112"/>
      <c r="X170" s="3112"/>
      <c r="Y170" s="3112"/>
      <c r="Z170" s="3112"/>
      <c r="AA170" s="3112"/>
      <c r="AB170" s="3112"/>
      <c r="AC170" s="3112"/>
      <c r="AD170" s="3112"/>
      <c r="AE170" s="3112"/>
      <c r="AF170" s="3112"/>
      <c r="AG170" s="3112"/>
      <c r="AH170" s="3112"/>
      <c r="AI170" s="3112"/>
      <c r="AJ170" s="3112"/>
      <c r="AK170" s="3112"/>
      <c r="AL170" s="3112"/>
      <c r="AM170" s="3112"/>
      <c r="AN170" s="3112"/>
      <c r="AO170" s="3112"/>
      <c r="AP170" s="3112"/>
      <c r="AQ170" s="3112"/>
      <c r="AR170" s="3112"/>
      <c r="AS170" s="3112"/>
      <c r="AT170" s="3112"/>
      <c r="AU170" s="3112"/>
      <c r="AV170" s="3112"/>
      <c r="AW170" s="3112"/>
      <c r="AX170" s="3112"/>
      <c r="AY170" s="3112"/>
      <c r="AZ170" s="3112"/>
      <c r="BA170" s="3112"/>
      <c r="BB170" s="3112"/>
      <c r="BC170" s="3112"/>
      <c r="BD170" s="3113"/>
      <c r="BE170" s="1150"/>
    </row>
    <row r="171" spans="1:57" ht="15.75" customHeight="1">
      <c r="A171" s="1144"/>
      <c r="B171" s="3111" t="s">
        <v>1973</v>
      </c>
      <c r="C171" s="3112"/>
      <c r="D171" s="3112"/>
      <c r="E171" s="3112"/>
      <c r="F171" s="3112"/>
      <c r="G171" s="3112"/>
      <c r="H171" s="3112"/>
      <c r="I171" s="3112"/>
      <c r="J171" s="3112"/>
      <c r="K171" s="3112"/>
      <c r="L171" s="3112"/>
      <c r="M171" s="3112"/>
      <c r="N171" s="3112"/>
      <c r="O171" s="3112"/>
      <c r="P171" s="3112"/>
      <c r="Q171" s="3112"/>
      <c r="R171" s="3112"/>
      <c r="S171" s="3112"/>
      <c r="T171" s="3112"/>
      <c r="U171" s="3112"/>
      <c r="V171" s="3112"/>
      <c r="W171" s="3112"/>
      <c r="X171" s="3112"/>
      <c r="Y171" s="3112"/>
      <c r="Z171" s="3112"/>
      <c r="AA171" s="3112"/>
      <c r="AB171" s="3112"/>
      <c r="AC171" s="3112"/>
      <c r="AD171" s="3112"/>
      <c r="AE171" s="3112"/>
      <c r="AF171" s="3112"/>
      <c r="AG171" s="3112"/>
      <c r="AH171" s="3112"/>
      <c r="AI171" s="3112"/>
      <c r="AJ171" s="3112"/>
      <c r="AK171" s="3112"/>
      <c r="AL171" s="3112"/>
      <c r="AM171" s="3112"/>
      <c r="AN171" s="3112"/>
      <c r="AO171" s="3112"/>
      <c r="AP171" s="3112"/>
      <c r="AQ171" s="3112"/>
      <c r="AR171" s="3112"/>
      <c r="AS171" s="3112"/>
      <c r="AT171" s="3112"/>
      <c r="AU171" s="3112"/>
      <c r="AV171" s="3112"/>
      <c r="AW171" s="3112"/>
      <c r="AX171" s="3112"/>
      <c r="AY171" s="3112"/>
      <c r="AZ171" s="3112"/>
      <c r="BA171" s="3112"/>
      <c r="BB171" s="3112"/>
      <c r="BC171" s="3112"/>
      <c r="BD171" s="3113"/>
      <c r="BE171" s="1150"/>
    </row>
    <row r="172" spans="1:57" ht="15.75" customHeight="1">
      <c r="A172" s="1144"/>
      <c r="B172" s="1143"/>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c r="AA172" s="1144"/>
      <c r="AB172" s="1144"/>
      <c r="AC172" s="1144"/>
      <c r="AD172" s="1144"/>
      <c r="AE172" s="1144"/>
      <c r="AF172" s="1144"/>
      <c r="AG172" s="1144"/>
      <c r="AH172" s="1144"/>
      <c r="AI172" s="1144"/>
      <c r="AJ172" s="1144"/>
      <c r="AK172" s="1144"/>
      <c r="AL172" s="1144"/>
      <c r="AM172" s="1144"/>
      <c r="AN172" s="1144"/>
      <c r="AO172" s="1144"/>
      <c r="AP172" s="1144"/>
      <c r="AQ172" s="1144"/>
      <c r="AR172" s="1144"/>
      <c r="AS172" s="1144"/>
      <c r="AT172" s="1144"/>
      <c r="AU172" s="1144"/>
      <c r="AV172" s="1144"/>
      <c r="AW172" s="1144"/>
      <c r="AX172" s="1144"/>
      <c r="AY172" s="1144"/>
      <c r="AZ172" s="1144"/>
      <c r="BA172" s="1144"/>
      <c r="BB172" s="1144"/>
      <c r="BC172" s="1144"/>
      <c r="BD172" s="1150"/>
      <c r="BE172" s="1150"/>
    </row>
    <row r="173" spans="1:57" ht="15.75" customHeight="1">
      <c r="A173" s="1144"/>
      <c r="B173" s="3114" t="s">
        <v>1974</v>
      </c>
      <c r="C173" s="3115"/>
      <c r="D173" s="3115"/>
      <c r="E173" s="3115"/>
      <c r="F173" s="3115"/>
      <c r="G173" s="3115"/>
      <c r="H173" s="3115"/>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15"/>
      <c r="AD173" s="3115"/>
      <c r="AE173" s="3115"/>
      <c r="AF173" s="3115"/>
      <c r="AG173" s="3115"/>
      <c r="AH173" s="3115"/>
      <c r="AI173" s="3115"/>
      <c r="AJ173" s="3115"/>
      <c r="AK173" s="3115"/>
      <c r="AL173" s="3115"/>
      <c r="AM173" s="3115"/>
      <c r="AN173" s="3115"/>
      <c r="AO173" s="3115"/>
      <c r="AP173" s="3115"/>
      <c r="AQ173" s="3115"/>
      <c r="AR173" s="3115"/>
      <c r="AS173" s="3115"/>
      <c r="AT173" s="3115"/>
      <c r="AU173" s="3115"/>
      <c r="AV173" s="3115"/>
      <c r="AW173" s="3115"/>
      <c r="AX173" s="3115"/>
      <c r="AY173" s="3115"/>
      <c r="AZ173" s="3115"/>
      <c r="BA173" s="3115"/>
      <c r="BB173" s="3115"/>
      <c r="BC173" s="3115"/>
      <c r="BD173" s="3116"/>
      <c r="BE173" s="1150"/>
    </row>
    <row r="174" spans="1:57" ht="15.75" customHeight="1">
      <c r="A174" s="1144"/>
      <c r="B174" s="1169"/>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c r="AA174" s="1144"/>
      <c r="AB174" s="1144"/>
      <c r="AC174" s="1144"/>
      <c r="AD174" s="1144"/>
      <c r="AE174" s="1144"/>
      <c r="AF174" s="1144"/>
      <c r="AG174" s="1144"/>
      <c r="AH174" s="1144"/>
      <c r="AI174" s="1144"/>
      <c r="AJ174" s="1144"/>
      <c r="AK174" s="1144"/>
      <c r="AL174" s="1144"/>
      <c r="AM174" s="1144"/>
      <c r="AN174" s="1144"/>
      <c r="AO174" s="1144"/>
      <c r="AP174" s="1144"/>
      <c r="AQ174" s="1144"/>
      <c r="AR174" s="1144"/>
      <c r="AS174" s="1144"/>
      <c r="AT174" s="1144"/>
      <c r="AU174" s="1144"/>
      <c r="AV174" s="1144"/>
      <c r="AW174" s="1144"/>
      <c r="AX174" s="1144"/>
      <c r="AY174" s="1144"/>
      <c r="AZ174" s="1144"/>
      <c r="BA174" s="1144"/>
      <c r="BB174" s="1144"/>
      <c r="BC174" s="1144"/>
      <c r="BD174" s="1150"/>
      <c r="BE174" s="1150"/>
    </row>
    <row r="175" spans="1:57" ht="15.75" customHeight="1">
      <c r="A175" s="1144"/>
      <c r="B175" s="1170"/>
      <c r="C175" s="1144"/>
      <c r="D175" s="1144"/>
      <c r="E175" s="1144"/>
      <c r="F175" s="1144"/>
      <c r="G175" s="1144"/>
      <c r="H175" s="1146" t="s">
        <v>1975</v>
      </c>
      <c r="I175" s="1144"/>
      <c r="J175" s="1144"/>
      <c r="K175" s="1144"/>
      <c r="L175" s="1144"/>
      <c r="M175" s="1144"/>
      <c r="N175" s="1144"/>
      <c r="O175" s="1144"/>
      <c r="P175" s="1144"/>
      <c r="Q175" s="1144"/>
      <c r="R175" s="1144"/>
      <c r="S175" s="1144"/>
      <c r="T175" s="1144"/>
      <c r="U175" s="1144"/>
      <c r="V175" s="1144"/>
      <c r="W175" s="1144"/>
      <c r="X175" s="1144"/>
      <c r="Y175" s="1144"/>
      <c r="Z175" s="1144"/>
      <c r="AA175" s="1144"/>
      <c r="AB175" s="1144"/>
      <c r="AC175" s="1144"/>
      <c r="AD175" s="1144"/>
      <c r="AE175" s="1144"/>
      <c r="AF175" s="1144"/>
      <c r="AG175" s="1144"/>
      <c r="AH175" s="1144"/>
      <c r="AI175" s="1144"/>
      <c r="AJ175" s="1144"/>
      <c r="AK175" s="1144"/>
      <c r="AL175" s="1144"/>
      <c r="AM175" s="1144"/>
      <c r="AN175" s="1144"/>
      <c r="AO175" s="1144"/>
      <c r="AP175" s="1144"/>
      <c r="AQ175" s="1144"/>
      <c r="AR175" s="1144"/>
      <c r="AS175" s="1144"/>
      <c r="AT175" s="1144"/>
      <c r="AU175" s="1144"/>
      <c r="AV175" s="1144"/>
      <c r="AW175" s="1144"/>
      <c r="AX175" s="1144"/>
      <c r="AY175" s="1144"/>
      <c r="AZ175" s="1144"/>
      <c r="BA175" s="1144"/>
      <c r="BB175" s="1144"/>
      <c r="BC175" s="1144"/>
      <c r="BD175" s="1150"/>
      <c r="BE175" s="1150"/>
    </row>
    <row r="176" spans="1:57" ht="15.75" customHeight="1">
      <c r="A176" s="1144"/>
      <c r="B176" s="1170"/>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c r="AA176" s="1144"/>
      <c r="AB176" s="1144"/>
      <c r="AC176" s="1144"/>
      <c r="AD176" s="1144"/>
      <c r="AE176" s="1144"/>
      <c r="AF176" s="1144"/>
      <c r="AG176" s="1144"/>
      <c r="AH176" s="1144"/>
      <c r="AI176" s="1144"/>
      <c r="AJ176" s="1144"/>
      <c r="AK176" s="1144"/>
      <c r="AL176" s="1144"/>
      <c r="AM176" s="1144"/>
      <c r="AN176" s="1144"/>
      <c r="AO176" s="1144"/>
      <c r="AP176" s="1144"/>
      <c r="AQ176" s="1144"/>
      <c r="AR176" s="1144"/>
      <c r="AS176" s="1144"/>
      <c r="AT176" s="1144"/>
      <c r="AU176" s="1144"/>
      <c r="AV176" s="1144"/>
      <c r="AW176" s="1144"/>
      <c r="AX176" s="1144"/>
      <c r="AY176" s="1144"/>
      <c r="AZ176" s="1144"/>
      <c r="BA176" s="1144"/>
      <c r="BB176" s="1144"/>
      <c r="BC176" s="1144"/>
      <c r="BD176" s="1150"/>
      <c r="BE176" s="1150"/>
    </row>
    <row r="177" spans="1:57" ht="15.75" customHeight="1">
      <c r="A177" s="1144"/>
      <c r="B177" s="1170"/>
      <c r="C177" s="1144"/>
      <c r="D177" s="1144"/>
      <c r="E177" s="1144"/>
      <c r="F177" s="1144"/>
      <c r="G177" s="1144"/>
      <c r="H177" s="3117" t="s">
        <v>1976</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17"/>
      <c r="AD177" s="3117"/>
      <c r="AE177" s="3117"/>
      <c r="AF177" s="3117"/>
      <c r="AG177" s="3117"/>
      <c r="AH177" s="3117"/>
      <c r="AI177" s="3117"/>
      <c r="AJ177" s="3117"/>
      <c r="AK177" s="3117"/>
      <c r="AL177" s="3117"/>
      <c r="AM177" s="3117"/>
      <c r="AN177" s="3117"/>
      <c r="AO177" s="3117"/>
      <c r="AP177" s="3117"/>
      <c r="AQ177" s="3117"/>
      <c r="AR177" s="3117"/>
      <c r="AS177" s="3117"/>
      <c r="AT177" s="3117"/>
      <c r="AU177" s="3117"/>
      <c r="AV177" s="3117"/>
      <c r="AW177" s="3117"/>
      <c r="AX177" s="3117"/>
      <c r="AY177" s="3117"/>
      <c r="AZ177" s="1144"/>
      <c r="BA177" s="1144"/>
      <c r="BB177" s="1144"/>
      <c r="BC177" s="1144"/>
      <c r="BD177" s="1150"/>
      <c r="BE177" s="1150"/>
    </row>
    <row r="178" spans="1:57" ht="15.75" customHeight="1">
      <c r="A178" s="1144"/>
      <c r="B178" s="1170"/>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1144"/>
      <c r="AK178" s="1144"/>
      <c r="AL178" s="1144"/>
      <c r="AM178" s="1144"/>
      <c r="AN178" s="1144"/>
      <c r="AO178" s="1144"/>
      <c r="AP178" s="1144"/>
      <c r="AQ178" s="1144"/>
      <c r="AR178" s="1144"/>
      <c r="AS178" s="1144"/>
      <c r="AT178" s="1144"/>
      <c r="AU178" s="1144"/>
      <c r="AV178" s="1144"/>
      <c r="AW178" s="1144"/>
      <c r="AX178" s="1144"/>
      <c r="AY178" s="1144"/>
      <c r="AZ178" s="1144"/>
      <c r="BA178" s="1144"/>
      <c r="BB178" s="1144"/>
      <c r="BC178" s="1144"/>
      <c r="BD178" s="1150"/>
      <c r="BE178" s="1150"/>
    </row>
    <row r="179" spans="1:57" ht="15.75" customHeight="1">
      <c r="A179" s="1144"/>
      <c r="B179" s="1170"/>
      <c r="C179" s="1144"/>
      <c r="D179" s="1144"/>
      <c r="E179" s="1144"/>
      <c r="F179" s="1144"/>
      <c r="G179" s="1144"/>
      <c r="H179" s="3128" t="s">
        <v>2731</v>
      </c>
      <c r="I179" s="3128"/>
      <c r="J179" s="3128"/>
      <c r="K179" s="3128"/>
      <c r="L179" s="3128"/>
      <c r="M179" s="3128"/>
      <c r="N179" s="3128"/>
      <c r="O179" s="3128"/>
      <c r="P179" s="3128"/>
      <c r="Q179" s="3128"/>
      <c r="R179" s="3128"/>
      <c r="S179" s="3128"/>
      <c r="T179" s="3128"/>
      <c r="U179" s="3128"/>
      <c r="V179" s="3128"/>
      <c r="W179" s="3128"/>
      <c r="X179" s="3128"/>
      <c r="Y179" s="3128"/>
      <c r="Z179" s="3128"/>
      <c r="AA179" s="3128"/>
      <c r="AB179" s="3128"/>
      <c r="AC179" s="3128"/>
      <c r="AD179" s="3128"/>
      <c r="AE179" s="3128"/>
      <c r="AF179" s="3128"/>
      <c r="AG179" s="3128"/>
      <c r="AH179" s="3128"/>
      <c r="AI179" s="3128"/>
      <c r="AJ179" s="3128"/>
      <c r="AK179" s="3128"/>
      <c r="AL179" s="3128"/>
      <c r="AM179" s="3128"/>
      <c r="AN179" s="3128"/>
      <c r="AO179" s="3128"/>
      <c r="AP179" s="3128"/>
      <c r="AQ179" s="3128"/>
      <c r="AR179" s="3128"/>
      <c r="AS179" s="3128"/>
      <c r="AT179" s="3128"/>
      <c r="AU179" s="3128"/>
      <c r="AV179" s="3128"/>
      <c r="AW179" s="3128"/>
      <c r="AX179" s="3128"/>
      <c r="AY179" s="3128"/>
      <c r="AZ179" s="3128"/>
      <c r="BA179" s="1144"/>
      <c r="BB179" s="1144"/>
      <c r="BC179" s="1144"/>
      <c r="BD179" s="1150"/>
      <c r="BE179" s="1150"/>
    </row>
    <row r="180" spans="1:57" ht="15.75" customHeight="1">
      <c r="A180" s="1144"/>
      <c r="B180" s="1143"/>
      <c r="C180" s="1144"/>
      <c r="D180" s="1144"/>
      <c r="E180" s="1144"/>
      <c r="F180" s="1144"/>
      <c r="G180" s="1144"/>
      <c r="H180" s="3128"/>
      <c r="I180" s="3128"/>
      <c r="J180" s="3128"/>
      <c r="K180" s="3128"/>
      <c r="L180" s="3128"/>
      <c r="M180" s="3128"/>
      <c r="N180" s="3128"/>
      <c r="O180" s="3128"/>
      <c r="P180" s="3128"/>
      <c r="Q180" s="3128"/>
      <c r="R180" s="3128"/>
      <c r="S180" s="3128"/>
      <c r="T180" s="3128"/>
      <c r="U180" s="3128"/>
      <c r="V180" s="3128"/>
      <c r="W180" s="3128"/>
      <c r="X180" s="3128"/>
      <c r="Y180" s="3128"/>
      <c r="Z180" s="3128"/>
      <c r="AA180" s="3128"/>
      <c r="AB180" s="3128"/>
      <c r="AC180" s="3128"/>
      <c r="AD180" s="3128"/>
      <c r="AE180" s="3128"/>
      <c r="AF180" s="3128"/>
      <c r="AG180" s="3128"/>
      <c r="AH180" s="3128"/>
      <c r="AI180" s="3128"/>
      <c r="AJ180" s="3128"/>
      <c r="AK180" s="3128"/>
      <c r="AL180" s="3128"/>
      <c r="AM180" s="3128"/>
      <c r="AN180" s="3128"/>
      <c r="AO180" s="3128"/>
      <c r="AP180" s="3128"/>
      <c r="AQ180" s="3128"/>
      <c r="AR180" s="3128"/>
      <c r="AS180" s="3128"/>
      <c r="AT180" s="3128"/>
      <c r="AU180" s="3128"/>
      <c r="AV180" s="3128"/>
      <c r="AW180" s="3128"/>
      <c r="AX180" s="3128"/>
      <c r="AY180" s="3128"/>
      <c r="AZ180" s="3128"/>
      <c r="BA180" s="1144"/>
      <c r="BB180" s="1144"/>
      <c r="BC180" s="1144"/>
      <c r="BD180" s="1150"/>
      <c r="BE180" s="1150"/>
    </row>
    <row r="181" spans="1:57" ht="15.75" customHeight="1">
      <c r="A181" s="1144"/>
      <c r="B181" s="1143"/>
      <c r="C181" s="1144"/>
      <c r="D181" s="1144"/>
      <c r="E181" s="1144"/>
      <c r="F181" s="1144"/>
      <c r="G181" s="1144"/>
      <c r="H181" s="3128"/>
      <c r="I181" s="3128"/>
      <c r="J181" s="3128"/>
      <c r="K181" s="3128"/>
      <c r="L181" s="3128"/>
      <c r="M181" s="3128"/>
      <c r="N181" s="3128"/>
      <c r="O181" s="3128"/>
      <c r="P181" s="3128"/>
      <c r="Q181" s="3128"/>
      <c r="R181" s="3128"/>
      <c r="S181" s="3128"/>
      <c r="T181" s="3128"/>
      <c r="U181" s="3128"/>
      <c r="V181" s="3128"/>
      <c r="W181" s="3128"/>
      <c r="X181" s="3128"/>
      <c r="Y181" s="3128"/>
      <c r="Z181" s="3128"/>
      <c r="AA181" s="3128"/>
      <c r="AB181" s="3128"/>
      <c r="AC181" s="3128"/>
      <c r="AD181" s="3128"/>
      <c r="AE181" s="3128"/>
      <c r="AF181" s="3128"/>
      <c r="AG181" s="3128"/>
      <c r="AH181" s="3128"/>
      <c r="AI181" s="3128"/>
      <c r="AJ181" s="3128"/>
      <c r="AK181" s="3128"/>
      <c r="AL181" s="3128"/>
      <c r="AM181" s="3128"/>
      <c r="AN181" s="3128"/>
      <c r="AO181" s="3128"/>
      <c r="AP181" s="3128"/>
      <c r="AQ181" s="3128"/>
      <c r="AR181" s="3128"/>
      <c r="AS181" s="3128"/>
      <c r="AT181" s="3128"/>
      <c r="AU181" s="3128"/>
      <c r="AV181" s="3128"/>
      <c r="AW181" s="3128"/>
      <c r="AX181" s="3128"/>
      <c r="AY181" s="3128"/>
      <c r="AZ181" s="3128"/>
      <c r="BA181" s="1144"/>
      <c r="BB181" s="1144"/>
      <c r="BC181" s="1144"/>
      <c r="BD181" s="1150"/>
      <c r="BE181" s="1150"/>
    </row>
    <row r="182" spans="1:57" ht="15.75" customHeight="1">
      <c r="A182" s="1144"/>
      <c r="B182" s="1143"/>
      <c r="C182" s="1144"/>
      <c r="D182" s="1144"/>
      <c r="E182" s="1144"/>
      <c r="F182" s="1144"/>
      <c r="G182" s="1144"/>
      <c r="H182" s="1171"/>
      <c r="I182" s="1171"/>
      <c r="J182" s="1171"/>
      <c r="K182" s="1171"/>
      <c r="L182" s="1171"/>
      <c r="M182" s="1171"/>
      <c r="N182" s="1171"/>
      <c r="O182" s="1171"/>
      <c r="P182" s="1171"/>
      <c r="Q182" s="1171"/>
      <c r="R182" s="1171"/>
      <c r="S182" s="1171"/>
      <c r="T182" s="1171"/>
      <c r="U182" s="1171"/>
      <c r="V182" s="1171"/>
      <c r="W182" s="1171"/>
      <c r="X182" s="1171"/>
      <c r="Y182" s="1171"/>
      <c r="Z182" s="1171"/>
      <c r="AA182" s="1171"/>
      <c r="AB182" s="1171"/>
      <c r="AC182" s="1171"/>
      <c r="AD182" s="1171"/>
      <c r="AE182" s="1171"/>
      <c r="AF182" s="1171"/>
      <c r="AG182" s="1171"/>
      <c r="AH182" s="1171"/>
      <c r="AI182" s="1171"/>
      <c r="AJ182" s="1171"/>
      <c r="AK182" s="1171"/>
      <c r="AL182" s="1171"/>
      <c r="AM182" s="1171"/>
      <c r="AN182" s="1171"/>
      <c r="AO182" s="1171"/>
      <c r="AP182" s="1171"/>
      <c r="AQ182" s="1171"/>
      <c r="AR182" s="1171"/>
      <c r="AS182" s="1171"/>
      <c r="AT182" s="1171"/>
      <c r="AU182" s="1171"/>
      <c r="AV182" s="1171"/>
      <c r="AW182" s="1171"/>
      <c r="AX182" s="1171"/>
      <c r="AY182" s="1171"/>
      <c r="AZ182" s="1144"/>
      <c r="BA182" s="1144"/>
      <c r="BB182" s="1144"/>
      <c r="BC182" s="1144"/>
      <c r="BD182" s="1150"/>
      <c r="BE182" s="1150"/>
    </row>
    <row r="183" spans="1:57" ht="15.75" customHeight="1">
      <c r="A183" s="1144"/>
      <c r="B183" s="1143"/>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c r="AA183" s="1144"/>
      <c r="AB183" s="1144"/>
      <c r="AC183" s="1144"/>
      <c r="AD183" s="1144"/>
      <c r="AE183" s="1144"/>
      <c r="AF183" s="1144"/>
      <c r="AG183" s="1144"/>
      <c r="AH183" s="1144"/>
      <c r="AI183" s="1144"/>
      <c r="AJ183" s="1144"/>
      <c r="AK183" s="1144"/>
      <c r="AL183" s="1144"/>
      <c r="AM183" s="1144"/>
      <c r="AN183" s="1144"/>
      <c r="AO183" s="1144"/>
      <c r="AP183" s="1144"/>
      <c r="AQ183" s="1144"/>
      <c r="AR183" s="1144"/>
      <c r="AS183" s="1144"/>
      <c r="AT183" s="1144"/>
      <c r="AU183" s="1144"/>
      <c r="AV183" s="1144"/>
      <c r="AW183" s="1144"/>
      <c r="AX183" s="1144"/>
      <c r="AY183" s="1144"/>
      <c r="AZ183" s="1144"/>
      <c r="BA183" s="1144"/>
      <c r="BB183" s="1144"/>
      <c r="BC183" s="1144"/>
      <c r="BD183" s="1150"/>
      <c r="BE183" s="1150"/>
    </row>
    <row r="184" spans="1:57" ht="15.75" customHeight="1" thickBot="1">
      <c r="A184" s="1144"/>
      <c r="B184" s="1172"/>
      <c r="C184" s="1173"/>
      <c r="D184" s="1173"/>
      <c r="E184" s="1173"/>
      <c r="F184" s="1173"/>
      <c r="G184" s="1173"/>
      <c r="H184" s="3129" t="s">
        <v>1977</v>
      </c>
      <c r="I184" s="3129"/>
      <c r="J184" s="3129"/>
      <c r="K184" s="3129"/>
      <c r="L184" s="3129"/>
      <c r="M184" s="3129"/>
      <c r="N184" s="3129"/>
      <c r="O184" s="3129"/>
      <c r="P184" s="3129"/>
      <c r="Q184" s="3129"/>
      <c r="R184" s="3129"/>
      <c r="S184" s="3129"/>
      <c r="T184" s="3129"/>
      <c r="U184" s="3129"/>
      <c r="V184" s="3129"/>
      <c r="W184" s="3129"/>
      <c r="X184" s="3129"/>
      <c r="Y184" s="3129"/>
      <c r="Z184" s="3129"/>
      <c r="AA184" s="3129"/>
      <c r="AB184" s="3129"/>
      <c r="AC184" s="3129"/>
      <c r="AD184" s="3129"/>
      <c r="AE184" s="3129"/>
      <c r="AF184" s="3129"/>
      <c r="AG184" s="3129"/>
      <c r="AH184" s="3129"/>
      <c r="AI184" s="3129"/>
      <c r="AJ184" s="3129"/>
      <c r="AK184" s="3129"/>
      <c r="AL184" s="3129"/>
      <c r="AM184" s="3129"/>
      <c r="AN184" s="3129"/>
      <c r="AO184" s="3129"/>
      <c r="AP184" s="3129"/>
      <c r="AQ184" s="3129"/>
      <c r="AR184" s="3129"/>
      <c r="AS184" s="3129"/>
      <c r="AT184" s="3129"/>
      <c r="AU184" s="3129"/>
      <c r="AV184" s="3129"/>
      <c r="AW184" s="1173"/>
      <c r="AX184" s="1173"/>
      <c r="AY184" s="1173"/>
      <c r="AZ184" s="1173"/>
      <c r="BA184" s="1173"/>
      <c r="BB184" s="1173"/>
      <c r="BC184" s="1173"/>
      <c r="BD184" s="1174"/>
      <c r="BE184" s="1150"/>
    </row>
    <row r="185" spans="1:57" ht="15.75" customHeight="1" thickBot="1">
      <c r="A185" s="1144"/>
      <c r="B185" s="1175"/>
      <c r="C185" s="1156"/>
      <c r="D185" s="1156"/>
      <c r="E185" s="1156"/>
      <c r="F185" s="1156"/>
      <c r="G185" s="1156"/>
      <c r="H185" s="1156"/>
      <c r="I185" s="1156"/>
      <c r="J185" s="1156"/>
      <c r="K185" s="1156"/>
      <c r="L185" s="1156"/>
      <c r="M185" s="1156"/>
      <c r="N185" s="1156"/>
      <c r="O185" s="1156"/>
      <c r="P185" s="1156"/>
      <c r="Q185" s="1156"/>
      <c r="R185" s="1156"/>
      <c r="S185" s="1156"/>
      <c r="T185" s="1156"/>
      <c r="U185" s="1156"/>
      <c r="V185" s="1156"/>
      <c r="W185" s="1156"/>
      <c r="X185" s="1156"/>
      <c r="Y185" s="1156"/>
      <c r="Z185" s="1156"/>
      <c r="AA185" s="1156"/>
      <c r="AB185" s="1156"/>
      <c r="AC185" s="1156"/>
      <c r="AD185" s="1156"/>
      <c r="AE185" s="1156"/>
      <c r="AF185" s="1156"/>
      <c r="AG185" s="1156"/>
      <c r="AH185" s="1156"/>
      <c r="AI185" s="1156"/>
      <c r="AJ185" s="1156"/>
      <c r="AK185" s="1156"/>
      <c r="AL185" s="1156"/>
      <c r="AM185" s="1156"/>
      <c r="AN185" s="1156"/>
      <c r="AO185" s="1156"/>
      <c r="AP185" s="1156"/>
      <c r="AQ185" s="1156"/>
      <c r="AR185" s="1156"/>
      <c r="AS185" s="1156"/>
      <c r="AT185" s="1156"/>
      <c r="AU185" s="1156"/>
      <c r="AV185" s="1156"/>
      <c r="AW185" s="1156"/>
      <c r="AX185" s="1156"/>
      <c r="AY185" s="1156"/>
      <c r="AZ185" s="1156"/>
      <c r="BA185" s="1156"/>
      <c r="BB185" s="1156"/>
      <c r="BC185" s="1156"/>
      <c r="BD185" s="1176"/>
      <c r="BE185" s="1150"/>
    </row>
    <row r="186" spans="1:57" ht="30" customHeight="1" thickBot="1">
      <c r="A186" s="1144"/>
      <c r="B186" s="1175"/>
      <c r="C186" s="1156"/>
      <c r="D186" s="1156"/>
      <c r="E186" s="1156"/>
      <c r="F186" s="1156"/>
      <c r="G186" s="1156"/>
      <c r="H186" s="3122" t="s">
        <v>1978</v>
      </c>
      <c r="I186" s="3122"/>
      <c r="J186" s="3122"/>
      <c r="K186" s="3122"/>
      <c r="L186" s="1156"/>
      <c r="M186" s="1156"/>
      <c r="N186" s="1156"/>
      <c r="O186" s="1156"/>
      <c r="P186" s="1156"/>
      <c r="Q186" s="1156"/>
      <c r="R186" s="1156"/>
      <c r="S186" s="3123"/>
      <c r="T186" s="3124"/>
      <c r="U186" s="3124"/>
      <c r="V186" s="3124"/>
      <c r="W186" s="3124"/>
      <c r="X186" s="3124"/>
      <c r="Y186" s="3124"/>
      <c r="Z186" s="3124"/>
      <c r="AA186" s="3124"/>
      <c r="AB186" s="3124"/>
      <c r="AC186" s="3124"/>
      <c r="AD186" s="3124"/>
      <c r="AE186" s="3124"/>
      <c r="AF186" s="3124"/>
      <c r="AG186" s="3124"/>
      <c r="AH186" s="3124"/>
      <c r="AI186" s="3124"/>
      <c r="AJ186" s="3125"/>
      <c r="AK186" s="1156"/>
      <c r="AL186" s="1156"/>
      <c r="AM186" s="1156"/>
      <c r="AN186" s="1156"/>
      <c r="AO186" s="1156"/>
      <c r="AP186" s="1156"/>
      <c r="AQ186" s="1156"/>
      <c r="AR186" s="1156"/>
      <c r="AS186" s="1156"/>
      <c r="AT186" s="1156"/>
      <c r="AU186" s="1156"/>
      <c r="AV186" s="1156"/>
      <c r="AW186" s="1156"/>
      <c r="AX186" s="1156"/>
      <c r="AY186" s="1156"/>
      <c r="AZ186" s="1156"/>
      <c r="BA186" s="1156"/>
      <c r="BB186" s="1156"/>
      <c r="BC186" s="1156"/>
      <c r="BD186" s="1176"/>
      <c r="BE186" s="1150"/>
    </row>
    <row r="187" spans="1:57" ht="15.75" customHeight="1" thickBot="1">
      <c r="A187" s="1144"/>
      <c r="B187" s="1175"/>
      <c r="C187" s="1156"/>
      <c r="D187" s="1156"/>
      <c r="E187" s="1156"/>
      <c r="F187" s="1156"/>
      <c r="G187" s="1156"/>
      <c r="H187" s="1177"/>
      <c r="I187" s="1177"/>
      <c r="J187" s="1177"/>
      <c r="K187" s="1177"/>
      <c r="L187" s="1156"/>
      <c r="M187" s="1156"/>
      <c r="N187" s="1156"/>
      <c r="O187" s="1156"/>
      <c r="P187" s="1156"/>
      <c r="Q187" s="1156"/>
      <c r="R187" s="1156"/>
      <c r="S187" s="1156"/>
      <c r="T187" s="1156"/>
      <c r="U187" s="1156"/>
      <c r="V187" s="1156"/>
      <c r="W187" s="1156"/>
      <c r="X187" s="1156"/>
      <c r="Y187" s="1156"/>
      <c r="Z187" s="1156"/>
      <c r="AA187" s="1156"/>
      <c r="AB187" s="1156"/>
      <c r="AC187" s="1156"/>
      <c r="AD187" s="1156"/>
      <c r="AE187" s="1156"/>
      <c r="AF187" s="1156"/>
      <c r="AG187" s="1156"/>
      <c r="AH187" s="1156"/>
      <c r="AI187" s="1156"/>
      <c r="AJ187" s="1156"/>
      <c r="AK187" s="1156"/>
      <c r="AL187" s="1156"/>
      <c r="AM187" s="1156"/>
      <c r="AN187" s="1156"/>
      <c r="AO187" s="1156"/>
      <c r="AP187" s="1156"/>
      <c r="AQ187" s="1156"/>
      <c r="AR187" s="1156"/>
      <c r="AS187" s="1156"/>
      <c r="AT187" s="1156"/>
      <c r="AU187" s="1156"/>
      <c r="AV187" s="1156"/>
      <c r="AW187" s="1156"/>
      <c r="AX187" s="1156"/>
      <c r="AY187" s="1156"/>
      <c r="AZ187" s="1156"/>
      <c r="BA187" s="1156"/>
      <c r="BB187" s="1156"/>
      <c r="BC187" s="1156"/>
      <c r="BD187" s="1176"/>
      <c r="BE187" s="1150"/>
    </row>
    <row r="188" spans="1:57" ht="15.75" customHeight="1" thickBot="1">
      <c r="A188" s="1144"/>
      <c r="B188" s="1175"/>
      <c r="C188" s="1156"/>
      <c r="D188" s="1156"/>
      <c r="E188" s="1156"/>
      <c r="F188" s="1156"/>
      <c r="G188" s="1156"/>
      <c r="H188" s="3122" t="s">
        <v>1979</v>
      </c>
      <c r="I188" s="3122"/>
      <c r="J188" s="3122"/>
      <c r="K188" s="1177"/>
      <c r="L188" s="1156"/>
      <c r="M188" s="1156"/>
      <c r="N188" s="1156"/>
      <c r="O188" s="1156"/>
      <c r="P188" s="1156"/>
      <c r="Q188" s="1156"/>
      <c r="R188" s="1156"/>
      <c r="S188" s="3123"/>
      <c r="T188" s="3124"/>
      <c r="U188" s="3124"/>
      <c r="V188" s="3124"/>
      <c r="W188" s="3124"/>
      <c r="X188" s="3124"/>
      <c r="Y188" s="3124"/>
      <c r="Z188" s="3124"/>
      <c r="AA188" s="3124"/>
      <c r="AB188" s="3124"/>
      <c r="AC188" s="3124"/>
      <c r="AD188" s="3124"/>
      <c r="AE188" s="3124"/>
      <c r="AF188" s="3124"/>
      <c r="AG188" s="3124"/>
      <c r="AH188" s="3124"/>
      <c r="AI188" s="3124"/>
      <c r="AJ188" s="3125"/>
      <c r="AK188" s="1156"/>
      <c r="AL188" s="1156"/>
      <c r="AM188" s="1156"/>
      <c r="AN188" s="1156"/>
      <c r="AO188" s="1156"/>
      <c r="AP188" s="1156"/>
      <c r="AQ188" s="1156"/>
      <c r="AR188" s="1156"/>
      <c r="AS188" s="1156"/>
      <c r="AT188" s="1156"/>
      <c r="AU188" s="1156"/>
      <c r="AV188" s="1156"/>
      <c r="AW188" s="1156"/>
      <c r="AX188" s="1156"/>
      <c r="AY188" s="1156"/>
      <c r="AZ188" s="1156"/>
      <c r="BA188" s="1156"/>
      <c r="BB188" s="1156"/>
      <c r="BC188" s="1156"/>
      <c r="BD188" s="1176"/>
      <c r="BE188" s="1150"/>
    </row>
    <row r="189" spans="1:57" ht="15.75" customHeight="1" thickBot="1">
      <c r="A189" s="1144"/>
      <c r="B189" s="1175"/>
      <c r="C189" s="1156"/>
      <c r="D189" s="1156"/>
      <c r="E189" s="1156"/>
      <c r="F189" s="1156"/>
      <c r="G189" s="1156"/>
      <c r="H189" s="1177"/>
      <c r="I189" s="1177"/>
      <c r="J189" s="1177"/>
      <c r="K189" s="1177"/>
      <c r="L189" s="1156"/>
      <c r="M189" s="1156"/>
      <c r="N189" s="1156"/>
      <c r="O189" s="1156"/>
      <c r="P189" s="1156"/>
      <c r="Q189" s="1156"/>
      <c r="R189" s="1156"/>
      <c r="S189" s="1156"/>
      <c r="T189" s="1156"/>
      <c r="U189" s="1156"/>
      <c r="V189" s="1156"/>
      <c r="W189" s="1156"/>
      <c r="X189" s="1156"/>
      <c r="Y189" s="1156"/>
      <c r="Z189" s="1156"/>
      <c r="AA189" s="1156"/>
      <c r="AB189" s="1156"/>
      <c r="AC189" s="1156"/>
      <c r="AD189" s="1156"/>
      <c r="AE189" s="1156"/>
      <c r="AF189" s="1156"/>
      <c r="AG189" s="1156"/>
      <c r="AH189" s="1156"/>
      <c r="AI189" s="1156"/>
      <c r="AJ189" s="1156"/>
      <c r="AK189" s="1156"/>
      <c r="AL189" s="1156"/>
      <c r="AM189" s="1156"/>
      <c r="AN189" s="1156"/>
      <c r="AO189" s="1156"/>
      <c r="AP189" s="1156"/>
      <c r="AQ189" s="1156"/>
      <c r="AR189" s="1156"/>
      <c r="AS189" s="1156"/>
      <c r="AT189" s="1156"/>
      <c r="AU189" s="1156"/>
      <c r="AV189" s="1156"/>
      <c r="AW189" s="1156"/>
      <c r="AX189" s="1156"/>
      <c r="AY189" s="1156"/>
      <c r="AZ189" s="1156"/>
      <c r="BA189" s="1156"/>
      <c r="BB189" s="1156"/>
      <c r="BC189" s="1156"/>
      <c r="BD189" s="1176"/>
      <c r="BE189" s="1150"/>
    </row>
    <row r="190" spans="1:57" ht="15.75" customHeight="1" thickBot="1">
      <c r="A190" s="1144"/>
      <c r="B190" s="1175"/>
      <c r="C190" s="1156"/>
      <c r="D190" s="1156"/>
      <c r="E190" s="1156"/>
      <c r="F190" s="1156"/>
      <c r="G190" s="1156"/>
      <c r="H190" s="3122" t="s">
        <v>458</v>
      </c>
      <c r="I190" s="3122"/>
      <c r="J190" s="1177"/>
      <c r="K190" s="1177"/>
      <c r="L190" s="1156"/>
      <c r="M190" s="1156"/>
      <c r="N190" s="1156"/>
      <c r="O190" s="1156"/>
      <c r="P190" s="1156"/>
      <c r="Q190" s="1156"/>
      <c r="R190" s="1156"/>
      <c r="S190" s="3123"/>
      <c r="T190" s="3124"/>
      <c r="U190" s="3124"/>
      <c r="V190" s="3124"/>
      <c r="W190" s="3124"/>
      <c r="X190" s="3124"/>
      <c r="Y190" s="3124"/>
      <c r="Z190" s="3124"/>
      <c r="AA190" s="3124"/>
      <c r="AB190" s="3124"/>
      <c r="AC190" s="3124"/>
      <c r="AD190" s="3124"/>
      <c r="AE190" s="3124"/>
      <c r="AF190" s="3124"/>
      <c r="AG190" s="3124"/>
      <c r="AH190" s="3124"/>
      <c r="AI190" s="3124"/>
      <c r="AJ190" s="3125"/>
      <c r="AK190" s="1156"/>
      <c r="AL190" s="1156"/>
      <c r="AM190" s="1156"/>
      <c r="AN190" s="1156"/>
      <c r="AO190" s="1156"/>
      <c r="AP190" s="1156"/>
      <c r="AQ190" s="1156"/>
      <c r="AR190" s="1156"/>
      <c r="AS190" s="1156"/>
      <c r="AT190" s="1156"/>
      <c r="AU190" s="1156"/>
      <c r="AV190" s="1156"/>
      <c r="AW190" s="1156"/>
      <c r="AX190" s="1156"/>
      <c r="AY190" s="1156"/>
      <c r="AZ190" s="1156"/>
      <c r="BA190" s="1156"/>
      <c r="BB190" s="1156"/>
      <c r="BC190" s="1156"/>
      <c r="BD190" s="1176"/>
      <c r="BE190" s="1150"/>
    </row>
    <row r="191" spans="1:57" ht="15.75" customHeight="1" thickBot="1">
      <c r="A191" s="1144"/>
      <c r="B191" s="1175"/>
      <c r="C191" s="1156"/>
      <c r="D191" s="1156"/>
      <c r="E191" s="1156"/>
      <c r="F191" s="1156"/>
      <c r="G191" s="1156"/>
      <c r="H191" s="1156"/>
      <c r="I191" s="1156"/>
      <c r="J191" s="1156"/>
      <c r="K191" s="1156"/>
      <c r="L191" s="1156"/>
      <c r="M191" s="1156"/>
      <c r="N191" s="1156"/>
      <c r="O191" s="1156"/>
      <c r="P191" s="1156"/>
      <c r="Q191" s="1156"/>
      <c r="R191" s="1156"/>
      <c r="S191" s="1156"/>
      <c r="T191" s="1156"/>
      <c r="U191" s="1156"/>
      <c r="V191" s="1156"/>
      <c r="W191" s="1156"/>
      <c r="X191" s="1156"/>
      <c r="Y191" s="1156"/>
      <c r="Z191" s="1156"/>
      <c r="AA191" s="1156"/>
      <c r="AB191" s="1156"/>
      <c r="AC191" s="1156"/>
      <c r="AD191" s="1156"/>
      <c r="AE191" s="1156"/>
      <c r="AF191" s="1156"/>
      <c r="AG191" s="1156"/>
      <c r="AH191" s="1156"/>
      <c r="AI191" s="1156"/>
      <c r="AJ191" s="1156"/>
      <c r="AK191" s="1156"/>
      <c r="AL191" s="1156"/>
      <c r="AM191" s="1156"/>
      <c r="AN191" s="1156"/>
      <c r="AO191" s="1156"/>
      <c r="AP191" s="1156"/>
      <c r="AQ191" s="1156"/>
      <c r="AR191" s="1156"/>
      <c r="AS191" s="1156"/>
      <c r="AT191" s="1156"/>
      <c r="AU191" s="1156"/>
      <c r="AV191" s="1156"/>
      <c r="AW191" s="1156"/>
      <c r="AX191" s="1156"/>
      <c r="AY191" s="1156"/>
      <c r="AZ191" s="1156"/>
      <c r="BA191" s="1156"/>
      <c r="BB191" s="1156"/>
      <c r="BC191" s="1156"/>
      <c r="BD191" s="1176"/>
      <c r="BE191" s="1150"/>
    </row>
    <row r="192" spans="1:57" ht="15.75" customHeight="1" thickBot="1">
      <c r="A192" s="1144"/>
      <c r="B192" s="1175"/>
      <c r="C192" s="1156"/>
      <c r="D192" s="1156"/>
      <c r="E192" s="1156"/>
      <c r="F192" s="1156"/>
      <c r="G192" s="1156"/>
      <c r="H192" s="3126" t="s">
        <v>1980</v>
      </c>
      <c r="I192" s="3126"/>
      <c r="J192" s="3126"/>
      <c r="K192" s="3126"/>
      <c r="L192" s="3126"/>
      <c r="M192" s="3126"/>
      <c r="N192" s="3126"/>
      <c r="O192" s="3126"/>
      <c r="P192" s="1156"/>
      <c r="Q192" s="1156"/>
      <c r="R192" s="1156"/>
      <c r="S192" s="3123"/>
      <c r="T192" s="3124"/>
      <c r="U192" s="3124"/>
      <c r="V192" s="3124"/>
      <c r="W192" s="3124"/>
      <c r="X192" s="3124"/>
      <c r="Y192" s="3124"/>
      <c r="Z192" s="3124"/>
      <c r="AA192" s="3124"/>
      <c r="AB192" s="3124"/>
      <c r="AC192" s="3124"/>
      <c r="AD192" s="3124"/>
      <c r="AE192" s="3124"/>
      <c r="AF192" s="3124"/>
      <c r="AG192" s="3124"/>
      <c r="AH192" s="3124"/>
      <c r="AI192" s="3124"/>
      <c r="AJ192" s="3125"/>
      <c r="AK192" s="1156"/>
      <c r="AL192" s="1156"/>
      <c r="AM192" s="1156"/>
      <c r="AN192" s="1156"/>
      <c r="AO192" s="1156"/>
      <c r="AP192" s="1156"/>
      <c r="AQ192" s="1156"/>
      <c r="AR192" s="1156"/>
      <c r="AS192" s="1156"/>
      <c r="AT192" s="1156"/>
      <c r="AU192" s="1156"/>
      <c r="AV192" s="1156"/>
      <c r="AW192" s="1156"/>
      <c r="AX192" s="1156"/>
      <c r="AY192" s="1156"/>
      <c r="AZ192" s="1156"/>
      <c r="BA192" s="1156"/>
      <c r="BB192" s="1156"/>
      <c r="BC192" s="1156"/>
      <c r="BD192" s="1176"/>
      <c r="BE192" s="1150"/>
    </row>
    <row r="193" spans="1:57" ht="15.75" customHeight="1" thickBot="1">
      <c r="A193" s="1144"/>
      <c r="B193" s="1175"/>
      <c r="C193" s="1156"/>
      <c r="D193" s="1156"/>
      <c r="E193" s="1156"/>
      <c r="F193" s="1156"/>
      <c r="G193" s="1156"/>
      <c r="H193" s="1156"/>
      <c r="I193" s="1156"/>
      <c r="J193" s="1156"/>
      <c r="K193" s="1156"/>
      <c r="L193" s="1156"/>
      <c r="M193" s="1156"/>
      <c r="N193" s="1156"/>
      <c r="O193" s="1156"/>
      <c r="P193" s="1156"/>
      <c r="Q193" s="1156"/>
      <c r="R193" s="1156"/>
      <c r="S193" s="1156"/>
      <c r="T193" s="1156"/>
      <c r="U193" s="1156"/>
      <c r="V193" s="1156"/>
      <c r="W193" s="1156"/>
      <c r="X193" s="1156"/>
      <c r="Y193" s="1156"/>
      <c r="Z193" s="1156"/>
      <c r="AA193" s="1156"/>
      <c r="AB193" s="1156"/>
      <c r="AC193" s="1156"/>
      <c r="AD193" s="1156"/>
      <c r="AE193" s="1156"/>
      <c r="AF193" s="1156"/>
      <c r="AG193" s="1156"/>
      <c r="AH193" s="1156"/>
      <c r="AI193" s="1156"/>
      <c r="AJ193" s="1156"/>
      <c r="AK193" s="1156"/>
      <c r="AL193" s="1156"/>
      <c r="AM193" s="1156"/>
      <c r="AN193" s="1156"/>
      <c r="AO193" s="1156"/>
      <c r="AP193" s="1156"/>
      <c r="AQ193" s="1156"/>
      <c r="AR193" s="1156"/>
      <c r="AS193" s="1156"/>
      <c r="AT193" s="1156"/>
      <c r="AU193" s="1156"/>
      <c r="AV193" s="1156"/>
      <c r="AW193" s="1156"/>
      <c r="AX193" s="1156"/>
      <c r="AY193" s="1156"/>
      <c r="AZ193" s="1156"/>
      <c r="BA193" s="1156"/>
      <c r="BB193" s="1156"/>
      <c r="BC193" s="1156"/>
      <c r="BD193" s="1176"/>
      <c r="BE193" s="1150"/>
    </row>
    <row r="194" spans="1:57" ht="15.75" customHeight="1" thickBot="1">
      <c r="A194" s="1144"/>
      <c r="B194" s="1175"/>
      <c r="C194" s="1156"/>
      <c r="D194" s="1156"/>
      <c r="E194" s="1156"/>
      <c r="F194" s="1156"/>
      <c r="G194" s="1156"/>
      <c r="H194" s="3127" t="s">
        <v>1981</v>
      </c>
      <c r="I194" s="3127"/>
      <c r="J194" s="1156"/>
      <c r="K194" s="1156"/>
      <c r="L194" s="1156"/>
      <c r="M194" s="1156"/>
      <c r="N194" s="1156"/>
      <c r="O194" s="1156"/>
      <c r="P194" s="1156"/>
      <c r="Q194" s="1156"/>
      <c r="R194" s="1156"/>
      <c r="S194" s="3123"/>
      <c r="T194" s="3124"/>
      <c r="U194" s="3124"/>
      <c r="V194" s="3124"/>
      <c r="W194" s="3124"/>
      <c r="X194" s="3124"/>
      <c r="Y194" s="3124"/>
      <c r="Z194" s="3124"/>
      <c r="AA194" s="3124"/>
      <c r="AB194" s="3124"/>
      <c r="AC194" s="3124"/>
      <c r="AD194" s="3124"/>
      <c r="AE194" s="3124"/>
      <c r="AF194" s="3124"/>
      <c r="AG194" s="3124"/>
      <c r="AH194" s="3124"/>
      <c r="AI194" s="3124"/>
      <c r="AJ194" s="3125"/>
      <c r="AK194" s="1156"/>
      <c r="AL194" s="1156"/>
      <c r="AM194" s="1156"/>
      <c r="AN194" s="1156"/>
      <c r="AO194" s="1156"/>
      <c r="AP194" s="1156"/>
      <c r="AQ194" s="1156"/>
      <c r="AR194" s="1156"/>
      <c r="AS194" s="1156"/>
      <c r="AT194" s="1156"/>
      <c r="AU194" s="1156"/>
      <c r="AV194" s="1156"/>
      <c r="AW194" s="1156"/>
      <c r="AX194" s="1156"/>
      <c r="AY194" s="1156"/>
      <c r="AZ194" s="1156"/>
      <c r="BA194" s="1156"/>
      <c r="BB194" s="1156"/>
      <c r="BC194" s="1156"/>
      <c r="BD194" s="1176"/>
      <c r="BE194" s="1150"/>
    </row>
    <row r="195" spans="1:57" ht="15.75" customHeight="1" thickBot="1">
      <c r="A195" s="1144"/>
      <c r="B195" s="1178"/>
      <c r="C195" s="1179"/>
      <c r="D195" s="1179"/>
      <c r="E195" s="1179"/>
      <c r="F195" s="1179"/>
      <c r="G195" s="1179"/>
      <c r="H195" s="1179"/>
      <c r="I195" s="1179"/>
      <c r="J195" s="1179"/>
      <c r="K195" s="1179"/>
      <c r="L195" s="1179"/>
      <c r="M195" s="1179"/>
      <c r="N195" s="1179"/>
      <c r="O195" s="1179"/>
      <c r="P195" s="1179"/>
      <c r="Q195" s="1179"/>
      <c r="R195" s="1179"/>
      <c r="S195" s="1179"/>
      <c r="T195" s="1179"/>
      <c r="U195" s="1179"/>
      <c r="V195" s="1179"/>
      <c r="W195" s="1179"/>
      <c r="X195" s="1179"/>
      <c r="Y195" s="1179"/>
      <c r="Z195" s="1179"/>
      <c r="AA195" s="1179"/>
      <c r="AB195" s="1179"/>
      <c r="AC195" s="1179"/>
      <c r="AD195" s="1179"/>
      <c r="AE195" s="1179"/>
      <c r="AF195" s="1179"/>
      <c r="AG195" s="1179"/>
      <c r="AH195" s="1179"/>
      <c r="AI195" s="1179"/>
      <c r="AJ195" s="1179"/>
      <c r="AK195" s="1179"/>
      <c r="AL195" s="1179"/>
      <c r="AM195" s="1179"/>
      <c r="AN195" s="1179"/>
      <c r="AO195" s="1179"/>
      <c r="AP195" s="1179"/>
      <c r="AQ195" s="1179"/>
      <c r="AR195" s="1179"/>
      <c r="AS195" s="1179"/>
      <c r="AT195" s="1179"/>
      <c r="AU195" s="1179"/>
      <c r="AV195" s="1179"/>
      <c r="AW195" s="1179"/>
      <c r="AX195" s="1179"/>
      <c r="AY195" s="1179"/>
      <c r="AZ195" s="1179"/>
      <c r="BA195" s="1179"/>
      <c r="BB195" s="1179"/>
      <c r="BC195" s="1179"/>
      <c r="BD195" s="1180"/>
      <c r="BE195" s="1150"/>
    </row>
    <row r="196" spans="1:57" ht="15.75" customHeight="1" thickBot="1">
      <c r="A196" s="1173"/>
      <c r="B196" s="1173"/>
      <c r="C196" s="1173"/>
      <c r="D196" s="1173"/>
      <c r="E196" s="1173"/>
      <c r="F196" s="1173"/>
      <c r="G196" s="1173"/>
      <c r="H196" s="1173"/>
      <c r="I196" s="1173"/>
      <c r="J196" s="1173"/>
      <c r="K196" s="1173"/>
      <c r="L196" s="1173"/>
      <c r="M196" s="1173"/>
      <c r="N196" s="1173"/>
      <c r="O196" s="1173"/>
      <c r="P196" s="1173"/>
      <c r="Q196" s="1173"/>
      <c r="R196" s="1173"/>
      <c r="S196" s="1173"/>
      <c r="T196" s="1173"/>
      <c r="U196" s="1173"/>
      <c r="V196" s="1173"/>
      <c r="W196" s="1173"/>
      <c r="X196" s="1173"/>
      <c r="Y196" s="1173"/>
      <c r="Z196" s="1173"/>
      <c r="AA196" s="1173"/>
      <c r="AB196" s="1173"/>
      <c r="AC196" s="1173"/>
      <c r="AD196" s="1173"/>
      <c r="AE196" s="1173"/>
      <c r="AF196" s="1173"/>
      <c r="AG196" s="1173"/>
      <c r="AH196" s="1173"/>
      <c r="AI196" s="1173"/>
      <c r="AJ196" s="1173"/>
      <c r="AK196" s="1173"/>
      <c r="AL196" s="1173"/>
      <c r="AM196" s="1173"/>
      <c r="AN196" s="1173"/>
      <c r="AO196" s="1173"/>
      <c r="AP196" s="1173"/>
      <c r="AQ196" s="1173"/>
      <c r="AR196" s="1173"/>
      <c r="AS196" s="1173"/>
      <c r="AT196" s="1173"/>
      <c r="AU196" s="1173"/>
      <c r="AV196" s="1173"/>
      <c r="AW196" s="1173"/>
      <c r="AX196" s="1173"/>
      <c r="AY196" s="1173"/>
      <c r="AZ196" s="1173"/>
      <c r="BA196" s="1173"/>
      <c r="BB196" s="1173"/>
      <c r="BC196" s="1173"/>
      <c r="BD196" s="1173"/>
      <c r="BE196" s="1174"/>
    </row>
    <row r="199" spans="1:57" ht="15.75" customHeight="1">
      <c r="D199" s="1142"/>
    </row>
    <row r="200" spans="1:57" ht="15.75" customHeight="1">
      <c r="D200" s="1181"/>
    </row>
    <row r="201" spans="1:57" ht="15.75" customHeight="1">
      <c r="D201" s="1142"/>
    </row>
    <row r="202" spans="1:57" ht="15.75" customHeight="1">
      <c r="D202" s="1142"/>
    </row>
    <row r="203" spans="1:57" ht="15.75" customHeight="1">
      <c r="R203" s="1141" t="s">
        <v>255</v>
      </c>
    </row>
  </sheetData>
  <sheetProtection algorithmName="SHA-512" hashValue="G09C6JLFbM6zJp4L4hnygRdTup1tb2yCYBeXOg77C5RCxv0oMzbkHx/m2wFymLsRklEwqN7tDNZFLXdBZRG2Rg==" saltValue="CY8aGgpmrUQeBz56/UcUCw=="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2"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Riley Jones</cp:lastModifiedBy>
  <cp:lastPrinted>2022-08-04T21:32:46Z</cp:lastPrinted>
  <dcterms:created xsi:type="dcterms:W3CDTF">2007-12-27T18:26:28Z</dcterms:created>
  <dcterms:modified xsi:type="dcterms:W3CDTF">2022-08-05T20:35:38Z</dcterms:modified>
</cp:coreProperties>
</file>